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260"/>
  </bookViews>
  <sheets>
    <sheet name="0131" sheetId="85" r:id="rId1"/>
    <sheet name="0131 4度C" sheetId="86" r:id="rId2"/>
    <sheet name="0130" sheetId="83" r:id="rId3"/>
    <sheet name="0130 4度C" sheetId="84" r:id="rId4"/>
    <sheet name="0129" sheetId="81" r:id="rId5"/>
    <sheet name="0129 4度C" sheetId="82" r:id="rId6"/>
    <sheet name="0128" sheetId="79" r:id="rId7"/>
    <sheet name="0128 4度C" sheetId="80" r:id="rId8"/>
    <sheet name="0127" sheetId="77" r:id="rId9"/>
    <sheet name="0127 4度C" sheetId="78" r:id="rId10"/>
    <sheet name="0126" sheetId="69" r:id="rId11"/>
    <sheet name="0126 4度C" sheetId="70" r:id="rId12"/>
    <sheet name="0125" sheetId="67" r:id="rId13"/>
    <sheet name="0125 4度C" sheetId="68" r:id="rId14"/>
    <sheet name="0124" sheetId="65" r:id="rId15"/>
    <sheet name="0124 4度C" sheetId="66" r:id="rId16"/>
    <sheet name="0123" sheetId="63" r:id="rId17"/>
    <sheet name="0123 4度C" sheetId="64" r:id="rId18"/>
    <sheet name="0122" sheetId="61" r:id="rId19"/>
    <sheet name="0122 4度C" sheetId="62" r:id="rId20"/>
    <sheet name="0121" sheetId="59" r:id="rId21"/>
    <sheet name="0121 4度C" sheetId="60" r:id="rId22"/>
    <sheet name="0120" sheetId="58" r:id="rId23"/>
    <sheet name="0120 4度C" sheetId="57" r:id="rId24"/>
    <sheet name="0119" sheetId="54" r:id="rId25"/>
    <sheet name="0119 4度C" sheetId="55" r:id="rId26"/>
    <sheet name="0118" sheetId="52" r:id="rId27"/>
    <sheet name="0118 4度C" sheetId="53" r:id="rId28"/>
    <sheet name="0117" sheetId="50" r:id="rId29"/>
    <sheet name="0117 4度C" sheetId="51" r:id="rId30"/>
    <sheet name="0116" sheetId="48" r:id="rId31"/>
    <sheet name="0116 4度C" sheetId="49" r:id="rId32"/>
    <sheet name="0115" sheetId="46" r:id="rId33"/>
    <sheet name="0115 4度C" sheetId="47" r:id="rId34"/>
    <sheet name="0114" sheetId="44" r:id="rId35"/>
    <sheet name="0114 4度C" sheetId="45" r:id="rId36"/>
    <sheet name="0113" sheetId="42" r:id="rId37"/>
    <sheet name="0113 4度C" sheetId="43" r:id="rId38"/>
    <sheet name="0112" sheetId="40" r:id="rId39"/>
    <sheet name="0112 4度C" sheetId="41" r:id="rId40"/>
    <sheet name="0111" sheetId="38" r:id="rId41"/>
    <sheet name="0111 4度C" sheetId="39" r:id="rId42"/>
    <sheet name="0110" sheetId="36" r:id="rId43"/>
    <sheet name="0110 4度C" sheetId="37" r:id="rId44"/>
    <sheet name="0109" sheetId="34" r:id="rId45"/>
    <sheet name="0109 4度C" sheetId="35" r:id="rId46"/>
    <sheet name="0108" sheetId="32" r:id="rId47"/>
    <sheet name="0108 4度C" sheetId="33" r:id="rId48"/>
    <sheet name="0107" sheetId="30" r:id="rId49"/>
    <sheet name="0107 4度C" sheetId="31" r:id="rId50"/>
    <sheet name="0106" sheetId="28" r:id="rId51"/>
    <sheet name="0106 4度C" sheetId="29" r:id="rId52"/>
    <sheet name="0105" sheetId="26" r:id="rId53"/>
    <sheet name="0105 4度C" sheetId="27" r:id="rId54"/>
    <sheet name="0104" sheetId="8" r:id="rId55"/>
    <sheet name="0104 4度C" sheetId="9" r:id="rId56"/>
    <sheet name="0103" sheetId="6" r:id="rId57"/>
    <sheet name="0103 4度C" sheetId="7" r:id="rId58"/>
    <sheet name="0102" sheetId="4" r:id="rId59"/>
    <sheet name="0102 4度C" sheetId="5" r:id="rId60"/>
    <sheet name="0101" sheetId="3" r:id="rId61"/>
    <sheet name="0101 4度C" sheetId="1" r:id="rId62"/>
  </sheets>
  <definedNames>
    <definedName name="_xlnm._FilterDatabase" localSheetId="61" hidden="1">'0101 4度C'!$A$4:$AI$4</definedName>
    <definedName name="_xlnm._FilterDatabase" localSheetId="59" hidden="1">'0102 4度C'!$A$4:$AI$4</definedName>
    <definedName name="_xlnm._FilterDatabase" localSheetId="57" hidden="1">'0103 4度C'!$A$4:$AI$4</definedName>
    <definedName name="_xlnm._FilterDatabase" localSheetId="55" hidden="1">'0104 4度C'!$A$4:$AI$4</definedName>
    <definedName name="_xlnm._FilterDatabase" localSheetId="53" hidden="1">'0105 4度C'!$A$4:$AI$4</definedName>
    <definedName name="_xlnm._FilterDatabase" localSheetId="51" hidden="1">'0106 4度C'!$A$4:$AI$4</definedName>
    <definedName name="_xlnm._FilterDatabase" localSheetId="49" hidden="1">'0107 4度C'!$A$4:$AI$4</definedName>
    <definedName name="_xlnm._FilterDatabase" localSheetId="47" hidden="1">'0108 4度C'!$A$4:$AI$4</definedName>
    <definedName name="_xlnm._FilterDatabase" localSheetId="45" hidden="1">'0109 4度C'!$A$4:$AI$4</definedName>
    <definedName name="_xlnm._FilterDatabase" localSheetId="43" hidden="1">'0110 4度C'!$A$4:$AI$4</definedName>
    <definedName name="_xlnm._FilterDatabase" localSheetId="41" hidden="1">'0111 4度C'!$A$4:$AI$4</definedName>
    <definedName name="_xlnm._FilterDatabase" localSheetId="39" hidden="1">'0112 4度C'!$A$4:$AI$4</definedName>
    <definedName name="_xlnm._FilterDatabase" localSheetId="37" hidden="1">'0113 4度C'!$A$4:$AI$4</definedName>
    <definedName name="_xlnm._FilterDatabase" localSheetId="35" hidden="1">'0114 4度C'!$A$4:$AI$4</definedName>
    <definedName name="_xlnm._FilterDatabase" localSheetId="33" hidden="1">'0115 4度C'!$A$4:$AI$4</definedName>
    <definedName name="_xlnm._FilterDatabase" localSheetId="31" hidden="1">'0116 4度C'!$A$4:$AI$4</definedName>
    <definedName name="_xlnm._FilterDatabase" localSheetId="29" hidden="1">'0117 4度C'!$A$4:$AI$4</definedName>
    <definedName name="_xlnm._FilterDatabase" localSheetId="27" hidden="1">'0118 4度C'!$A$4:$AI$4</definedName>
    <definedName name="_xlnm._FilterDatabase" localSheetId="25" hidden="1">'0119 4度C'!$A$4:$AI$4</definedName>
    <definedName name="_xlnm._FilterDatabase" localSheetId="23" hidden="1">'0120 4度C'!$A$4:$AI$4</definedName>
    <definedName name="_xlnm._FilterDatabase" localSheetId="21" hidden="1">'0121 4度C'!$A$4:$AI$4</definedName>
    <definedName name="_xlnm._FilterDatabase" localSheetId="19" hidden="1">'0122 4度C'!$A$4:$AI$4</definedName>
    <definedName name="_xlnm._FilterDatabase" localSheetId="17" hidden="1">'0123 4度C'!$A$4:$AI$4</definedName>
    <definedName name="_xlnm._FilterDatabase" localSheetId="15" hidden="1">'0124 4度C'!$A$4:$AI$4</definedName>
    <definedName name="_xlnm._FilterDatabase" localSheetId="13" hidden="1">'0125 4度C'!$A$4:$AI$4</definedName>
    <definedName name="_xlnm._FilterDatabase" localSheetId="11" hidden="1">'0126 4度C'!$A$4:$AI$4</definedName>
    <definedName name="_xlnm._FilterDatabase" localSheetId="9" hidden="1">'0127 4度C'!$A$4:$AI$4</definedName>
    <definedName name="_xlnm._FilterDatabase" localSheetId="7" hidden="1">'0128 4度C'!$A$4:$AI$4</definedName>
    <definedName name="_xlnm._FilterDatabase" localSheetId="5" hidden="1">'0129 4度C'!$A$4:$AI$4</definedName>
    <definedName name="_xlnm._FilterDatabase" localSheetId="3" hidden="1">'0130 4度C'!$A$4:$AI$4</definedName>
    <definedName name="_xlnm._FilterDatabase" localSheetId="1" hidden="1">'0131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7" i="86" l="1"/>
  <c r="Z77" i="86"/>
  <c r="Y77" i="86"/>
  <c r="O77" i="86"/>
  <c r="M77" i="86"/>
  <c r="K77" i="86"/>
  <c r="AF76" i="86"/>
  <c r="AE76" i="86"/>
  <c r="V76" i="86"/>
  <c r="U76" i="86"/>
  <c r="O76" i="86"/>
  <c r="N76" i="86"/>
  <c r="Q76" i="86" s="1"/>
  <c r="M76" i="86"/>
  <c r="K76" i="86"/>
  <c r="G76" i="86"/>
  <c r="V75" i="86"/>
  <c r="U75" i="86"/>
  <c r="Q75" i="86"/>
  <c r="O75" i="86"/>
  <c r="N75" i="86"/>
  <c r="P75" i="86" s="1"/>
  <c r="M75" i="86"/>
  <c r="K75" i="86"/>
  <c r="G75" i="86"/>
  <c r="AF74" i="86"/>
  <c r="AE74" i="86"/>
  <c r="V74" i="86"/>
  <c r="M74" i="86" s="1"/>
  <c r="N74" i="86" s="1"/>
  <c r="U74" i="86"/>
  <c r="Q74" i="86"/>
  <c r="P74" i="86"/>
  <c r="O74" i="86"/>
  <c r="K74" i="86"/>
  <c r="G74" i="86"/>
  <c r="V73" i="86"/>
  <c r="U73" i="86"/>
  <c r="O73" i="86"/>
  <c r="N73" i="86"/>
  <c r="Q73" i="86" s="1"/>
  <c r="M73" i="86"/>
  <c r="K73" i="86"/>
  <c r="G73" i="86"/>
  <c r="AF72" i="86"/>
  <c r="AE72" i="86"/>
  <c r="X72" i="86"/>
  <c r="W72" i="86"/>
  <c r="V72" i="86"/>
  <c r="O72" i="86"/>
  <c r="M72" i="86"/>
  <c r="N72" i="86" s="1"/>
  <c r="K72" i="86"/>
  <c r="G72" i="86"/>
  <c r="AF71" i="86"/>
  <c r="AG66" i="86" s="1"/>
  <c r="AE71" i="86"/>
  <c r="AD71" i="86"/>
  <c r="Z71" i="86"/>
  <c r="Y71" i="86"/>
  <c r="J18" i="85" s="1"/>
  <c r="Q71" i="86"/>
  <c r="R66" i="86" s="1"/>
  <c r="P71" i="86"/>
  <c r="O71" i="86"/>
  <c r="N71" i="86"/>
  <c r="J14" i="85" s="1"/>
  <c r="M71" i="86"/>
  <c r="K71" i="86"/>
  <c r="V70" i="86"/>
  <c r="U70" i="86"/>
  <c r="O70" i="86"/>
  <c r="M70" i="86"/>
  <c r="AF70" i="86" s="1"/>
  <c r="K70" i="86"/>
  <c r="G70" i="86"/>
  <c r="AF69" i="86"/>
  <c r="AE69" i="86"/>
  <c r="V69" i="86"/>
  <c r="U69" i="86"/>
  <c r="O69" i="86"/>
  <c r="N69" i="86"/>
  <c r="Q69" i="86" s="1"/>
  <c r="M69" i="86"/>
  <c r="K69" i="86"/>
  <c r="G69" i="86"/>
  <c r="V68" i="86"/>
  <c r="U68" i="86"/>
  <c r="O68" i="86"/>
  <c r="N68" i="86"/>
  <c r="M68" i="86"/>
  <c r="K68" i="86"/>
  <c r="G68" i="86"/>
  <c r="AF67" i="86"/>
  <c r="AE67" i="86"/>
  <c r="V67" i="86"/>
  <c r="M67" i="86" s="1"/>
  <c r="N67" i="86" s="1"/>
  <c r="U67" i="86"/>
  <c r="Q67" i="86"/>
  <c r="P67" i="86"/>
  <c r="O67" i="86"/>
  <c r="K67" i="86"/>
  <c r="G67" i="86"/>
  <c r="V66" i="86"/>
  <c r="Q66" i="86"/>
  <c r="P66" i="86"/>
  <c r="O66" i="86"/>
  <c r="N66" i="86"/>
  <c r="M66" i="86"/>
  <c r="K66" i="86"/>
  <c r="G66" i="86"/>
  <c r="AF65" i="86"/>
  <c r="AG55" i="86" s="1"/>
  <c r="AE65" i="86"/>
  <c r="AD65" i="86"/>
  <c r="Z65" i="86"/>
  <c r="Y65" i="86"/>
  <c r="O65" i="86"/>
  <c r="K65" i="86"/>
  <c r="V64" i="86"/>
  <c r="U64" i="86"/>
  <c r="O64" i="86"/>
  <c r="N64" i="86"/>
  <c r="Q64" i="86" s="1"/>
  <c r="M64" i="86"/>
  <c r="K64" i="86"/>
  <c r="G64" i="86"/>
  <c r="AF63" i="86"/>
  <c r="AE63" i="86"/>
  <c r="X63" i="86"/>
  <c r="W63" i="86"/>
  <c r="V63" i="86"/>
  <c r="U63" i="86"/>
  <c r="O63" i="86"/>
  <c r="M63" i="86"/>
  <c r="N63" i="86" s="1"/>
  <c r="K63" i="86"/>
  <c r="G63" i="86"/>
  <c r="AF62" i="86"/>
  <c r="AE62" i="86"/>
  <c r="V62" i="86"/>
  <c r="U62" i="86"/>
  <c r="Q62" i="86"/>
  <c r="P62" i="86"/>
  <c r="O62" i="86"/>
  <c r="N62" i="86"/>
  <c r="M62" i="86"/>
  <c r="K62" i="86"/>
  <c r="G62" i="86"/>
  <c r="V61" i="86"/>
  <c r="U61" i="86"/>
  <c r="O61" i="86"/>
  <c r="N61" i="86"/>
  <c r="M61" i="86"/>
  <c r="K61" i="86"/>
  <c r="G61" i="86"/>
  <c r="AF60" i="86"/>
  <c r="AE60" i="86"/>
  <c r="V60" i="86"/>
  <c r="M60" i="86" s="1"/>
  <c r="N60" i="86" s="1"/>
  <c r="U60" i="86"/>
  <c r="Q60" i="86"/>
  <c r="P60" i="86"/>
  <c r="O60" i="86"/>
  <c r="K60" i="86"/>
  <c r="G60" i="86"/>
  <c r="V59" i="86"/>
  <c r="U59" i="86"/>
  <c r="P59" i="86"/>
  <c r="O59" i="86"/>
  <c r="N59" i="86"/>
  <c r="Q59" i="86" s="1"/>
  <c r="M59" i="86"/>
  <c r="K59" i="86"/>
  <c r="G59" i="86"/>
  <c r="AF58" i="86"/>
  <c r="AE58" i="86"/>
  <c r="V58" i="86"/>
  <c r="M58" i="86" s="1"/>
  <c r="N58" i="86" s="1"/>
  <c r="P58" i="86" s="1"/>
  <c r="U58" i="86"/>
  <c r="Q58" i="86"/>
  <c r="O58" i="86"/>
  <c r="K58" i="86"/>
  <c r="G58" i="86"/>
  <c r="V57" i="86"/>
  <c r="U57" i="86"/>
  <c r="O57" i="86"/>
  <c r="N57" i="86"/>
  <c r="P57" i="86" s="1"/>
  <c r="M57" i="86"/>
  <c r="K57" i="86"/>
  <c r="G57" i="86"/>
  <c r="AF56" i="86"/>
  <c r="AE56" i="86"/>
  <c r="V56" i="86"/>
  <c r="M56" i="86" s="1"/>
  <c r="N56" i="86" s="1"/>
  <c r="U56" i="86"/>
  <c r="O56" i="86"/>
  <c r="K56" i="86"/>
  <c r="G56" i="86"/>
  <c r="AF55" i="86"/>
  <c r="AE55" i="86"/>
  <c r="V55" i="86"/>
  <c r="O55" i="86"/>
  <c r="N55" i="86"/>
  <c r="Q55" i="86" s="1"/>
  <c r="M55" i="86"/>
  <c r="M65" i="86" s="1"/>
  <c r="N65" i="86" s="1"/>
  <c r="K55" i="86"/>
  <c r="G55" i="86"/>
  <c r="AD54" i="86"/>
  <c r="Z54" i="86"/>
  <c r="Y54" i="86"/>
  <c r="O54" i="86"/>
  <c r="M54" i="86"/>
  <c r="K54" i="86"/>
  <c r="AF53" i="86"/>
  <c r="AE53" i="86"/>
  <c r="V53" i="86"/>
  <c r="U53" i="86"/>
  <c r="O53" i="86"/>
  <c r="N53" i="86"/>
  <c r="Q53" i="86" s="1"/>
  <c r="M53" i="86"/>
  <c r="K53" i="86"/>
  <c r="G53" i="86"/>
  <c r="V52" i="86"/>
  <c r="U52" i="86"/>
  <c r="O52" i="86"/>
  <c r="N52" i="86"/>
  <c r="M52" i="86"/>
  <c r="K52" i="86"/>
  <c r="G52" i="86"/>
  <c r="AF51" i="86"/>
  <c r="AE51" i="86"/>
  <c r="V51" i="86"/>
  <c r="M51" i="86" s="1"/>
  <c r="N51" i="86" s="1"/>
  <c r="U51" i="86"/>
  <c r="Q51" i="86"/>
  <c r="P51" i="86"/>
  <c r="O51" i="86"/>
  <c r="K51" i="86"/>
  <c r="G51" i="86"/>
  <c r="X50" i="86"/>
  <c r="W50" i="86"/>
  <c r="V50" i="86"/>
  <c r="U50" i="86"/>
  <c r="Q50" i="86"/>
  <c r="P50" i="86"/>
  <c r="O50" i="86"/>
  <c r="N50" i="86"/>
  <c r="M50" i="86"/>
  <c r="K50" i="86"/>
  <c r="G50" i="86"/>
  <c r="AF49" i="86"/>
  <c r="AE49" i="86"/>
  <c r="V49" i="86"/>
  <c r="M49" i="86" s="1"/>
  <c r="N49" i="86" s="1"/>
  <c r="U49" i="86"/>
  <c r="O49" i="86"/>
  <c r="K49" i="86"/>
  <c r="G49" i="86"/>
  <c r="AE48" i="86"/>
  <c r="V48" i="86"/>
  <c r="U48" i="86"/>
  <c r="Q48" i="86"/>
  <c r="P48" i="86"/>
  <c r="O48" i="86"/>
  <c r="N48" i="86"/>
  <c r="M48" i="86"/>
  <c r="AF48" i="86" s="1"/>
  <c r="K48" i="86"/>
  <c r="G48" i="86"/>
  <c r="AF47" i="86"/>
  <c r="V47" i="86"/>
  <c r="M47" i="86" s="1"/>
  <c r="U47" i="86"/>
  <c r="O47" i="86"/>
  <c r="K47" i="86"/>
  <c r="G47" i="86"/>
  <c r="AF46" i="86"/>
  <c r="AE46" i="86"/>
  <c r="V46" i="86"/>
  <c r="U46" i="86"/>
  <c r="O46" i="86"/>
  <c r="N46" i="86"/>
  <c r="Q46" i="86" s="1"/>
  <c r="M46" i="86"/>
  <c r="K46" i="86"/>
  <c r="G46" i="86"/>
  <c r="V45" i="86"/>
  <c r="U45" i="86"/>
  <c r="O45" i="86"/>
  <c r="M45" i="86"/>
  <c r="K45" i="86"/>
  <c r="G45" i="86"/>
  <c r="AF44" i="86"/>
  <c r="AE44" i="86"/>
  <c r="V44" i="86"/>
  <c r="M44" i="86" s="1"/>
  <c r="N44" i="86" s="1"/>
  <c r="Q44" i="86"/>
  <c r="P44" i="86"/>
  <c r="O44" i="86"/>
  <c r="K44" i="86"/>
  <c r="G44" i="86"/>
  <c r="AD43" i="86"/>
  <c r="Z43" i="86"/>
  <c r="Y43" i="86"/>
  <c r="Q43" i="86"/>
  <c r="R38" i="86" s="1"/>
  <c r="P43" i="86"/>
  <c r="O43" i="86"/>
  <c r="N43" i="86"/>
  <c r="M43" i="86"/>
  <c r="K43" i="86"/>
  <c r="AF42" i="86"/>
  <c r="AE42" i="86"/>
  <c r="V42" i="86"/>
  <c r="M42" i="86" s="1"/>
  <c r="N42" i="86" s="1"/>
  <c r="P42" i="86" s="1"/>
  <c r="U42" i="86"/>
  <c r="Q42" i="86"/>
  <c r="O42" i="86"/>
  <c r="K42" i="86"/>
  <c r="G42" i="86"/>
  <c r="V41" i="86"/>
  <c r="U41" i="86"/>
  <c r="O41" i="86"/>
  <c r="N41" i="86"/>
  <c r="P41" i="86" s="1"/>
  <c r="M41" i="86"/>
  <c r="K41" i="86"/>
  <c r="G41" i="86"/>
  <c r="AF40" i="86"/>
  <c r="AE40" i="86"/>
  <c r="V40" i="86"/>
  <c r="M40" i="86" s="1"/>
  <c r="N40" i="86" s="1"/>
  <c r="U40" i="86"/>
  <c r="O40" i="86"/>
  <c r="K40" i="86"/>
  <c r="G40" i="86"/>
  <c r="AE39" i="86"/>
  <c r="V39" i="86"/>
  <c r="U39" i="86"/>
  <c r="O39" i="86"/>
  <c r="N39" i="86"/>
  <c r="Q39" i="86" s="1"/>
  <c r="M39" i="86"/>
  <c r="AF39" i="86" s="1"/>
  <c r="K39" i="86"/>
  <c r="G39" i="86"/>
  <c r="X38" i="86"/>
  <c r="W38" i="86"/>
  <c r="V38" i="86"/>
  <c r="Q38" i="86"/>
  <c r="O38" i="86"/>
  <c r="N38" i="86"/>
  <c r="P38" i="86" s="1"/>
  <c r="M38" i="86"/>
  <c r="K38" i="86"/>
  <c r="G38" i="86"/>
  <c r="AD37" i="86"/>
  <c r="Z37" i="86"/>
  <c r="Y37" i="86"/>
  <c r="K18" i="85" s="1"/>
  <c r="O37" i="86"/>
  <c r="K37" i="86"/>
  <c r="V36" i="86"/>
  <c r="U36" i="86"/>
  <c r="P36" i="86"/>
  <c r="O36" i="86"/>
  <c r="N36" i="86"/>
  <c r="Q36" i="86" s="1"/>
  <c r="M36" i="86"/>
  <c r="K36" i="86"/>
  <c r="G36" i="86"/>
  <c r="AF35" i="86"/>
  <c r="AE35" i="86"/>
  <c r="V35" i="86"/>
  <c r="M35" i="86" s="1"/>
  <c r="N35" i="86" s="1"/>
  <c r="P35" i="86" s="1"/>
  <c r="U35" i="86"/>
  <c r="Q35" i="86"/>
  <c r="O35" i="86"/>
  <c r="K35" i="86"/>
  <c r="G35" i="86"/>
  <c r="AF34" i="86"/>
  <c r="V34" i="86"/>
  <c r="U34" i="86"/>
  <c r="O34" i="86"/>
  <c r="N34" i="86"/>
  <c r="Q34" i="86" s="1"/>
  <c r="M34" i="86"/>
  <c r="AE34" i="86" s="1"/>
  <c r="K34" i="86"/>
  <c r="G34" i="86"/>
  <c r="AF33" i="86"/>
  <c r="AE33" i="86"/>
  <c r="V33" i="86"/>
  <c r="M33" i="86" s="1"/>
  <c r="N33" i="86" s="1"/>
  <c r="U33" i="86"/>
  <c r="O33" i="86"/>
  <c r="K33" i="86"/>
  <c r="G33" i="86"/>
  <c r="AE32" i="86"/>
  <c r="V32" i="86"/>
  <c r="U32" i="86"/>
  <c r="O32" i="86"/>
  <c r="N32" i="86"/>
  <c r="Q32" i="86" s="1"/>
  <c r="M32" i="86"/>
  <c r="AF32" i="86" s="1"/>
  <c r="K32" i="86"/>
  <c r="G32" i="86"/>
  <c r="X31" i="86"/>
  <c r="W31" i="86"/>
  <c r="V31" i="86"/>
  <c r="O31" i="86"/>
  <c r="N31" i="86"/>
  <c r="P31" i="86" s="1"/>
  <c r="M31" i="86"/>
  <c r="K31" i="86"/>
  <c r="G31" i="86"/>
  <c r="AD30" i="86"/>
  <c r="Z30" i="86"/>
  <c r="Y30" i="86"/>
  <c r="G18" i="85" s="1"/>
  <c r="O30" i="86"/>
  <c r="K30" i="86"/>
  <c r="V29" i="86"/>
  <c r="U29" i="86"/>
  <c r="P29" i="86"/>
  <c r="O29" i="86"/>
  <c r="N29" i="86"/>
  <c r="Q29" i="86" s="1"/>
  <c r="M29" i="86"/>
  <c r="K29" i="86"/>
  <c r="G29" i="86"/>
  <c r="AF28" i="86"/>
  <c r="AE28" i="86"/>
  <c r="X28" i="86"/>
  <c r="W28" i="86"/>
  <c r="V28" i="86"/>
  <c r="M28" i="86" s="1"/>
  <c r="N28" i="86" s="1"/>
  <c r="U28" i="86"/>
  <c r="O28" i="86"/>
  <c r="K28" i="86"/>
  <c r="G28" i="86"/>
  <c r="AE27" i="86"/>
  <c r="V27" i="86"/>
  <c r="U27" i="86"/>
  <c r="O27" i="86"/>
  <c r="M27" i="86"/>
  <c r="AF27" i="86" s="1"/>
  <c r="K27" i="86"/>
  <c r="G27" i="86"/>
  <c r="AF26" i="86"/>
  <c r="V26" i="86"/>
  <c r="M26" i="86" s="1"/>
  <c r="AE26" i="86" s="1"/>
  <c r="U26" i="86"/>
  <c r="O26" i="86"/>
  <c r="N26" i="86"/>
  <c r="K26" i="86"/>
  <c r="G26" i="86"/>
  <c r="AF25" i="86"/>
  <c r="AE25" i="86"/>
  <c r="V25" i="86"/>
  <c r="U25" i="86"/>
  <c r="O25" i="86"/>
  <c r="N25" i="86"/>
  <c r="Q25" i="86" s="1"/>
  <c r="M25" i="86"/>
  <c r="K25" i="86"/>
  <c r="G25" i="86"/>
  <c r="V24" i="86"/>
  <c r="U24" i="86"/>
  <c r="O24" i="86"/>
  <c r="M24" i="86"/>
  <c r="K24" i="86"/>
  <c r="G24" i="86"/>
  <c r="AF23" i="86"/>
  <c r="AE23" i="86"/>
  <c r="V23" i="86"/>
  <c r="M23" i="86" s="1"/>
  <c r="O23" i="86"/>
  <c r="K23" i="86"/>
  <c r="G23" i="86"/>
  <c r="AD22" i="86"/>
  <c r="Z22" i="86"/>
  <c r="Y22" i="86"/>
  <c r="O22" i="86"/>
  <c r="K22" i="86"/>
  <c r="AF21" i="86"/>
  <c r="AE21" i="86"/>
  <c r="V21" i="86"/>
  <c r="M21" i="86" s="1"/>
  <c r="N21" i="86" s="1"/>
  <c r="P21" i="86" s="1"/>
  <c r="U21" i="86"/>
  <c r="Q21" i="86"/>
  <c r="O21" i="86"/>
  <c r="K21" i="86"/>
  <c r="G21" i="86"/>
  <c r="AF20" i="86"/>
  <c r="X20" i="86"/>
  <c r="W20" i="86"/>
  <c r="V20" i="86"/>
  <c r="U20" i="86"/>
  <c r="O20" i="86"/>
  <c r="N20" i="86"/>
  <c r="Q20" i="86" s="1"/>
  <c r="M20" i="86"/>
  <c r="AE20" i="86" s="1"/>
  <c r="K20" i="86"/>
  <c r="G20" i="86"/>
  <c r="AF19" i="86"/>
  <c r="V19" i="86"/>
  <c r="M19" i="86" s="1"/>
  <c r="AE19" i="86" s="1"/>
  <c r="U19" i="86"/>
  <c r="O19" i="86"/>
  <c r="N19" i="86"/>
  <c r="K19" i="86"/>
  <c r="G19" i="86"/>
  <c r="AF18" i="86"/>
  <c r="AE18" i="86"/>
  <c r="V18" i="86"/>
  <c r="U18" i="86"/>
  <c r="O18" i="86"/>
  <c r="M18" i="86"/>
  <c r="N18" i="86" s="1"/>
  <c r="K18" i="86"/>
  <c r="G18" i="86"/>
  <c r="V17" i="86"/>
  <c r="U17" i="86"/>
  <c r="O17" i="86"/>
  <c r="M17" i="86"/>
  <c r="K17" i="86"/>
  <c r="G17" i="86"/>
  <c r="AF16" i="86"/>
  <c r="AE16" i="86"/>
  <c r="V16" i="86"/>
  <c r="M16" i="86" s="1"/>
  <c r="U16" i="86"/>
  <c r="Q16" i="86"/>
  <c r="P16" i="86"/>
  <c r="O16" i="86"/>
  <c r="N16" i="86"/>
  <c r="K16" i="86"/>
  <c r="G16" i="86"/>
  <c r="V15" i="86"/>
  <c r="O15" i="86"/>
  <c r="M15" i="86"/>
  <c r="M22" i="86" s="1"/>
  <c r="N22" i="86" s="1"/>
  <c r="K15" i="86"/>
  <c r="G15" i="86"/>
  <c r="AD14" i="86"/>
  <c r="Z14" i="86"/>
  <c r="Y14" i="86"/>
  <c r="O14" i="86"/>
  <c r="K14" i="86"/>
  <c r="AF13" i="86"/>
  <c r="V13" i="86"/>
  <c r="U13" i="86"/>
  <c r="O13" i="86"/>
  <c r="N13" i="86"/>
  <c r="Q13" i="86" s="1"/>
  <c r="M13" i="86"/>
  <c r="AE13" i="86" s="1"/>
  <c r="K13" i="86"/>
  <c r="G13" i="86"/>
  <c r="AF12" i="86"/>
  <c r="AE12" i="86"/>
  <c r="V12" i="86"/>
  <c r="O12" i="86"/>
  <c r="M12" i="86"/>
  <c r="K12" i="86"/>
  <c r="G12" i="86"/>
  <c r="AF11" i="86"/>
  <c r="AG5" i="86" s="1"/>
  <c r="AE11" i="86"/>
  <c r="AD11" i="86"/>
  <c r="Z11" i="86"/>
  <c r="Y11" i="86"/>
  <c r="D18" i="85" s="1"/>
  <c r="O11" i="86"/>
  <c r="M11" i="86"/>
  <c r="N11" i="86" s="1"/>
  <c r="K11" i="86"/>
  <c r="V10" i="86"/>
  <c r="U10" i="86"/>
  <c r="O10" i="86"/>
  <c r="M10" i="86"/>
  <c r="AF10" i="86" s="1"/>
  <c r="K10" i="86"/>
  <c r="G10" i="86"/>
  <c r="AF9" i="86"/>
  <c r="AE9" i="86"/>
  <c r="X9" i="86"/>
  <c r="W9" i="86"/>
  <c r="V9" i="86"/>
  <c r="M9" i="86" s="1"/>
  <c r="N9" i="86" s="1"/>
  <c r="U9" i="86"/>
  <c r="Q9" i="86"/>
  <c r="P9" i="86"/>
  <c r="O9" i="86"/>
  <c r="K9" i="86"/>
  <c r="G9" i="86"/>
  <c r="V8" i="86"/>
  <c r="U8" i="86"/>
  <c r="O8" i="86"/>
  <c r="M8" i="86"/>
  <c r="N8" i="86" s="1"/>
  <c r="K8" i="86"/>
  <c r="G8" i="86"/>
  <c r="AF7" i="86"/>
  <c r="AE7" i="86"/>
  <c r="V7" i="86"/>
  <c r="M7" i="86" s="1"/>
  <c r="N7" i="86" s="1"/>
  <c r="P7" i="86" s="1"/>
  <c r="U7" i="86"/>
  <c r="Q7" i="86"/>
  <c r="O7" i="86"/>
  <c r="K7" i="86"/>
  <c r="G7" i="86"/>
  <c r="AF6" i="86"/>
  <c r="V6" i="86"/>
  <c r="U6" i="86"/>
  <c r="Q6" i="86"/>
  <c r="P6" i="86"/>
  <c r="O6" i="86"/>
  <c r="N6" i="86"/>
  <c r="M6" i="86"/>
  <c r="AE6" i="86" s="1"/>
  <c r="K6" i="86"/>
  <c r="G6" i="86"/>
  <c r="AF5" i="86"/>
  <c r="AE5" i="86"/>
  <c r="V5" i="86"/>
  <c r="O5" i="86"/>
  <c r="M5" i="86"/>
  <c r="N5" i="86" s="1"/>
  <c r="K5" i="86"/>
  <c r="G5" i="86"/>
  <c r="AD2" i="86"/>
  <c r="Z2" i="86"/>
  <c r="Y2" i="86"/>
  <c r="K6" i="85" s="1"/>
  <c r="H2" i="86"/>
  <c r="H1" i="86"/>
  <c r="F1" i="86"/>
  <c r="F2" i="86" s="1"/>
  <c r="D1" i="86"/>
  <c r="M22" i="85"/>
  <c r="L22" i="85"/>
  <c r="K22" i="85"/>
  <c r="J22" i="85"/>
  <c r="I22" i="85"/>
  <c r="H22" i="85"/>
  <c r="G22" i="85"/>
  <c r="F22" i="85"/>
  <c r="E22" i="85"/>
  <c r="D22" i="85"/>
  <c r="M21" i="85"/>
  <c r="L21" i="85"/>
  <c r="K21" i="85"/>
  <c r="J21" i="85"/>
  <c r="I21" i="85"/>
  <c r="H21" i="85"/>
  <c r="G21" i="85"/>
  <c r="F21" i="85"/>
  <c r="E21" i="85"/>
  <c r="D21" i="85"/>
  <c r="M20" i="85"/>
  <c r="L20" i="85"/>
  <c r="K20" i="85"/>
  <c r="J20" i="85"/>
  <c r="I20" i="85"/>
  <c r="H20" i="85"/>
  <c r="G20" i="85"/>
  <c r="F20" i="85"/>
  <c r="E20" i="85"/>
  <c r="D20" i="85"/>
  <c r="M19" i="85"/>
  <c r="L19" i="85"/>
  <c r="K19" i="85"/>
  <c r="J19" i="85"/>
  <c r="I19" i="85"/>
  <c r="H19" i="85"/>
  <c r="G19" i="85"/>
  <c r="F19" i="85"/>
  <c r="E19" i="85"/>
  <c r="D19" i="85"/>
  <c r="M18" i="85"/>
  <c r="L18" i="85"/>
  <c r="I18" i="85"/>
  <c r="H18" i="85"/>
  <c r="F18" i="85"/>
  <c r="E18" i="85"/>
  <c r="M17" i="85"/>
  <c r="L17" i="85"/>
  <c r="K17" i="85"/>
  <c r="J17" i="85"/>
  <c r="I17" i="85"/>
  <c r="H17" i="85"/>
  <c r="G17" i="85"/>
  <c r="F17" i="85"/>
  <c r="E17" i="85"/>
  <c r="D17" i="85"/>
  <c r="M16" i="85"/>
  <c r="L16" i="85"/>
  <c r="K16" i="85"/>
  <c r="J16" i="85"/>
  <c r="I16" i="85"/>
  <c r="H16" i="85"/>
  <c r="G16" i="85"/>
  <c r="F16" i="85"/>
  <c r="E16" i="85"/>
  <c r="D16" i="85"/>
  <c r="L15" i="85"/>
  <c r="J15" i="85"/>
  <c r="L14" i="85"/>
  <c r="M13" i="85"/>
  <c r="L13" i="85"/>
  <c r="K13" i="85"/>
  <c r="J13" i="85"/>
  <c r="I13" i="85"/>
  <c r="H13" i="85"/>
  <c r="G6" i="85" s="1"/>
  <c r="G13" i="85"/>
  <c r="F13" i="85"/>
  <c r="E13" i="85"/>
  <c r="D13" i="85"/>
  <c r="N6" i="85"/>
  <c r="M6" i="85"/>
  <c r="L6" i="85"/>
  <c r="I6" i="85"/>
  <c r="E6" i="85"/>
  <c r="I3" i="85"/>
  <c r="F3" i="85"/>
  <c r="C3" i="85"/>
  <c r="F14" i="85" l="1"/>
  <c r="F15" i="85" s="1"/>
  <c r="Q22" i="86"/>
  <c r="R15" i="86" s="1"/>
  <c r="P22" i="86"/>
  <c r="Q18" i="86"/>
  <c r="P18" i="86"/>
  <c r="Q8" i="86"/>
  <c r="P8" i="86"/>
  <c r="D14" i="85"/>
  <c r="D15" i="85" s="1"/>
  <c r="Q11" i="86"/>
  <c r="R5" i="86" s="1"/>
  <c r="P11" i="86"/>
  <c r="Q57" i="86"/>
  <c r="P55" i="86"/>
  <c r="P64" i="86"/>
  <c r="P32" i="86"/>
  <c r="Q41" i="86"/>
  <c r="P46" i="86"/>
  <c r="P39" i="86"/>
  <c r="P53" i="86"/>
  <c r="P76" i="86"/>
  <c r="N15" i="86"/>
  <c r="P34" i="86"/>
  <c r="P73" i="86"/>
  <c r="P69" i="86"/>
  <c r="P25" i="86"/>
  <c r="F6" i="85"/>
  <c r="P20" i="86"/>
  <c r="Q31" i="86"/>
  <c r="P13" i="86"/>
  <c r="N27" i="86"/>
  <c r="Q5" i="86"/>
  <c r="P5" i="86"/>
  <c r="AF8" i="86"/>
  <c r="AE8" i="86"/>
  <c r="M14" i="86"/>
  <c r="N12" i="86"/>
  <c r="AF15" i="86"/>
  <c r="AE15" i="86"/>
  <c r="AF17" i="86"/>
  <c r="AE17" i="86"/>
  <c r="N17" i="86"/>
  <c r="Q19" i="86"/>
  <c r="P19" i="86"/>
  <c r="AF22" i="86"/>
  <c r="AG15" i="86" s="1"/>
  <c r="AE22" i="86"/>
  <c r="N23" i="86"/>
  <c r="M30" i="86"/>
  <c r="AF24" i="86"/>
  <c r="AE24" i="86"/>
  <c r="N24" i="86"/>
  <c r="P26" i="86"/>
  <c r="Q26" i="86"/>
  <c r="Q28" i="86"/>
  <c r="P28" i="86"/>
  <c r="AF29" i="86"/>
  <c r="AE29" i="86"/>
  <c r="AF31" i="86"/>
  <c r="AE31" i="86"/>
  <c r="M37" i="86"/>
  <c r="Q33" i="86"/>
  <c r="P33" i="86"/>
  <c r="AF36" i="86"/>
  <c r="AE36" i="86"/>
  <c r="AF38" i="86"/>
  <c r="AE38" i="86"/>
  <c r="Q40" i="86"/>
  <c r="P40" i="86"/>
  <c r="AF41" i="86"/>
  <c r="AE41" i="86"/>
  <c r="AF43" i="86"/>
  <c r="AG38" i="86" s="1"/>
  <c r="AE43" i="86"/>
  <c r="AF45" i="86"/>
  <c r="AE45" i="86"/>
  <c r="N45" i="86"/>
  <c r="AE47" i="86"/>
  <c r="N47" i="86"/>
  <c r="Q49" i="86"/>
  <c r="P49" i="86"/>
  <c r="AF50" i="86"/>
  <c r="AE50" i="86"/>
  <c r="AF52" i="86"/>
  <c r="AE52" i="86"/>
  <c r="Q52" i="86"/>
  <c r="P52" i="86"/>
  <c r="AF54" i="86"/>
  <c r="AG44" i="86" s="1"/>
  <c r="AE54" i="86"/>
  <c r="N54" i="86"/>
  <c r="Q65" i="86"/>
  <c r="R55" i="86" s="1"/>
  <c r="P65" i="86"/>
  <c r="I14" i="85"/>
  <c r="I15" i="85" s="1"/>
  <c r="Q56" i="86"/>
  <c r="P56" i="86"/>
  <c r="AF57" i="86"/>
  <c r="AE57" i="86"/>
  <c r="AF59" i="86"/>
  <c r="AE59" i="86"/>
  <c r="AF61" i="86"/>
  <c r="AE61" i="86"/>
  <c r="Q61" i="86"/>
  <c r="P61" i="86"/>
  <c r="Q63" i="86"/>
  <c r="P63" i="86"/>
  <c r="AF64" i="86"/>
  <c r="AE64" i="86"/>
  <c r="AF66" i="86"/>
  <c r="AE66" i="86"/>
  <c r="AF68" i="86"/>
  <c r="AE68" i="86"/>
  <c r="Q68" i="86"/>
  <c r="P68" i="86"/>
  <c r="Q72" i="86"/>
  <c r="P72" i="86"/>
  <c r="AF73" i="86"/>
  <c r="AE73" i="86"/>
  <c r="AF75" i="86"/>
  <c r="AE75" i="86"/>
  <c r="AF77" i="86"/>
  <c r="AG72" i="86" s="1"/>
  <c r="AE77" i="86"/>
  <c r="N77" i="86"/>
  <c r="M14" i="85" s="1"/>
  <c r="M15" i="85" s="1"/>
  <c r="N10" i="86"/>
  <c r="N70" i="86"/>
  <c r="AE10" i="86"/>
  <c r="AE70" i="86"/>
  <c r="AD73" i="84"/>
  <c r="Z73" i="84"/>
  <c r="Y73" i="84"/>
  <c r="O73" i="84"/>
  <c r="M73" i="84"/>
  <c r="K73" i="84"/>
  <c r="AF72" i="84"/>
  <c r="AE72" i="84"/>
  <c r="V72" i="84"/>
  <c r="U72" i="84"/>
  <c r="O72" i="84"/>
  <c r="N72" i="84"/>
  <c r="Q72" i="84" s="1"/>
  <c r="M72" i="84"/>
  <c r="K72" i="84"/>
  <c r="G72" i="84"/>
  <c r="AF71" i="84"/>
  <c r="AE71" i="84"/>
  <c r="V71" i="84"/>
  <c r="U71" i="84"/>
  <c r="Q71" i="84"/>
  <c r="P71" i="84"/>
  <c r="O71" i="84"/>
  <c r="N71" i="84"/>
  <c r="M71" i="84"/>
  <c r="K71" i="84"/>
  <c r="G71" i="84"/>
  <c r="AF70" i="84"/>
  <c r="AE70" i="84"/>
  <c r="V70" i="84"/>
  <c r="U70" i="84"/>
  <c r="O70" i="84"/>
  <c r="M70" i="84"/>
  <c r="N70" i="84" s="1"/>
  <c r="K70" i="84"/>
  <c r="G70" i="84"/>
  <c r="AF69" i="84"/>
  <c r="AE69" i="84"/>
  <c r="V69" i="84"/>
  <c r="U69" i="84"/>
  <c r="O69" i="84"/>
  <c r="M69" i="84"/>
  <c r="N69" i="84" s="1"/>
  <c r="K69" i="84"/>
  <c r="G69" i="84"/>
  <c r="AF68" i="84"/>
  <c r="AE68" i="84"/>
  <c r="X68" i="84"/>
  <c r="W68" i="84"/>
  <c r="V68" i="84"/>
  <c r="Q68" i="84"/>
  <c r="P68" i="84"/>
  <c r="O68" i="84"/>
  <c r="N68" i="84"/>
  <c r="M68" i="84"/>
  <c r="K68" i="84"/>
  <c r="G68" i="84"/>
  <c r="AF67" i="84"/>
  <c r="AG62" i="84" s="1"/>
  <c r="AE67" i="84"/>
  <c r="AD67" i="84"/>
  <c r="Z67" i="84"/>
  <c r="Y67" i="84"/>
  <c r="O67" i="84"/>
  <c r="M67" i="84"/>
  <c r="N67" i="84" s="1"/>
  <c r="K67" i="84"/>
  <c r="AF66" i="84"/>
  <c r="AE66" i="84"/>
  <c r="V66" i="84"/>
  <c r="U66" i="84"/>
  <c r="O66" i="84"/>
  <c r="M66" i="84"/>
  <c r="N66" i="84" s="1"/>
  <c r="K66" i="84"/>
  <c r="G66" i="84"/>
  <c r="AF65" i="84"/>
  <c r="AE65" i="84"/>
  <c r="V65" i="84"/>
  <c r="U65" i="84"/>
  <c r="O65" i="84"/>
  <c r="M65" i="84"/>
  <c r="N65" i="84" s="1"/>
  <c r="P65" i="84" s="1"/>
  <c r="K65" i="84"/>
  <c r="G65" i="84"/>
  <c r="AF64" i="84"/>
  <c r="AE64" i="84"/>
  <c r="V64" i="84"/>
  <c r="U64" i="84"/>
  <c r="O64" i="84"/>
  <c r="M64" i="84"/>
  <c r="N64" i="84" s="1"/>
  <c r="Q64" i="84" s="1"/>
  <c r="K64" i="84"/>
  <c r="G64" i="84"/>
  <c r="AF63" i="84"/>
  <c r="AE63" i="84"/>
  <c r="V63" i="84"/>
  <c r="U63" i="84"/>
  <c r="Q63" i="84"/>
  <c r="P63" i="84"/>
  <c r="O63" i="84"/>
  <c r="N63" i="84"/>
  <c r="M63" i="84"/>
  <c r="K63" i="84"/>
  <c r="G63" i="84"/>
  <c r="AF62" i="84"/>
  <c r="AE62" i="84"/>
  <c r="V62" i="84"/>
  <c r="Q62" i="84"/>
  <c r="P62" i="84"/>
  <c r="O62" i="84"/>
  <c r="N62" i="84"/>
  <c r="M62" i="84"/>
  <c r="K62" i="84"/>
  <c r="G62" i="84"/>
  <c r="AD61" i="84"/>
  <c r="Z61" i="84"/>
  <c r="Y61" i="84"/>
  <c r="O61" i="84"/>
  <c r="K61" i="84"/>
  <c r="AF60" i="84"/>
  <c r="AE60" i="84"/>
  <c r="V60" i="84"/>
  <c r="U60" i="84"/>
  <c r="O60" i="84"/>
  <c r="N60" i="84"/>
  <c r="Q60" i="84" s="1"/>
  <c r="M60" i="84"/>
  <c r="K60" i="84"/>
  <c r="G60" i="84"/>
  <c r="AF59" i="84"/>
  <c r="AE59" i="84"/>
  <c r="V59" i="84"/>
  <c r="U59" i="84"/>
  <c r="O59" i="84"/>
  <c r="N59" i="84"/>
  <c r="Q59" i="84" s="1"/>
  <c r="M59" i="84"/>
  <c r="K59" i="84"/>
  <c r="G59" i="84"/>
  <c r="AF58" i="84"/>
  <c r="AE58" i="84"/>
  <c r="V58" i="84"/>
  <c r="U58" i="84"/>
  <c r="O58" i="84"/>
  <c r="N58" i="84"/>
  <c r="M58" i="84"/>
  <c r="K58" i="84"/>
  <c r="G58" i="84"/>
  <c r="AF57" i="84"/>
  <c r="AE57" i="84"/>
  <c r="V57" i="84"/>
  <c r="U57" i="84"/>
  <c r="O57" i="84"/>
  <c r="N57" i="84"/>
  <c r="M57" i="84"/>
  <c r="K57" i="84"/>
  <c r="G57" i="84"/>
  <c r="AF56" i="84"/>
  <c r="AE56" i="84"/>
  <c r="V56" i="84"/>
  <c r="U56" i="84"/>
  <c r="O56" i="84"/>
  <c r="N56" i="84"/>
  <c r="Q56" i="84" s="1"/>
  <c r="M56" i="84"/>
  <c r="K56" i="84"/>
  <c r="G56" i="84"/>
  <c r="AF55" i="84"/>
  <c r="AE55" i="84"/>
  <c r="V55" i="84"/>
  <c r="U55" i="84"/>
  <c r="Q55" i="84"/>
  <c r="P55" i="84"/>
  <c r="O55" i="84"/>
  <c r="N55" i="84"/>
  <c r="M55" i="84"/>
  <c r="K55" i="84"/>
  <c r="G55" i="84"/>
  <c r="AF54" i="84"/>
  <c r="AE54" i="84"/>
  <c r="V54" i="84"/>
  <c r="U54" i="84"/>
  <c r="O54" i="84"/>
  <c r="M54" i="84"/>
  <c r="N54" i="84" s="1"/>
  <c r="K54" i="84"/>
  <c r="G54" i="84"/>
  <c r="AF53" i="84"/>
  <c r="AE53" i="84"/>
  <c r="V53" i="84"/>
  <c r="U53" i="84"/>
  <c r="O53" i="84"/>
  <c r="M53" i="84"/>
  <c r="N53" i="84" s="1"/>
  <c r="K53" i="84"/>
  <c r="G53" i="84"/>
  <c r="AF52" i="84"/>
  <c r="AE52" i="84"/>
  <c r="V52" i="84"/>
  <c r="O52" i="84"/>
  <c r="M52" i="84"/>
  <c r="N52" i="84" s="1"/>
  <c r="K52" i="84"/>
  <c r="G52" i="84"/>
  <c r="AF51" i="84"/>
  <c r="AG42" i="84" s="1"/>
  <c r="AE51" i="84"/>
  <c r="AD51" i="84"/>
  <c r="Z51" i="84"/>
  <c r="Y51" i="84"/>
  <c r="O51" i="84"/>
  <c r="M51" i="84"/>
  <c r="N51" i="84" s="1"/>
  <c r="K51" i="84"/>
  <c r="AF50" i="84"/>
  <c r="AE50" i="84"/>
  <c r="V50" i="84"/>
  <c r="U50" i="84"/>
  <c r="O50" i="84"/>
  <c r="M50" i="84"/>
  <c r="N50" i="84" s="1"/>
  <c r="Q50" i="84" s="1"/>
  <c r="K50" i="84"/>
  <c r="G50" i="84"/>
  <c r="AF49" i="84"/>
  <c r="AE49" i="84"/>
  <c r="V49" i="84"/>
  <c r="U49" i="84"/>
  <c r="Q49" i="84"/>
  <c r="P49" i="84"/>
  <c r="O49" i="84"/>
  <c r="N49" i="84"/>
  <c r="M49" i="84"/>
  <c r="K49" i="84"/>
  <c r="G49" i="84"/>
  <c r="AF48" i="84"/>
  <c r="AE48" i="84"/>
  <c r="X48" i="84"/>
  <c r="W48" i="84"/>
  <c r="V48" i="84"/>
  <c r="U48" i="84"/>
  <c r="O48" i="84"/>
  <c r="M48" i="84"/>
  <c r="N48" i="84" s="1"/>
  <c r="Q48" i="84" s="1"/>
  <c r="K48" i="84"/>
  <c r="G48" i="84"/>
  <c r="AF47" i="84"/>
  <c r="AE47" i="84"/>
  <c r="V47" i="84"/>
  <c r="U47" i="84"/>
  <c r="Q47" i="84"/>
  <c r="P47" i="84"/>
  <c r="O47" i="84"/>
  <c r="N47" i="84"/>
  <c r="M47" i="84"/>
  <c r="K47" i="84"/>
  <c r="G47" i="84"/>
  <c r="AF46" i="84"/>
  <c r="AE46" i="84"/>
  <c r="V46" i="84"/>
  <c r="U46" i="84"/>
  <c r="Q46" i="84"/>
  <c r="P46" i="84"/>
  <c r="O46" i="84"/>
  <c r="N46" i="84"/>
  <c r="M46" i="84"/>
  <c r="K46" i="84"/>
  <c r="G46" i="84"/>
  <c r="AF45" i="84"/>
  <c r="AE45" i="84"/>
  <c r="V45" i="84"/>
  <c r="U45" i="84"/>
  <c r="O45" i="84"/>
  <c r="N45" i="84"/>
  <c r="P45" i="84" s="1"/>
  <c r="M45" i="84"/>
  <c r="K45" i="84"/>
  <c r="G45" i="84"/>
  <c r="AF44" i="84"/>
  <c r="AE44" i="84"/>
  <c r="V44" i="84"/>
  <c r="U44" i="84"/>
  <c r="O44" i="84"/>
  <c r="N44" i="84"/>
  <c r="Q44" i="84" s="1"/>
  <c r="M44" i="84"/>
  <c r="K44" i="84"/>
  <c r="G44" i="84"/>
  <c r="AF43" i="84"/>
  <c r="AE43" i="84"/>
  <c r="V43" i="84"/>
  <c r="U43" i="84"/>
  <c r="O43" i="84"/>
  <c r="N43" i="84"/>
  <c r="M43" i="84"/>
  <c r="K43" i="84"/>
  <c r="G43" i="84"/>
  <c r="AF42" i="84"/>
  <c r="AE42" i="84"/>
  <c r="V42" i="84"/>
  <c r="O42" i="84"/>
  <c r="N42" i="84"/>
  <c r="M42" i="84"/>
  <c r="K42" i="84"/>
  <c r="G42" i="84"/>
  <c r="AD41" i="84"/>
  <c r="Z41" i="84"/>
  <c r="Y41" i="84"/>
  <c r="O41" i="84"/>
  <c r="M41" i="84"/>
  <c r="K41" i="84"/>
  <c r="AF40" i="84"/>
  <c r="AE40" i="84"/>
  <c r="V40" i="84"/>
  <c r="U40" i="84"/>
  <c r="O40" i="84"/>
  <c r="N40" i="84"/>
  <c r="Q40" i="84" s="1"/>
  <c r="M40" i="84"/>
  <c r="K40" i="84"/>
  <c r="G40" i="84"/>
  <c r="AF39" i="84"/>
  <c r="AE39" i="84"/>
  <c r="V39" i="84"/>
  <c r="U39" i="84"/>
  <c r="Q39" i="84"/>
  <c r="P39" i="84"/>
  <c r="O39" i="84"/>
  <c r="N39" i="84"/>
  <c r="M39" i="84"/>
  <c r="K39" i="84"/>
  <c r="G39" i="84"/>
  <c r="AF38" i="84"/>
  <c r="AE38" i="84"/>
  <c r="V38" i="84"/>
  <c r="U38" i="84"/>
  <c r="O38" i="84"/>
  <c r="M38" i="84"/>
  <c r="N38" i="84" s="1"/>
  <c r="K38" i="84"/>
  <c r="G38" i="84"/>
  <c r="AF37" i="84"/>
  <c r="AE37" i="84"/>
  <c r="V37" i="84"/>
  <c r="U37" i="84"/>
  <c r="O37" i="84"/>
  <c r="M37" i="84"/>
  <c r="N37" i="84" s="1"/>
  <c r="K37" i="84"/>
  <c r="G37" i="84"/>
  <c r="AF36" i="84"/>
  <c r="AE36" i="84"/>
  <c r="V36" i="84"/>
  <c r="U36" i="84"/>
  <c r="O36" i="84"/>
  <c r="M36" i="84"/>
  <c r="N36" i="84" s="1"/>
  <c r="P36" i="84" s="1"/>
  <c r="K36" i="84"/>
  <c r="G36" i="84"/>
  <c r="AF35" i="84"/>
  <c r="AE35" i="84"/>
  <c r="X35" i="84"/>
  <c r="W35" i="84"/>
  <c r="V35" i="84"/>
  <c r="O35" i="84"/>
  <c r="M35" i="84"/>
  <c r="N35" i="84" s="1"/>
  <c r="K35" i="84"/>
  <c r="G35" i="84"/>
  <c r="AF34" i="84"/>
  <c r="AG29" i="84" s="1"/>
  <c r="AE34" i="84"/>
  <c r="AD34" i="84"/>
  <c r="Z34" i="84"/>
  <c r="Y34" i="84"/>
  <c r="O34" i="84"/>
  <c r="M34" i="84"/>
  <c r="N34" i="84" s="1"/>
  <c r="K34" i="84"/>
  <c r="AF33" i="84"/>
  <c r="AE33" i="84"/>
  <c r="V33" i="84"/>
  <c r="U33" i="84"/>
  <c r="O33" i="84"/>
  <c r="M33" i="84"/>
  <c r="N33" i="84" s="1"/>
  <c r="P33" i="84" s="1"/>
  <c r="K33" i="84"/>
  <c r="G33" i="84"/>
  <c r="AF32" i="84"/>
  <c r="AE32" i="84"/>
  <c r="V32" i="84"/>
  <c r="U32" i="84"/>
  <c r="O32" i="84"/>
  <c r="M32" i="84"/>
  <c r="N32" i="84" s="1"/>
  <c r="Q32" i="84" s="1"/>
  <c r="K32" i="84"/>
  <c r="G32" i="84"/>
  <c r="AF31" i="84"/>
  <c r="AE31" i="84"/>
  <c r="V31" i="84"/>
  <c r="U31" i="84"/>
  <c r="Q31" i="84"/>
  <c r="P31" i="84"/>
  <c r="O31" i="84"/>
  <c r="N31" i="84"/>
  <c r="M31" i="84"/>
  <c r="K31" i="84"/>
  <c r="G31" i="84"/>
  <c r="AF30" i="84"/>
  <c r="AE30" i="84"/>
  <c r="V30" i="84"/>
  <c r="U30" i="84"/>
  <c r="O30" i="84"/>
  <c r="N30" i="84"/>
  <c r="Q30" i="84" s="1"/>
  <c r="M30" i="84"/>
  <c r="K30" i="84"/>
  <c r="G30" i="84"/>
  <c r="AF29" i="84"/>
  <c r="AE29" i="84"/>
  <c r="X29" i="84"/>
  <c r="W29" i="84"/>
  <c r="V29" i="84"/>
  <c r="O29" i="84"/>
  <c r="M29" i="84"/>
  <c r="N29" i="84" s="1"/>
  <c r="Q29" i="84" s="1"/>
  <c r="K29" i="84"/>
  <c r="G29" i="84"/>
  <c r="AF28" i="84"/>
  <c r="AE28" i="84"/>
  <c r="AD28" i="84"/>
  <c r="Z28" i="84"/>
  <c r="Y28" i="84"/>
  <c r="O28" i="84"/>
  <c r="M28" i="84"/>
  <c r="N28" i="84" s="1"/>
  <c r="Q28" i="84" s="1"/>
  <c r="R22" i="84" s="1"/>
  <c r="K28" i="84"/>
  <c r="AF27" i="84"/>
  <c r="AE27" i="84"/>
  <c r="V27" i="84"/>
  <c r="U27" i="84"/>
  <c r="Q27" i="84"/>
  <c r="P27" i="84"/>
  <c r="O27" i="84"/>
  <c r="N27" i="84"/>
  <c r="M27" i="84"/>
  <c r="K27" i="84"/>
  <c r="G27" i="84"/>
  <c r="AF26" i="84"/>
  <c r="AE26" i="84"/>
  <c r="V26" i="84"/>
  <c r="U26" i="84"/>
  <c r="Q26" i="84"/>
  <c r="P26" i="84"/>
  <c r="O26" i="84"/>
  <c r="N26" i="84"/>
  <c r="M26" i="84"/>
  <c r="K26" i="84"/>
  <c r="G26" i="84"/>
  <c r="AF25" i="84"/>
  <c r="AE25" i="84"/>
  <c r="V25" i="84"/>
  <c r="U25" i="84"/>
  <c r="O25" i="84"/>
  <c r="N25" i="84"/>
  <c r="Q25" i="84" s="1"/>
  <c r="M25" i="84"/>
  <c r="K25" i="84"/>
  <c r="G25" i="84"/>
  <c r="AF24" i="84"/>
  <c r="AE24" i="84"/>
  <c r="V24" i="84"/>
  <c r="U24" i="84"/>
  <c r="O24" i="84"/>
  <c r="N24" i="84"/>
  <c r="Q24" i="84" s="1"/>
  <c r="M24" i="84"/>
  <c r="K24" i="84"/>
  <c r="G24" i="84"/>
  <c r="AF23" i="84"/>
  <c r="AE23" i="84"/>
  <c r="V23" i="84"/>
  <c r="U23" i="84"/>
  <c r="O23" i="84"/>
  <c r="N23" i="84"/>
  <c r="M23" i="84"/>
  <c r="K23" i="84"/>
  <c r="G23" i="84"/>
  <c r="AG22" i="84"/>
  <c r="AF22" i="84"/>
  <c r="AE22" i="84"/>
  <c r="V22" i="84"/>
  <c r="O22" i="84"/>
  <c r="N22" i="84"/>
  <c r="M22" i="84"/>
  <c r="K22" i="84"/>
  <c r="G22" i="84"/>
  <c r="AF21" i="84"/>
  <c r="AG14" i="84" s="1"/>
  <c r="AD21" i="84"/>
  <c r="Z21" i="84"/>
  <c r="Y21" i="84"/>
  <c r="O21" i="84"/>
  <c r="N21" i="84"/>
  <c r="M21" i="84"/>
  <c r="AE21" i="84" s="1"/>
  <c r="K21" i="84"/>
  <c r="AF20" i="84"/>
  <c r="AE20" i="84"/>
  <c r="V20" i="84"/>
  <c r="U20" i="84"/>
  <c r="Q20" i="84"/>
  <c r="P20" i="84"/>
  <c r="O20" i="84"/>
  <c r="N20" i="84"/>
  <c r="M20" i="84"/>
  <c r="K20" i="84"/>
  <c r="G20" i="84"/>
  <c r="AF19" i="84"/>
  <c r="AE19" i="84"/>
  <c r="X19" i="84"/>
  <c r="W19" i="84"/>
  <c r="V19" i="84"/>
  <c r="U19" i="84"/>
  <c r="O19" i="84"/>
  <c r="N19" i="84"/>
  <c r="M19" i="84"/>
  <c r="K19" i="84"/>
  <c r="G19" i="84"/>
  <c r="AF18" i="84"/>
  <c r="AE18" i="84"/>
  <c r="V18" i="84"/>
  <c r="U18" i="84"/>
  <c r="Q18" i="84"/>
  <c r="P18" i="84"/>
  <c r="O18" i="84"/>
  <c r="N18" i="84"/>
  <c r="M18" i="84"/>
  <c r="K18" i="84"/>
  <c r="G18" i="84"/>
  <c r="AF17" i="84"/>
  <c r="AE17" i="84"/>
  <c r="V17" i="84"/>
  <c r="U17" i="84"/>
  <c r="O17" i="84"/>
  <c r="M17" i="84"/>
  <c r="N17" i="84" s="1"/>
  <c r="K17" i="84"/>
  <c r="G17" i="84"/>
  <c r="AF16" i="84"/>
  <c r="AE16" i="84"/>
  <c r="V16" i="84"/>
  <c r="U16" i="84"/>
  <c r="O16" i="84"/>
  <c r="M16" i="84"/>
  <c r="N16" i="84" s="1"/>
  <c r="K16" i="84"/>
  <c r="G16" i="84"/>
  <c r="AF15" i="84"/>
  <c r="AE15" i="84"/>
  <c r="V15" i="84"/>
  <c r="U15" i="84"/>
  <c r="O15" i="84"/>
  <c r="M15" i="84"/>
  <c r="N15" i="84" s="1"/>
  <c r="P15" i="84" s="1"/>
  <c r="K15" i="84"/>
  <c r="G15" i="84"/>
  <c r="AF14" i="84"/>
  <c r="AE14" i="84"/>
  <c r="V14" i="84"/>
  <c r="O14" i="84"/>
  <c r="M14" i="84"/>
  <c r="N14" i="84" s="1"/>
  <c r="P14" i="84" s="1"/>
  <c r="K14" i="84"/>
  <c r="G14" i="84"/>
  <c r="AF13" i="84"/>
  <c r="AG11" i="84" s="1"/>
  <c r="AE13" i="84"/>
  <c r="AD13" i="84"/>
  <c r="Z13" i="84"/>
  <c r="Y13" i="84"/>
  <c r="O13" i="84"/>
  <c r="M13" i="84"/>
  <c r="N13" i="84" s="1"/>
  <c r="K13" i="84"/>
  <c r="AF12" i="84"/>
  <c r="AE12" i="84"/>
  <c r="V12" i="84"/>
  <c r="U12" i="84"/>
  <c r="Q12" i="84"/>
  <c r="P12" i="84"/>
  <c r="O12" i="84"/>
  <c r="N12" i="84"/>
  <c r="M12" i="84"/>
  <c r="K12" i="84"/>
  <c r="G12" i="84"/>
  <c r="AF11" i="84"/>
  <c r="AE11" i="84"/>
  <c r="V11" i="84"/>
  <c r="Q11" i="84"/>
  <c r="P11" i="84"/>
  <c r="O11" i="84"/>
  <c r="N11" i="84"/>
  <c r="M11" i="84"/>
  <c r="K11" i="84"/>
  <c r="G11" i="84"/>
  <c r="AF10" i="84"/>
  <c r="AE10" i="84"/>
  <c r="AD10" i="84"/>
  <c r="Z10" i="84"/>
  <c r="Y10" i="84"/>
  <c r="Q10" i="84"/>
  <c r="R5" i="84" s="1"/>
  <c r="P10" i="84"/>
  <c r="O10" i="84"/>
  <c r="N10" i="84"/>
  <c r="M10" i="84"/>
  <c r="K10" i="84"/>
  <c r="AF9" i="84"/>
  <c r="AE9" i="84"/>
  <c r="V9" i="84"/>
  <c r="U9" i="84"/>
  <c r="O9" i="84"/>
  <c r="N9" i="84"/>
  <c r="P9" i="84" s="1"/>
  <c r="M9" i="84"/>
  <c r="K9" i="84"/>
  <c r="G9" i="84"/>
  <c r="AF8" i="84"/>
  <c r="AE8" i="84"/>
  <c r="V8" i="84"/>
  <c r="U8" i="84"/>
  <c r="O8" i="84"/>
  <c r="N8" i="84"/>
  <c r="Q8" i="84" s="1"/>
  <c r="M8" i="84"/>
  <c r="K8" i="84"/>
  <c r="G8" i="84"/>
  <c r="AF7" i="84"/>
  <c r="AE7" i="84"/>
  <c r="V7" i="84"/>
  <c r="U7" i="84"/>
  <c r="O7" i="84"/>
  <c r="N7" i="84"/>
  <c r="Q7" i="84" s="1"/>
  <c r="M7" i="84"/>
  <c r="K7" i="84"/>
  <c r="G7" i="84"/>
  <c r="AF6" i="84"/>
  <c r="AE6" i="84"/>
  <c r="V6" i="84"/>
  <c r="U6" i="84"/>
  <c r="O6" i="84"/>
  <c r="N6" i="84"/>
  <c r="M6" i="84"/>
  <c r="K6" i="84"/>
  <c r="G6" i="84"/>
  <c r="AG5" i="84"/>
  <c r="AF5" i="84"/>
  <c r="AE5" i="84"/>
  <c r="V5" i="84"/>
  <c r="O5" i="84"/>
  <c r="N5" i="84"/>
  <c r="M5" i="84"/>
  <c r="K5" i="84"/>
  <c r="G5" i="84"/>
  <c r="AD2" i="84"/>
  <c r="Z2" i="84"/>
  <c r="Y2" i="84"/>
  <c r="H2" i="84"/>
  <c r="H1" i="84"/>
  <c r="F1" i="84"/>
  <c r="D1" i="84"/>
  <c r="M22" i="83"/>
  <c r="L22" i="83"/>
  <c r="K22" i="83"/>
  <c r="J22" i="83"/>
  <c r="I22" i="83"/>
  <c r="H22" i="83"/>
  <c r="G22" i="83"/>
  <c r="F22" i="83"/>
  <c r="E22" i="83"/>
  <c r="D22" i="83"/>
  <c r="M21" i="83"/>
  <c r="L21" i="83"/>
  <c r="K21" i="83"/>
  <c r="J21" i="83"/>
  <c r="I21" i="83"/>
  <c r="H21" i="83"/>
  <c r="G21" i="83"/>
  <c r="F21" i="83"/>
  <c r="E21" i="83"/>
  <c r="D21" i="83"/>
  <c r="M20" i="83"/>
  <c r="L20" i="83"/>
  <c r="K20" i="83"/>
  <c r="J20" i="83"/>
  <c r="I20" i="83"/>
  <c r="H20" i="83"/>
  <c r="G20" i="83"/>
  <c r="F20" i="83"/>
  <c r="E20" i="83"/>
  <c r="D20" i="83"/>
  <c r="M19" i="83"/>
  <c r="L19" i="83"/>
  <c r="K19" i="83"/>
  <c r="J19" i="83"/>
  <c r="I19" i="83"/>
  <c r="H19" i="83"/>
  <c r="G19" i="83"/>
  <c r="F19" i="83"/>
  <c r="E19" i="83"/>
  <c r="D19" i="83"/>
  <c r="M18" i="83"/>
  <c r="L18" i="83"/>
  <c r="K18" i="83"/>
  <c r="J18" i="83"/>
  <c r="I18" i="83"/>
  <c r="H18" i="83"/>
  <c r="G18" i="83"/>
  <c r="F18" i="83"/>
  <c r="E18" i="83"/>
  <c r="D18" i="83"/>
  <c r="M17" i="83"/>
  <c r="L17" i="83"/>
  <c r="K17" i="83"/>
  <c r="J17" i="83"/>
  <c r="I17" i="83"/>
  <c r="H17" i="83"/>
  <c r="G17" i="83"/>
  <c r="F17" i="83"/>
  <c r="E17" i="83"/>
  <c r="D17" i="83"/>
  <c r="M16" i="83"/>
  <c r="L16" i="83"/>
  <c r="K16" i="83"/>
  <c r="J16" i="83"/>
  <c r="I16" i="83"/>
  <c r="H16" i="83"/>
  <c r="G16" i="83"/>
  <c r="F16" i="83"/>
  <c r="E16" i="83"/>
  <c r="D16" i="83"/>
  <c r="D15" i="83"/>
  <c r="K14" i="83"/>
  <c r="J14" i="83"/>
  <c r="J15" i="83" s="1"/>
  <c r="H14" i="83"/>
  <c r="H15" i="83" s="1"/>
  <c r="G14" i="83"/>
  <c r="G15" i="83" s="1"/>
  <c r="F14" i="83"/>
  <c r="F15" i="83" s="1"/>
  <c r="D14" i="83"/>
  <c r="M13" i="83"/>
  <c r="L13" i="83"/>
  <c r="K13" i="83"/>
  <c r="J13" i="83"/>
  <c r="I13" i="83"/>
  <c r="H13" i="83"/>
  <c r="G13" i="83"/>
  <c r="F13" i="83"/>
  <c r="E13" i="83"/>
  <c r="D13" i="83"/>
  <c r="N6" i="83"/>
  <c r="M6" i="83"/>
  <c r="L6" i="83"/>
  <c r="K6" i="83"/>
  <c r="I6" i="83"/>
  <c r="G6" i="83"/>
  <c r="F6" i="83"/>
  <c r="E6" i="83"/>
  <c r="F3" i="83"/>
  <c r="C3" i="83"/>
  <c r="Q23" i="86" l="1"/>
  <c r="P23" i="86"/>
  <c r="N14" i="86"/>
  <c r="AF14" i="86"/>
  <c r="AG12" i="86" s="1"/>
  <c r="AE14" i="86"/>
  <c r="Q24" i="86"/>
  <c r="P24" i="86"/>
  <c r="N30" i="86"/>
  <c r="AF30" i="86"/>
  <c r="AG23" i="86" s="1"/>
  <c r="AE30" i="86"/>
  <c r="Q27" i="86"/>
  <c r="P27" i="86"/>
  <c r="N37" i="86"/>
  <c r="AF37" i="86"/>
  <c r="AG31" i="86" s="1"/>
  <c r="AE37" i="86"/>
  <c r="Q17" i="86"/>
  <c r="P17" i="86"/>
  <c r="Q15" i="86"/>
  <c r="P15" i="86"/>
  <c r="Q70" i="86"/>
  <c r="P70" i="86"/>
  <c r="Q10" i="86"/>
  <c r="P10" i="86"/>
  <c r="Q77" i="86"/>
  <c r="R72" i="86" s="1"/>
  <c r="P77" i="86"/>
  <c r="H14" i="85"/>
  <c r="H15" i="85" s="1"/>
  <c r="Q54" i="86"/>
  <c r="R44" i="86" s="1"/>
  <c r="P54" i="86"/>
  <c r="P47" i="86"/>
  <c r="Q47" i="86"/>
  <c r="Q45" i="86"/>
  <c r="P45" i="86"/>
  <c r="Q12" i="86"/>
  <c r="P12" i="86"/>
  <c r="Q14" i="86"/>
  <c r="R12" i="86" s="1"/>
  <c r="P14" i="86"/>
  <c r="F2" i="84"/>
  <c r="I3" i="83"/>
  <c r="Q21" i="84"/>
  <c r="R14" i="84" s="1"/>
  <c r="P21" i="84"/>
  <c r="AF41" i="84"/>
  <c r="AG35" i="84" s="1"/>
  <c r="AE41" i="84"/>
  <c r="Q37" i="84"/>
  <c r="P37" i="84"/>
  <c r="N41" i="84"/>
  <c r="Q52" i="84"/>
  <c r="P52" i="84"/>
  <c r="Q66" i="84"/>
  <c r="P66" i="84"/>
  <c r="P8" i="84"/>
  <c r="Q9" i="84"/>
  <c r="Q19" i="84"/>
  <c r="P19" i="84"/>
  <c r="P25" i="84"/>
  <c r="Q45" i="84"/>
  <c r="Q70" i="84"/>
  <c r="P70" i="84"/>
  <c r="Q15" i="84"/>
  <c r="Q33" i="84"/>
  <c r="P44" i="84"/>
  <c r="Q51" i="84"/>
  <c r="R42" i="84" s="1"/>
  <c r="P51" i="84"/>
  <c r="P7" i="84"/>
  <c r="P24" i="84"/>
  <c r="Q43" i="84"/>
  <c r="P43" i="84"/>
  <c r="P60" i="84"/>
  <c r="AF73" i="84"/>
  <c r="AG68" i="84" s="1"/>
  <c r="AE73" i="84"/>
  <c r="Q6" i="84"/>
  <c r="P6" i="84"/>
  <c r="P13" i="84"/>
  <c r="E14" i="83"/>
  <c r="Q14" i="84"/>
  <c r="Q23" i="84"/>
  <c r="P23" i="84"/>
  <c r="P32" i="84"/>
  <c r="Q36" i="84"/>
  <c r="Q54" i="84"/>
  <c r="P54" i="84"/>
  <c r="Q65" i="84"/>
  <c r="Q69" i="84"/>
  <c r="P69" i="84"/>
  <c r="N73" i="84"/>
  <c r="Q17" i="84"/>
  <c r="P17" i="84"/>
  <c r="Q35" i="84"/>
  <c r="P35" i="84"/>
  <c r="P59" i="84"/>
  <c r="Q13" i="84"/>
  <c r="R11" i="84" s="1"/>
  <c r="P29" i="84"/>
  <c r="Q58" i="84"/>
  <c r="P58" i="84"/>
  <c r="P64" i="84"/>
  <c r="P67" i="84"/>
  <c r="Q67" i="84"/>
  <c r="R62" i="84" s="1"/>
  <c r="Q5" i="84"/>
  <c r="P5" i="84"/>
  <c r="Q22" i="84"/>
  <c r="P22" i="84"/>
  <c r="P28" i="84"/>
  <c r="P30" i="84"/>
  <c r="Q38" i="84"/>
  <c r="P38" i="84"/>
  <c r="Q42" i="84"/>
  <c r="P42" i="84"/>
  <c r="P50" i="84"/>
  <c r="K15" i="83"/>
  <c r="Q34" i="84"/>
  <c r="R29" i="84" s="1"/>
  <c r="P34" i="84"/>
  <c r="P48" i="84"/>
  <c r="Q53" i="84"/>
  <c r="P53" i="84"/>
  <c r="Q16" i="84"/>
  <c r="P16" i="84"/>
  <c r="Q57" i="84"/>
  <c r="P57" i="84"/>
  <c r="P40" i="84"/>
  <c r="P56" i="84"/>
  <c r="P72" i="84"/>
  <c r="M61" i="84"/>
  <c r="K14" i="85" l="1"/>
  <c r="Q37" i="86"/>
  <c r="R31" i="86" s="1"/>
  <c r="P37" i="86"/>
  <c r="G14" i="85"/>
  <c r="G15" i="85" s="1"/>
  <c r="P30" i="86"/>
  <c r="Q30" i="86"/>
  <c r="R23" i="86" s="1"/>
  <c r="E14" i="85"/>
  <c r="D2" i="86"/>
  <c r="E15" i="83"/>
  <c r="L14" i="83"/>
  <c r="Q41" i="84"/>
  <c r="R35" i="84" s="1"/>
  <c r="P41" i="84"/>
  <c r="N61" i="84"/>
  <c r="AF61" i="84"/>
  <c r="AG52" i="84" s="1"/>
  <c r="AE61" i="84"/>
  <c r="M14" i="83"/>
  <c r="M15" i="83" s="1"/>
  <c r="Q73" i="84"/>
  <c r="R68" i="84" s="1"/>
  <c r="P73" i="84"/>
  <c r="E15" i="85" l="1"/>
  <c r="G7" i="85"/>
  <c r="F7" i="85"/>
  <c r="E7" i="85"/>
  <c r="I7" i="85"/>
  <c r="K15" i="85"/>
  <c r="I8" i="85" s="1"/>
  <c r="L15" i="83"/>
  <c r="I8" i="83" s="1"/>
  <c r="I7" i="83"/>
  <c r="Q61" i="84"/>
  <c r="R52" i="84" s="1"/>
  <c r="I14" i="83"/>
  <c r="P61" i="84"/>
  <c r="D2" i="84"/>
  <c r="E8" i="85" l="1"/>
  <c r="F8" i="85"/>
  <c r="G8" i="85"/>
  <c r="I15" i="83"/>
  <c r="E7" i="83"/>
  <c r="G7" i="83"/>
  <c r="F7" i="83"/>
  <c r="E8" i="83" l="1"/>
  <c r="G8" i="83"/>
  <c r="F8" i="83"/>
  <c r="AD76" i="82" l="1"/>
  <c r="Z76" i="82"/>
  <c r="Y76" i="82"/>
  <c r="M18" i="81" s="1"/>
  <c r="O76" i="82"/>
  <c r="K76" i="82"/>
  <c r="AF75" i="82"/>
  <c r="V75" i="82"/>
  <c r="U75" i="82"/>
  <c r="O75" i="82"/>
  <c r="N75" i="82"/>
  <c r="Q75" i="82" s="1"/>
  <c r="M75" i="82"/>
  <c r="AE75" i="82" s="1"/>
  <c r="K75" i="82"/>
  <c r="G75" i="82"/>
  <c r="AF74" i="82"/>
  <c r="V74" i="82"/>
  <c r="U74" i="82"/>
  <c r="O74" i="82"/>
  <c r="M74" i="82"/>
  <c r="N74" i="82" s="1"/>
  <c r="K74" i="82"/>
  <c r="G74" i="82"/>
  <c r="V73" i="82"/>
  <c r="M73" i="82" s="1"/>
  <c r="U73" i="82"/>
  <c r="O73" i="82"/>
  <c r="K73" i="82"/>
  <c r="G73" i="82"/>
  <c r="V72" i="82"/>
  <c r="M72" i="82" s="1"/>
  <c r="U72" i="82"/>
  <c r="O72" i="82"/>
  <c r="K72" i="82"/>
  <c r="G72" i="82"/>
  <c r="AF71" i="82"/>
  <c r="AE71" i="82"/>
  <c r="X71" i="82"/>
  <c r="W71" i="82"/>
  <c r="V71" i="82"/>
  <c r="O71" i="82"/>
  <c r="M71" i="82"/>
  <c r="N71" i="82" s="1"/>
  <c r="K71" i="82"/>
  <c r="G71" i="82"/>
  <c r="AD70" i="82"/>
  <c r="Z70" i="82"/>
  <c r="Y70" i="82"/>
  <c r="O70" i="82"/>
  <c r="K70" i="82"/>
  <c r="V69" i="82"/>
  <c r="M69" i="82" s="1"/>
  <c r="U69" i="82"/>
  <c r="O69" i="82"/>
  <c r="K69" i="82"/>
  <c r="G69" i="82"/>
  <c r="V68" i="82"/>
  <c r="M68" i="82" s="1"/>
  <c r="U68" i="82"/>
  <c r="O68" i="82"/>
  <c r="K68" i="82"/>
  <c r="G68" i="82"/>
  <c r="V67" i="82"/>
  <c r="M67" i="82" s="1"/>
  <c r="U67" i="82"/>
  <c r="O67" i="82"/>
  <c r="K67" i="82"/>
  <c r="G67" i="82"/>
  <c r="V66" i="82"/>
  <c r="M66" i="82" s="1"/>
  <c r="U66" i="82"/>
  <c r="O66" i="82"/>
  <c r="K66" i="82"/>
  <c r="G66" i="82"/>
  <c r="V65" i="82"/>
  <c r="M65" i="82" s="1"/>
  <c r="O65" i="82"/>
  <c r="K65" i="82"/>
  <c r="G65" i="82"/>
  <c r="AD64" i="82"/>
  <c r="Z64" i="82"/>
  <c r="Y64" i="82"/>
  <c r="I18" i="81" s="1"/>
  <c r="O64" i="82"/>
  <c r="K64" i="82"/>
  <c r="V63" i="82"/>
  <c r="U63" i="82"/>
  <c r="O63" i="82"/>
  <c r="N63" i="82"/>
  <c r="Q63" i="82" s="1"/>
  <c r="M63" i="82"/>
  <c r="AF63" i="82" s="1"/>
  <c r="K63" i="82"/>
  <c r="G63" i="82"/>
  <c r="V62" i="82"/>
  <c r="U62" i="82"/>
  <c r="O62" i="82"/>
  <c r="N62" i="82"/>
  <c r="Q62" i="82" s="1"/>
  <c r="M62" i="82"/>
  <c r="AF62" i="82" s="1"/>
  <c r="K62" i="82"/>
  <c r="G62" i="82"/>
  <c r="V61" i="82"/>
  <c r="U61" i="82"/>
  <c r="O61" i="82"/>
  <c r="M61" i="82"/>
  <c r="AF61" i="82" s="1"/>
  <c r="K61" i="82"/>
  <c r="G61" i="82"/>
  <c r="V60" i="82"/>
  <c r="U60" i="82"/>
  <c r="O60" i="82"/>
  <c r="M60" i="82"/>
  <c r="AF60" i="82" s="1"/>
  <c r="K60" i="82"/>
  <c r="G60" i="82"/>
  <c r="AF59" i="82"/>
  <c r="V59" i="82"/>
  <c r="U59" i="82"/>
  <c r="O59" i="82"/>
  <c r="N59" i="82"/>
  <c r="Q59" i="82" s="1"/>
  <c r="M59" i="82"/>
  <c r="AE59" i="82" s="1"/>
  <c r="K59" i="82"/>
  <c r="G59" i="82"/>
  <c r="AF58" i="82"/>
  <c r="V58" i="82"/>
  <c r="U58" i="82"/>
  <c r="O58" i="82"/>
  <c r="M58" i="82"/>
  <c r="N58" i="82" s="1"/>
  <c r="K58" i="82"/>
  <c r="G58" i="82"/>
  <c r="V57" i="82"/>
  <c r="M57" i="82" s="1"/>
  <c r="U57" i="82"/>
  <c r="O57" i="82"/>
  <c r="K57" i="82"/>
  <c r="G57" i="82"/>
  <c r="V56" i="82"/>
  <c r="M56" i="82" s="1"/>
  <c r="U56" i="82"/>
  <c r="O56" i="82"/>
  <c r="K56" i="82"/>
  <c r="G56" i="82"/>
  <c r="V55" i="82"/>
  <c r="M55" i="82" s="1"/>
  <c r="O55" i="82"/>
  <c r="K55" i="82"/>
  <c r="G55" i="82"/>
  <c r="AD54" i="82"/>
  <c r="H21" i="81" s="1"/>
  <c r="Z54" i="82"/>
  <c r="H19" i="81" s="1"/>
  <c r="Y54" i="82"/>
  <c r="O54" i="82"/>
  <c r="K54" i="82"/>
  <c r="V53" i="82"/>
  <c r="M53" i="82" s="1"/>
  <c r="U53" i="82"/>
  <c r="O53" i="82"/>
  <c r="K53" i="82"/>
  <c r="G53" i="82"/>
  <c r="V52" i="82"/>
  <c r="M52" i="82" s="1"/>
  <c r="U52" i="82"/>
  <c r="O52" i="82"/>
  <c r="K52" i="82"/>
  <c r="G52" i="82"/>
  <c r="V51" i="82"/>
  <c r="M51" i="82" s="1"/>
  <c r="U51" i="82"/>
  <c r="O51" i="82"/>
  <c r="K51" i="82"/>
  <c r="G51" i="82"/>
  <c r="X50" i="82"/>
  <c r="W50" i="82"/>
  <c r="V50" i="82"/>
  <c r="M50" i="82" s="1"/>
  <c r="U50" i="82"/>
  <c r="O50" i="82"/>
  <c r="K50" i="82"/>
  <c r="G50" i="82"/>
  <c r="V49" i="82"/>
  <c r="M49" i="82" s="1"/>
  <c r="U49" i="82"/>
  <c r="O49" i="82"/>
  <c r="K49" i="82"/>
  <c r="G49" i="82"/>
  <c r="V48" i="82"/>
  <c r="U48" i="82"/>
  <c r="O48" i="82"/>
  <c r="N48" i="82"/>
  <c r="Q48" i="82" s="1"/>
  <c r="M48" i="82"/>
  <c r="AF48" i="82" s="1"/>
  <c r="K48" i="82"/>
  <c r="G48" i="82"/>
  <c r="V47" i="82"/>
  <c r="U47" i="82"/>
  <c r="O47" i="82"/>
  <c r="N47" i="82"/>
  <c r="Q47" i="82" s="1"/>
  <c r="M47" i="82"/>
  <c r="AF47" i="82" s="1"/>
  <c r="K47" i="82"/>
  <c r="G47" i="82"/>
  <c r="V46" i="82"/>
  <c r="U46" i="82"/>
  <c r="O46" i="82"/>
  <c r="M46" i="82"/>
  <c r="AF46" i="82" s="1"/>
  <c r="K46" i="82"/>
  <c r="G46" i="82"/>
  <c r="V45" i="82"/>
  <c r="U45" i="82"/>
  <c r="O45" i="82"/>
  <c r="M45" i="82"/>
  <c r="AF45" i="82" s="1"/>
  <c r="K45" i="82"/>
  <c r="G45" i="82"/>
  <c r="V44" i="82"/>
  <c r="O44" i="82"/>
  <c r="M44" i="82"/>
  <c r="AF44" i="82" s="1"/>
  <c r="K44" i="82"/>
  <c r="G44" i="82"/>
  <c r="AD43" i="82"/>
  <c r="Z43" i="82"/>
  <c r="Y43" i="82"/>
  <c r="L18" i="81" s="1"/>
  <c r="O43" i="82"/>
  <c r="K43" i="82"/>
  <c r="AF42" i="82"/>
  <c r="V42" i="82"/>
  <c r="U42" i="82"/>
  <c r="O42" i="82"/>
  <c r="M42" i="82"/>
  <c r="N42" i="82" s="1"/>
  <c r="K42" i="82"/>
  <c r="G42" i="82"/>
  <c r="AF41" i="82"/>
  <c r="AE41" i="82"/>
  <c r="X41" i="82"/>
  <c r="W41" i="82"/>
  <c r="V41" i="82"/>
  <c r="U41" i="82"/>
  <c r="O41" i="82"/>
  <c r="N41" i="82"/>
  <c r="Q41" i="82" s="1"/>
  <c r="M41" i="82"/>
  <c r="K41" i="82"/>
  <c r="G41" i="82"/>
  <c r="AF40" i="82"/>
  <c r="V40" i="82"/>
  <c r="U40" i="82"/>
  <c r="O40" i="82"/>
  <c r="M40" i="82"/>
  <c r="N40" i="82" s="1"/>
  <c r="K40" i="82"/>
  <c r="G40" i="82"/>
  <c r="V39" i="82"/>
  <c r="M39" i="82" s="1"/>
  <c r="U39" i="82"/>
  <c r="O39" i="82"/>
  <c r="K39" i="82"/>
  <c r="G39" i="82"/>
  <c r="V38" i="82"/>
  <c r="M38" i="82" s="1"/>
  <c r="U38" i="82"/>
  <c r="O38" i="82"/>
  <c r="K38" i="82"/>
  <c r="G38" i="82"/>
  <c r="V37" i="82"/>
  <c r="M37" i="82" s="1"/>
  <c r="U37" i="82"/>
  <c r="O37" i="82"/>
  <c r="K37" i="82"/>
  <c r="G37" i="82"/>
  <c r="X36" i="82"/>
  <c r="W36" i="82"/>
  <c r="V36" i="82"/>
  <c r="M36" i="82" s="1"/>
  <c r="O36" i="82"/>
  <c r="K36" i="82"/>
  <c r="G36" i="82"/>
  <c r="AD35" i="82"/>
  <c r="Z35" i="82"/>
  <c r="K19" i="81" s="1"/>
  <c r="Y35" i="82"/>
  <c r="O35" i="82"/>
  <c r="K35" i="82"/>
  <c r="V34" i="82"/>
  <c r="M34" i="82" s="1"/>
  <c r="U34" i="82"/>
  <c r="O34" i="82"/>
  <c r="K34" i="82"/>
  <c r="G34" i="82"/>
  <c r="X33" i="82"/>
  <c r="W33" i="82"/>
  <c r="V33" i="82"/>
  <c r="M33" i="82" s="1"/>
  <c r="U33" i="82"/>
  <c r="O33" i="82"/>
  <c r="K33" i="82"/>
  <c r="G33" i="82"/>
  <c r="V32" i="82"/>
  <c r="M32" i="82" s="1"/>
  <c r="U32" i="82"/>
  <c r="O32" i="82"/>
  <c r="K32" i="82"/>
  <c r="G32" i="82"/>
  <c r="V31" i="82"/>
  <c r="M31" i="82" s="1"/>
  <c r="U31" i="82"/>
  <c r="O31" i="82"/>
  <c r="K31" i="82"/>
  <c r="G31" i="82"/>
  <c r="V30" i="82"/>
  <c r="M30" i="82" s="1"/>
  <c r="U30" i="82"/>
  <c r="O30" i="82"/>
  <c r="K30" i="82"/>
  <c r="G30" i="82"/>
  <c r="X29" i="82"/>
  <c r="W29" i="82"/>
  <c r="V29" i="82"/>
  <c r="M29" i="82" s="1"/>
  <c r="O29" i="82"/>
  <c r="K29" i="82"/>
  <c r="G29" i="82"/>
  <c r="AD28" i="82"/>
  <c r="G21" i="81" s="1"/>
  <c r="Z28" i="82"/>
  <c r="Y28" i="82"/>
  <c r="G18" i="81" s="1"/>
  <c r="O28" i="82"/>
  <c r="K28" i="82"/>
  <c r="V27" i="82"/>
  <c r="M27" i="82" s="1"/>
  <c r="U27" i="82"/>
  <c r="O27" i="82"/>
  <c r="K27" i="82"/>
  <c r="G27" i="82"/>
  <c r="V26" i="82"/>
  <c r="M26" i="82" s="1"/>
  <c r="U26" i="82"/>
  <c r="O26" i="82"/>
  <c r="K26" i="82"/>
  <c r="G26" i="82"/>
  <c r="V25" i="82"/>
  <c r="U25" i="82"/>
  <c r="O25" i="82"/>
  <c r="N25" i="82"/>
  <c r="Q25" i="82" s="1"/>
  <c r="M25" i="82"/>
  <c r="AF25" i="82" s="1"/>
  <c r="K25" i="82"/>
  <c r="G25" i="82"/>
  <c r="V24" i="82"/>
  <c r="U24" i="82"/>
  <c r="O24" i="82"/>
  <c r="N24" i="82"/>
  <c r="Q24" i="82" s="1"/>
  <c r="M24" i="82"/>
  <c r="AF24" i="82" s="1"/>
  <c r="K24" i="82"/>
  <c r="G24" i="82"/>
  <c r="V23" i="82"/>
  <c r="U23" i="82"/>
  <c r="O23" i="82"/>
  <c r="M23" i="82"/>
  <c r="AF23" i="82" s="1"/>
  <c r="K23" i="82"/>
  <c r="G23" i="82"/>
  <c r="V22" i="82"/>
  <c r="O22" i="82"/>
  <c r="M22" i="82"/>
  <c r="AF22" i="82" s="1"/>
  <c r="K22" i="82"/>
  <c r="G22" i="82"/>
  <c r="AD21" i="82"/>
  <c r="Z21" i="82"/>
  <c r="Y21" i="82"/>
  <c r="O21" i="82"/>
  <c r="K21" i="82"/>
  <c r="AF20" i="82"/>
  <c r="V20" i="82"/>
  <c r="U20" i="82"/>
  <c r="O20" i="82"/>
  <c r="N20" i="82"/>
  <c r="Q20" i="82" s="1"/>
  <c r="M20" i="82"/>
  <c r="AE20" i="82" s="1"/>
  <c r="K20" i="82"/>
  <c r="G20" i="82"/>
  <c r="AF19" i="82"/>
  <c r="X19" i="82"/>
  <c r="W19" i="82"/>
  <c r="V19" i="82"/>
  <c r="U19" i="82"/>
  <c r="O19" i="82"/>
  <c r="M19" i="82"/>
  <c r="N19" i="82" s="1"/>
  <c r="K19" i="82"/>
  <c r="G19" i="82"/>
  <c r="AF18" i="82"/>
  <c r="V18" i="82"/>
  <c r="U18" i="82"/>
  <c r="O18" i="82"/>
  <c r="N18" i="82"/>
  <c r="Q18" i="82" s="1"/>
  <c r="M18" i="82"/>
  <c r="AE18" i="82" s="1"/>
  <c r="K18" i="82"/>
  <c r="G18" i="82"/>
  <c r="AF17" i="82"/>
  <c r="V17" i="82"/>
  <c r="U17" i="82"/>
  <c r="O17" i="82"/>
  <c r="M17" i="82"/>
  <c r="N17" i="82" s="1"/>
  <c r="K17" i="82"/>
  <c r="G17" i="82"/>
  <c r="V16" i="82"/>
  <c r="M16" i="82" s="1"/>
  <c r="U16" i="82"/>
  <c r="O16" i="82"/>
  <c r="K16" i="82"/>
  <c r="G16" i="82"/>
  <c r="V15" i="82"/>
  <c r="M15" i="82" s="1"/>
  <c r="U15" i="82"/>
  <c r="O15" i="82"/>
  <c r="K15" i="82"/>
  <c r="G15" i="82"/>
  <c r="V14" i="82"/>
  <c r="M14" i="82" s="1"/>
  <c r="O14" i="82"/>
  <c r="K14" i="82"/>
  <c r="G14" i="82"/>
  <c r="AD13" i="82"/>
  <c r="E21" i="81" s="1"/>
  <c r="Z13" i="82"/>
  <c r="E19" i="81" s="1"/>
  <c r="Y13" i="82"/>
  <c r="O13" i="82"/>
  <c r="K13" i="82"/>
  <c r="V12" i="82"/>
  <c r="M12" i="82" s="1"/>
  <c r="U12" i="82"/>
  <c r="O12" i="82"/>
  <c r="K12" i="82"/>
  <c r="G12" i="82"/>
  <c r="V11" i="82"/>
  <c r="M11" i="82" s="1"/>
  <c r="O11" i="82"/>
  <c r="K11" i="82"/>
  <c r="G11" i="82"/>
  <c r="AD10" i="82"/>
  <c r="AD2" i="82" s="1"/>
  <c r="N6" i="81" s="1"/>
  <c r="Z10" i="82"/>
  <c r="D19" i="81" s="1"/>
  <c r="Y10" i="82"/>
  <c r="Y2" i="82" s="1"/>
  <c r="K6" i="81" s="1"/>
  <c r="O10" i="82"/>
  <c r="K10" i="82"/>
  <c r="V9" i="82"/>
  <c r="M9" i="82" s="1"/>
  <c r="U9" i="82"/>
  <c r="O9" i="82"/>
  <c r="K9" i="82"/>
  <c r="G9" i="82"/>
  <c r="V8" i="82"/>
  <c r="U8" i="82"/>
  <c r="O8" i="82"/>
  <c r="N8" i="82"/>
  <c r="Q8" i="82" s="1"/>
  <c r="M8" i="82"/>
  <c r="AF8" i="82" s="1"/>
  <c r="K8" i="82"/>
  <c r="G8" i="82"/>
  <c r="V7" i="82"/>
  <c r="U7" i="82"/>
  <c r="O7" i="82"/>
  <c r="N7" i="82"/>
  <c r="Q7" i="82" s="1"/>
  <c r="M7" i="82"/>
  <c r="AF7" i="82" s="1"/>
  <c r="K7" i="82"/>
  <c r="G7" i="82"/>
  <c r="V6" i="82"/>
  <c r="U6" i="82"/>
  <c r="O6" i="82"/>
  <c r="M6" i="82"/>
  <c r="AF6" i="82" s="1"/>
  <c r="K6" i="82"/>
  <c r="G6" i="82"/>
  <c r="V5" i="82"/>
  <c r="O5" i="82"/>
  <c r="M5" i="82"/>
  <c r="AF5" i="82" s="1"/>
  <c r="K5" i="82"/>
  <c r="G5" i="82"/>
  <c r="F1" i="82" s="1"/>
  <c r="H2" i="82"/>
  <c r="H1" i="82"/>
  <c r="D1" i="82"/>
  <c r="M22" i="81"/>
  <c r="L22" i="81"/>
  <c r="K22" i="81"/>
  <c r="J22" i="81"/>
  <c r="I22" i="81"/>
  <c r="H22" i="81"/>
  <c r="G22" i="81"/>
  <c r="F22" i="81"/>
  <c r="E22" i="81"/>
  <c r="D22" i="81"/>
  <c r="M21" i="81"/>
  <c r="L21" i="81"/>
  <c r="K21" i="81"/>
  <c r="J21" i="81"/>
  <c r="I21" i="81"/>
  <c r="F21" i="81"/>
  <c r="M20" i="81"/>
  <c r="L20" i="81"/>
  <c r="K20" i="81"/>
  <c r="J20" i="81"/>
  <c r="I20" i="81"/>
  <c r="H20" i="81"/>
  <c r="G20" i="81"/>
  <c r="F20" i="81"/>
  <c r="E20" i="81"/>
  <c r="D20" i="81"/>
  <c r="M19" i="81"/>
  <c r="L19" i="81"/>
  <c r="J19" i="81"/>
  <c r="I19" i="81"/>
  <c r="G19" i="81"/>
  <c r="F19" i="81"/>
  <c r="K18" i="81"/>
  <c r="J18" i="81"/>
  <c r="H18" i="81"/>
  <c r="F18" i="81"/>
  <c r="E18" i="81"/>
  <c r="D18" i="81"/>
  <c r="M17" i="81"/>
  <c r="L17" i="81"/>
  <c r="K17" i="81"/>
  <c r="J17" i="81"/>
  <c r="I17" i="81"/>
  <c r="H17" i="81"/>
  <c r="G17" i="81"/>
  <c r="F17" i="81"/>
  <c r="E17" i="81"/>
  <c r="D17" i="81"/>
  <c r="M16" i="81"/>
  <c r="L16" i="81"/>
  <c r="K16" i="81"/>
  <c r="J16" i="81"/>
  <c r="I16" i="81"/>
  <c r="H16" i="81"/>
  <c r="G16" i="81"/>
  <c r="F16" i="81"/>
  <c r="E16" i="81"/>
  <c r="D16" i="81"/>
  <c r="M13" i="81"/>
  <c r="L13" i="81"/>
  <c r="K13" i="81"/>
  <c r="I6" i="81" s="1"/>
  <c r="J13" i="81"/>
  <c r="I13" i="81"/>
  <c r="H13" i="81"/>
  <c r="F6" i="81" s="1"/>
  <c r="G13" i="81"/>
  <c r="F13" i="81"/>
  <c r="E13" i="81"/>
  <c r="D13" i="81"/>
  <c r="M6" i="81"/>
  <c r="F3" i="81"/>
  <c r="C3" i="81"/>
  <c r="Q42" i="82" l="1"/>
  <c r="P42" i="82"/>
  <c r="N69" i="82"/>
  <c r="AF69" i="82"/>
  <c r="AE69" i="82"/>
  <c r="N73" i="82"/>
  <c r="AF73" i="82"/>
  <c r="AE73" i="82"/>
  <c r="N11" i="82"/>
  <c r="M13" i="82"/>
  <c r="AF11" i="82"/>
  <c r="AE11" i="82"/>
  <c r="N16" i="82"/>
  <c r="AF16" i="82"/>
  <c r="AE16" i="82"/>
  <c r="N27" i="82"/>
  <c r="AF27" i="82"/>
  <c r="AE27" i="82"/>
  <c r="N50" i="82"/>
  <c r="AF50" i="82"/>
  <c r="AE50" i="82"/>
  <c r="N52" i="82"/>
  <c r="AF52" i="82"/>
  <c r="AE52" i="82"/>
  <c r="N57" i="82"/>
  <c r="AF57" i="82"/>
  <c r="AE57" i="82"/>
  <c r="N67" i="82"/>
  <c r="AF67" i="82"/>
  <c r="AE67" i="82"/>
  <c r="N14" i="82"/>
  <c r="AF14" i="82"/>
  <c r="M21" i="82"/>
  <c r="AE14" i="82"/>
  <c r="N32" i="82"/>
  <c r="AF32" i="82"/>
  <c r="AE32" i="82"/>
  <c r="N34" i="82"/>
  <c r="AF34" i="82"/>
  <c r="AE34" i="82"/>
  <c r="AF9" i="82"/>
  <c r="AE9" i="82"/>
  <c r="N9" i="82"/>
  <c r="Q17" i="82"/>
  <c r="P17" i="82"/>
  <c r="N30" i="82"/>
  <c r="AF30" i="82"/>
  <c r="AE30" i="82"/>
  <c r="N39" i="82"/>
  <c r="AF39" i="82"/>
  <c r="AE39" i="82"/>
  <c r="Q74" i="82"/>
  <c r="P74" i="82"/>
  <c r="N36" i="82"/>
  <c r="AF36" i="82"/>
  <c r="M43" i="82"/>
  <c r="AE36" i="82"/>
  <c r="N38" i="82"/>
  <c r="AF38" i="82"/>
  <c r="AE38" i="82"/>
  <c r="N12" i="82"/>
  <c r="AF12" i="82"/>
  <c r="AE12" i="82"/>
  <c r="M64" i="82"/>
  <c r="N55" i="82"/>
  <c r="AF55" i="82"/>
  <c r="AE55" i="82"/>
  <c r="N65" i="82"/>
  <c r="AF65" i="82"/>
  <c r="M70" i="82"/>
  <c r="AE65" i="82"/>
  <c r="Q19" i="82"/>
  <c r="P19" i="82"/>
  <c r="N37" i="82"/>
  <c r="AF37" i="82"/>
  <c r="AE37" i="82"/>
  <c r="Q58" i="82"/>
  <c r="P58" i="82"/>
  <c r="F2" i="82"/>
  <c r="I3" i="81"/>
  <c r="AF51" i="82"/>
  <c r="AE51" i="82"/>
  <c r="N51" i="82"/>
  <c r="N66" i="82"/>
  <c r="AF66" i="82"/>
  <c r="AE66" i="82"/>
  <c r="AF26" i="82"/>
  <c r="AE26" i="82"/>
  <c r="N26" i="82"/>
  <c r="Q40" i="82"/>
  <c r="P40" i="82"/>
  <c r="AF49" i="82"/>
  <c r="AE49" i="82"/>
  <c r="N49" i="82"/>
  <c r="N56" i="82"/>
  <c r="AF56" i="82"/>
  <c r="AE56" i="82"/>
  <c r="N15" i="82"/>
  <c r="AF15" i="82"/>
  <c r="AE15" i="82"/>
  <c r="N53" i="82"/>
  <c r="AF53" i="82"/>
  <c r="AE53" i="82"/>
  <c r="N68" i="82"/>
  <c r="AF68" i="82"/>
  <c r="AE68" i="82"/>
  <c r="N72" i="82"/>
  <c r="AF72" i="82"/>
  <c r="M76" i="82"/>
  <c r="AE72" i="82"/>
  <c r="N33" i="82"/>
  <c r="AF33" i="82"/>
  <c r="AE33" i="82"/>
  <c r="N29" i="82"/>
  <c r="M35" i="82"/>
  <c r="AF29" i="82"/>
  <c r="AE29" i="82"/>
  <c r="N31" i="82"/>
  <c r="AF31" i="82"/>
  <c r="AE31" i="82"/>
  <c r="Q71" i="82"/>
  <c r="P71" i="82"/>
  <c r="AE17" i="82"/>
  <c r="AE19" i="82"/>
  <c r="AE40" i="82"/>
  <c r="AE42" i="82"/>
  <c r="AE58" i="82"/>
  <c r="AE74" i="82"/>
  <c r="E6" i="81"/>
  <c r="G6" i="81"/>
  <c r="N5" i="82"/>
  <c r="N6" i="82"/>
  <c r="P8" i="82"/>
  <c r="N22" i="82"/>
  <c r="N23" i="82"/>
  <c r="P25" i="82"/>
  <c r="N46" i="82"/>
  <c r="P48" i="82"/>
  <c r="N61" i="82"/>
  <c r="P63" i="82"/>
  <c r="P7" i="82"/>
  <c r="P24" i="82"/>
  <c r="N44" i="82"/>
  <c r="N45" i="82"/>
  <c r="P47" i="82"/>
  <c r="N60" i="82"/>
  <c r="P62" i="82"/>
  <c r="D21" i="81"/>
  <c r="AE8" i="82"/>
  <c r="P18" i="82"/>
  <c r="P20" i="82"/>
  <c r="AE25" i="82"/>
  <c r="P41" i="82"/>
  <c r="AE48" i="82"/>
  <c r="M54" i="82"/>
  <c r="P59" i="82"/>
  <c r="AE63" i="82"/>
  <c r="P75" i="82"/>
  <c r="AE7" i="82"/>
  <c r="AE24" i="82"/>
  <c r="M28" i="82"/>
  <c r="AE47" i="82"/>
  <c r="AE62" i="82"/>
  <c r="AE5" i="82"/>
  <c r="AE6" i="82"/>
  <c r="M10" i="82"/>
  <c r="AE22" i="82"/>
  <c r="AE23" i="82"/>
  <c r="AE46" i="82"/>
  <c r="AE61" i="82"/>
  <c r="Z2" i="82"/>
  <c r="L6" i="81" s="1"/>
  <c r="AE44" i="82"/>
  <c r="AE45" i="82"/>
  <c r="AE60" i="82"/>
  <c r="Q56" i="82" l="1"/>
  <c r="P56" i="82"/>
  <c r="Q38" i="82"/>
  <c r="P38" i="82"/>
  <c r="AF21" i="82"/>
  <c r="AG14" i="82" s="1"/>
  <c r="AE21" i="82"/>
  <c r="N21" i="82"/>
  <c r="N35" i="82"/>
  <c r="AF35" i="82"/>
  <c r="AG29" i="82" s="1"/>
  <c r="AE35" i="82"/>
  <c r="Q9" i="82"/>
  <c r="P9" i="82"/>
  <c r="Q14" i="82"/>
  <c r="P14" i="82"/>
  <c r="Q50" i="82"/>
  <c r="P50" i="82"/>
  <c r="Q49" i="82"/>
  <c r="P49" i="82"/>
  <c r="Q52" i="82"/>
  <c r="P52" i="82"/>
  <c r="Q11" i="82"/>
  <c r="P11" i="82"/>
  <c r="P29" i="82"/>
  <c r="Q29" i="82"/>
  <c r="Q36" i="82"/>
  <c r="P36" i="82"/>
  <c r="Q73" i="82"/>
  <c r="P73" i="82"/>
  <c r="Q6" i="82"/>
  <c r="P6" i="82"/>
  <c r="Q5" i="82"/>
  <c r="P5" i="82"/>
  <c r="N10" i="82"/>
  <c r="AF10" i="82"/>
  <c r="AG5" i="82" s="1"/>
  <c r="AE10" i="82"/>
  <c r="Q53" i="82"/>
  <c r="P53" i="82"/>
  <c r="Q72" i="82"/>
  <c r="P72" i="82"/>
  <c r="N13" i="82"/>
  <c r="AF13" i="82"/>
  <c r="AG11" i="82" s="1"/>
  <c r="AE13" i="82"/>
  <c r="N28" i="82"/>
  <c r="AF28" i="82"/>
  <c r="AG22" i="82" s="1"/>
  <c r="AE28" i="82"/>
  <c r="Q26" i="82"/>
  <c r="P26" i="82"/>
  <c r="Q55" i="82"/>
  <c r="P55" i="82"/>
  <c r="N64" i="82"/>
  <c r="AF64" i="82"/>
  <c r="AG55" i="82" s="1"/>
  <c r="AE64" i="82"/>
  <c r="Q67" i="82"/>
  <c r="P67" i="82"/>
  <c r="Q27" i="82"/>
  <c r="P27" i="82"/>
  <c r="Q45" i="82"/>
  <c r="P45" i="82"/>
  <c r="Q66" i="82"/>
  <c r="P66" i="82"/>
  <c r="Q44" i="82"/>
  <c r="P44" i="82"/>
  <c r="P32" i="82"/>
  <c r="Q32" i="82"/>
  <c r="Q31" i="82"/>
  <c r="P31" i="82"/>
  <c r="AE43" i="82"/>
  <c r="N43" i="82"/>
  <c r="AF43" i="82"/>
  <c r="AG36" i="82" s="1"/>
  <c r="Q23" i="82"/>
  <c r="P23" i="82"/>
  <c r="Q33" i="82"/>
  <c r="P33" i="82"/>
  <c r="Q69" i="82"/>
  <c r="P69" i="82"/>
  <c r="Q60" i="82"/>
  <c r="P60" i="82"/>
  <c r="Q22" i="82"/>
  <c r="P22" i="82"/>
  <c r="Q15" i="82"/>
  <c r="P15" i="82"/>
  <c r="P37" i="82"/>
  <c r="Q37" i="82"/>
  <c r="P34" i="82"/>
  <c r="Q34" i="82"/>
  <c r="N54" i="82"/>
  <c r="AF54" i="82"/>
  <c r="AG44" i="82" s="1"/>
  <c r="AE54" i="82"/>
  <c r="Q51" i="82"/>
  <c r="P51" i="82"/>
  <c r="N70" i="82"/>
  <c r="AF70" i="82"/>
  <c r="AG65" i="82" s="1"/>
  <c r="AE70" i="82"/>
  <c r="Q30" i="82"/>
  <c r="P30" i="82"/>
  <c r="P68" i="82"/>
  <c r="Q68" i="82"/>
  <c r="Q65" i="82"/>
  <c r="P65" i="82"/>
  <c r="Q61" i="82"/>
  <c r="P61" i="82"/>
  <c r="Q46" i="82"/>
  <c r="P46" i="82"/>
  <c r="AF76" i="82"/>
  <c r="AG71" i="82" s="1"/>
  <c r="AE76" i="82"/>
  <c r="N76" i="82"/>
  <c r="Q12" i="82"/>
  <c r="P12" i="82"/>
  <c r="Q39" i="82"/>
  <c r="P39" i="82"/>
  <c r="Q57" i="82"/>
  <c r="P57" i="82"/>
  <c r="Q16" i="82"/>
  <c r="P16" i="82"/>
  <c r="Q54" i="82" l="1"/>
  <c r="R44" i="82" s="1"/>
  <c r="P54" i="82"/>
  <c r="H14" i="81"/>
  <c r="H15" i="81" s="1"/>
  <c r="Q64" i="82"/>
  <c r="R55" i="82" s="1"/>
  <c r="I14" i="81"/>
  <c r="I15" i="81" s="1"/>
  <c r="P64" i="82"/>
  <c r="D2" i="82"/>
  <c r="D14" i="81"/>
  <c r="Q10" i="82"/>
  <c r="R5" i="82" s="1"/>
  <c r="P10" i="82"/>
  <c r="Q70" i="82"/>
  <c r="R65" i="82" s="1"/>
  <c r="P70" i="82"/>
  <c r="J14" i="81"/>
  <c r="J15" i="81" s="1"/>
  <c r="P28" i="82"/>
  <c r="G14" i="81"/>
  <c r="G15" i="81" s="1"/>
  <c r="Q28" i="82"/>
  <c r="R22" i="82" s="1"/>
  <c r="Q76" i="82"/>
  <c r="R71" i="82" s="1"/>
  <c r="P76" i="82"/>
  <c r="M14" i="81"/>
  <c r="M15" i="81" s="1"/>
  <c r="Q43" i="82"/>
  <c r="R36" i="82" s="1"/>
  <c r="P43" i="82"/>
  <c r="L14" i="81"/>
  <c r="L15" i="81" s="1"/>
  <c r="Q35" i="82"/>
  <c r="R29" i="82" s="1"/>
  <c r="P35" i="82"/>
  <c r="K14" i="81"/>
  <c r="Q21" i="82"/>
  <c r="R14" i="82" s="1"/>
  <c r="P21" i="82"/>
  <c r="F14" i="81"/>
  <c r="F15" i="81" s="1"/>
  <c r="Q13" i="82"/>
  <c r="R11" i="82" s="1"/>
  <c r="P13" i="82"/>
  <c r="E14" i="81"/>
  <c r="E15" i="81" s="1"/>
  <c r="D15" i="81" l="1"/>
  <c r="E7" i="81"/>
  <c r="G7" i="81"/>
  <c r="F7" i="81"/>
  <c r="K15" i="81"/>
  <c r="I8" i="81" s="1"/>
  <c r="I7" i="81"/>
  <c r="F8" i="81" l="1"/>
  <c r="G8" i="81"/>
  <c r="E8" i="81"/>
  <c r="AD81" i="80" l="1"/>
  <c r="Z81" i="80"/>
  <c r="Y81" i="80"/>
  <c r="O81" i="80"/>
  <c r="M81" i="80"/>
  <c r="K81" i="80"/>
  <c r="M13" i="79" s="1"/>
  <c r="V80" i="80"/>
  <c r="U80" i="80"/>
  <c r="O80" i="80"/>
  <c r="M80" i="80"/>
  <c r="AE80" i="80" s="1"/>
  <c r="K80" i="80"/>
  <c r="G80" i="80"/>
  <c r="AF79" i="80"/>
  <c r="X79" i="80"/>
  <c r="W79" i="80"/>
  <c r="V79" i="80"/>
  <c r="U79" i="80"/>
  <c r="O79" i="80"/>
  <c r="M79" i="80"/>
  <c r="N79" i="80" s="1"/>
  <c r="K79" i="80"/>
  <c r="G79" i="80"/>
  <c r="V78" i="80"/>
  <c r="U78" i="80"/>
  <c r="O78" i="80"/>
  <c r="M78" i="80"/>
  <c r="AE78" i="80" s="1"/>
  <c r="K78" i="80"/>
  <c r="G78" i="80"/>
  <c r="AF77" i="80"/>
  <c r="AE77" i="80"/>
  <c r="V77" i="80"/>
  <c r="U77" i="80"/>
  <c r="O77" i="80"/>
  <c r="M77" i="80"/>
  <c r="N77" i="80" s="1"/>
  <c r="K77" i="80"/>
  <c r="G77" i="80"/>
  <c r="AF76" i="80"/>
  <c r="AE76" i="80"/>
  <c r="V76" i="80"/>
  <c r="M76" i="80" s="1"/>
  <c r="N76" i="80" s="1"/>
  <c r="U76" i="80"/>
  <c r="O76" i="80"/>
  <c r="K76" i="80"/>
  <c r="G76" i="80"/>
  <c r="AF75" i="80"/>
  <c r="AE75" i="80"/>
  <c r="X75" i="80"/>
  <c r="W75" i="80"/>
  <c r="V75" i="80"/>
  <c r="O75" i="80"/>
  <c r="M75" i="80"/>
  <c r="N75" i="80" s="1"/>
  <c r="K75" i="80"/>
  <c r="G75" i="80"/>
  <c r="AD74" i="80"/>
  <c r="Z74" i="80"/>
  <c r="Y74" i="80"/>
  <c r="J18" i="79" s="1"/>
  <c r="O74" i="80"/>
  <c r="K74" i="80"/>
  <c r="AF73" i="80"/>
  <c r="AE73" i="80"/>
  <c r="V73" i="80"/>
  <c r="M73" i="80" s="1"/>
  <c r="N73" i="80" s="1"/>
  <c r="U73" i="80"/>
  <c r="O73" i="80"/>
  <c r="K73" i="80"/>
  <c r="G73" i="80"/>
  <c r="AE72" i="80"/>
  <c r="V72" i="80"/>
  <c r="M72" i="80" s="1"/>
  <c r="U72" i="80"/>
  <c r="O72" i="80"/>
  <c r="K72" i="80"/>
  <c r="G72" i="80"/>
  <c r="V71" i="80"/>
  <c r="M71" i="80" s="1"/>
  <c r="U71" i="80"/>
  <c r="O71" i="80"/>
  <c r="K71" i="80"/>
  <c r="G71" i="80"/>
  <c r="V70" i="80"/>
  <c r="M70" i="80" s="1"/>
  <c r="U70" i="80"/>
  <c r="O70" i="80"/>
  <c r="K70" i="80"/>
  <c r="G70" i="80"/>
  <c r="V69" i="80"/>
  <c r="M69" i="80" s="1"/>
  <c r="O69" i="80"/>
  <c r="K69" i="80"/>
  <c r="G69" i="80"/>
  <c r="AD68" i="80"/>
  <c r="Z68" i="80"/>
  <c r="Y68" i="80"/>
  <c r="O68" i="80"/>
  <c r="K68" i="80"/>
  <c r="V67" i="80"/>
  <c r="M67" i="80" s="1"/>
  <c r="U67" i="80"/>
  <c r="O67" i="80"/>
  <c r="K67" i="80"/>
  <c r="G67" i="80"/>
  <c r="X66" i="80"/>
  <c r="W66" i="80"/>
  <c r="V66" i="80"/>
  <c r="M66" i="80" s="1"/>
  <c r="U66" i="80"/>
  <c r="O66" i="80"/>
  <c r="K66" i="80"/>
  <c r="G66" i="80"/>
  <c r="V65" i="80"/>
  <c r="M65" i="80" s="1"/>
  <c r="U65" i="80"/>
  <c r="O65" i="80"/>
  <c r="K65" i="80"/>
  <c r="G65" i="80"/>
  <c r="V64" i="80"/>
  <c r="U64" i="80"/>
  <c r="O64" i="80"/>
  <c r="N64" i="80"/>
  <c r="M64" i="80"/>
  <c r="AF64" i="80" s="1"/>
  <c r="K64" i="80"/>
  <c r="G64" i="80"/>
  <c r="V63" i="80"/>
  <c r="U63" i="80"/>
  <c r="O63" i="80"/>
  <c r="N63" i="80"/>
  <c r="M63" i="80"/>
  <c r="K63" i="80"/>
  <c r="G63" i="80"/>
  <c r="V62" i="80"/>
  <c r="U62" i="80"/>
  <c r="O62" i="80"/>
  <c r="M62" i="80"/>
  <c r="K62" i="80"/>
  <c r="G62" i="80"/>
  <c r="V61" i="80"/>
  <c r="U61" i="80"/>
  <c r="O61" i="80"/>
  <c r="M61" i="80"/>
  <c r="AF61" i="80" s="1"/>
  <c r="K61" i="80"/>
  <c r="G61" i="80"/>
  <c r="V60" i="80"/>
  <c r="U60" i="80"/>
  <c r="O60" i="80"/>
  <c r="M60" i="80"/>
  <c r="AE60" i="80" s="1"/>
  <c r="K60" i="80"/>
  <c r="G60" i="80"/>
  <c r="AF59" i="80"/>
  <c r="AE59" i="80"/>
  <c r="V59" i="80"/>
  <c r="U59" i="80"/>
  <c r="Q59" i="80"/>
  <c r="O59" i="80"/>
  <c r="N59" i="80"/>
  <c r="P59" i="80" s="1"/>
  <c r="M59" i="80"/>
  <c r="K59" i="80"/>
  <c r="G59" i="80"/>
  <c r="AF58" i="80"/>
  <c r="AE58" i="80"/>
  <c r="V58" i="80"/>
  <c r="Q58" i="80"/>
  <c r="O58" i="80"/>
  <c r="N58" i="80"/>
  <c r="P58" i="80" s="1"/>
  <c r="M58" i="80"/>
  <c r="K58" i="80"/>
  <c r="G58" i="80"/>
  <c r="AD57" i="80"/>
  <c r="Z57" i="80"/>
  <c r="Y57" i="80"/>
  <c r="O57" i="80"/>
  <c r="K57" i="80"/>
  <c r="AE56" i="80"/>
  <c r="V56" i="80"/>
  <c r="M56" i="80" s="1"/>
  <c r="U56" i="80"/>
  <c r="O56" i="80"/>
  <c r="K56" i="80"/>
  <c r="G56" i="80"/>
  <c r="V55" i="80"/>
  <c r="M55" i="80" s="1"/>
  <c r="U55" i="80"/>
  <c r="O55" i="80"/>
  <c r="K55" i="80"/>
  <c r="G55" i="80"/>
  <c r="V54" i="80"/>
  <c r="M54" i="80" s="1"/>
  <c r="U54" i="80"/>
  <c r="O54" i="80"/>
  <c r="K54" i="80"/>
  <c r="G54" i="80"/>
  <c r="X53" i="80"/>
  <c r="W53" i="80"/>
  <c r="V53" i="80"/>
  <c r="M53" i="80" s="1"/>
  <c r="U53" i="80"/>
  <c r="O53" i="80"/>
  <c r="K53" i="80"/>
  <c r="G53" i="80"/>
  <c r="V52" i="80"/>
  <c r="M52" i="80" s="1"/>
  <c r="U52" i="80"/>
  <c r="O52" i="80"/>
  <c r="K52" i="80"/>
  <c r="G52" i="80"/>
  <c r="V51" i="80"/>
  <c r="M51" i="80" s="1"/>
  <c r="U51" i="80"/>
  <c r="O51" i="80"/>
  <c r="K51" i="80"/>
  <c r="G51" i="80"/>
  <c r="V50" i="80"/>
  <c r="M50" i="80" s="1"/>
  <c r="U50" i="80"/>
  <c r="O50" i="80"/>
  <c r="K50" i="80"/>
  <c r="G50" i="80"/>
  <c r="V49" i="80"/>
  <c r="U49" i="80"/>
  <c r="O49" i="80"/>
  <c r="N49" i="80"/>
  <c r="M49" i="80"/>
  <c r="AF49" i="80" s="1"/>
  <c r="K49" i="80"/>
  <c r="G49" i="80"/>
  <c r="V48" i="80"/>
  <c r="U48" i="80"/>
  <c r="O48" i="80"/>
  <c r="N48" i="80"/>
  <c r="M48" i="80"/>
  <c r="K48" i="80"/>
  <c r="G48" i="80"/>
  <c r="V47" i="80"/>
  <c r="O47" i="80"/>
  <c r="N47" i="80"/>
  <c r="M47" i="80"/>
  <c r="K47" i="80"/>
  <c r="G47" i="80"/>
  <c r="AD46" i="80"/>
  <c r="Z46" i="80"/>
  <c r="Y46" i="80"/>
  <c r="O46" i="80"/>
  <c r="N46" i="80"/>
  <c r="M46" i="80"/>
  <c r="K46" i="80"/>
  <c r="V45" i="80"/>
  <c r="U45" i="80"/>
  <c r="O45" i="80"/>
  <c r="M45" i="80"/>
  <c r="AF45" i="80" s="1"/>
  <c r="K45" i="80"/>
  <c r="G45" i="80"/>
  <c r="V44" i="80"/>
  <c r="U44" i="80"/>
  <c r="O44" i="80"/>
  <c r="M44" i="80"/>
  <c r="AE44" i="80" s="1"/>
  <c r="K44" i="80"/>
  <c r="G44" i="80"/>
  <c r="AF43" i="80"/>
  <c r="X43" i="80"/>
  <c r="W43" i="80"/>
  <c r="V43" i="80"/>
  <c r="U43" i="80"/>
  <c r="O43" i="80"/>
  <c r="M43" i="80"/>
  <c r="N43" i="80" s="1"/>
  <c r="K43" i="80"/>
  <c r="G43" i="80"/>
  <c r="V42" i="80"/>
  <c r="U42" i="80"/>
  <c r="O42" i="80"/>
  <c r="M42" i="80"/>
  <c r="AE42" i="80" s="1"/>
  <c r="K42" i="80"/>
  <c r="G42" i="80"/>
  <c r="AF41" i="80"/>
  <c r="AE41" i="80"/>
  <c r="V41" i="80"/>
  <c r="U41" i="80"/>
  <c r="Q41" i="80"/>
  <c r="O41" i="80"/>
  <c r="N41" i="80"/>
  <c r="P41" i="80" s="1"/>
  <c r="M41" i="80"/>
  <c r="K41" i="80"/>
  <c r="G41" i="80"/>
  <c r="AF40" i="80"/>
  <c r="AE40" i="80"/>
  <c r="V40" i="80"/>
  <c r="M40" i="80" s="1"/>
  <c r="N40" i="80" s="1"/>
  <c r="U40" i="80"/>
  <c r="O40" i="80"/>
  <c r="K40" i="80"/>
  <c r="G40" i="80"/>
  <c r="AE39" i="80"/>
  <c r="V39" i="80"/>
  <c r="M39" i="80" s="1"/>
  <c r="U39" i="80"/>
  <c r="O39" i="80"/>
  <c r="K39" i="80"/>
  <c r="G39" i="80"/>
  <c r="AF38" i="80"/>
  <c r="AE38" i="80"/>
  <c r="X38" i="80"/>
  <c r="W38" i="80"/>
  <c r="V38" i="80"/>
  <c r="Q38" i="80"/>
  <c r="O38" i="80"/>
  <c r="N38" i="80"/>
  <c r="P38" i="80" s="1"/>
  <c r="M38" i="80"/>
  <c r="K38" i="80"/>
  <c r="G38" i="80"/>
  <c r="AD37" i="80"/>
  <c r="Z37" i="80"/>
  <c r="Y37" i="80"/>
  <c r="O37" i="80"/>
  <c r="K37" i="80"/>
  <c r="AE36" i="80"/>
  <c r="V36" i="80"/>
  <c r="M36" i="80" s="1"/>
  <c r="U36" i="80"/>
  <c r="O36" i="80"/>
  <c r="K36" i="80"/>
  <c r="G36" i="80"/>
  <c r="X35" i="80"/>
  <c r="W35" i="80"/>
  <c r="V35" i="80"/>
  <c r="M35" i="80" s="1"/>
  <c r="U35" i="80"/>
  <c r="O35" i="80"/>
  <c r="K35" i="80"/>
  <c r="G35" i="80"/>
  <c r="AE34" i="80"/>
  <c r="V34" i="80"/>
  <c r="M34" i="80" s="1"/>
  <c r="U34" i="80"/>
  <c r="O34" i="80"/>
  <c r="K34" i="80"/>
  <c r="G34" i="80"/>
  <c r="V33" i="80"/>
  <c r="M33" i="80" s="1"/>
  <c r="U33" i="80"/>
  <c r="O33" i="80"/>
  <c r="K33" i="80"/>
  <c r="G33" i="80"/>
  <c r="V32" i="80"/>
  <c r="M32" i="80" s="1"/>
  <c r="U32" i="80"/>
  <c r="O32" i="80"/>
  <c r="K32" i="80"/>
  <c r="G32" i="80"/>
  <c r="X31" i="80"/>
  <c r="W31" i="80"/>
  <c r="V31" i="80"/>
  <c r="M31" i="80" s="1"/>
  <c r="O31" i="80"/>
  <c r="K31" i="80"/>
  <c r="G31" i="80"/>
  <c r="AD30" i="80"/>
  <c r="G21" i="79" s="1"/>
  <c r="Z30" i="80"/>
  <c r="G19" i="79" s="1"/>
  <c r="Y30" i="80"/>
  <c r="O30" i="80"/>
  <c r="K30" i="80"/>
  <c r="V29" i="80"/>
  <c r="M29" i="80" s="1"/>
  <c r="U29" i="80"/>
  <c r="O29" i="80"/>
  <c r="K29" i="80"/>
  <c r="G29" i="80"/>
  <c r="X28" i="80"/>
  <c r="W28" i="80"/>
  <c r="V28" i="80"/>
  <c r="M28" i="80" s="1"/>
  <c r="U28" i="80"/>
  <c r="O28" i="80"/>
  <c r="K28" i="80"/>
  <c r="G28" i="80"/>
  <c r="V27" i="80"/>
  <c r="M27" i="80" s="1"/>
  <c r="U27" i="80"/>
  <c r="O27" i="80"/>
  <c r="K27" i="80"/>
  <c r="G27" i="80"/>
  <c r="V26" i="80"/>
  <c r="M26" i="80" s="1"/>
  <c r="U26" i="80"/>
  <c r="O26" i="80"/>
  <c r="K26" i="80"/>
  <c r="G26" i="80"/>
  <c r="V25" i="80"/>
  <c r="M25" i="80" s="1"/>
  <c r="U25" i="80"/>
  <c r="O25" i="80"/>
  <c r="K25" i="80"/>
  <c r="G25" i="80"/>
  <c r="V24" i="80"/>
  <c r="U24" i="80"/>
  <c r="O24" i="80"/>
  <c r="N24" i="80"/>
  <c r="M24" i="80"/>
  <c r="AF24" i="80" s="1"/>
  <c r="K24" i="80"/>
  <c r="G24" i="80"/>
  <c r="V23" i="80"/>
  <c r="O23" i="80"/>
  <c r="N23" i="80"/>
  <c r="M23" i="80"/>
  <c r="AF23" i="80" s="1"/>
  <c r="K23" i="80"/>
  <c r="G23" i="80"/>
  <c r="AD22" i="80"/>
  <c r="Z22" i="80"/>
  <c r="Y22" i="80"/>
  <c r="O22" i="80"/>
  <c r="K22" i="80"/>
  <c r="V21" i="80"/>
  <c r="U21" i="80"/>
  <c r="O21" i="80"/>
  <c r="M21" i="80"/>
  <c r="K21" i="80"/>
  <c r="G21" i="80"/>
  <c r="X20" i="80"/>
  <c r="W20" i="80"/>
  <c r="V20" i="80"/>
  <c r="U20" i="80"/>
  <c r="O20" i="80"/>
  <c r="N20" i="80"/>
  <c r="M20" i="80"/>
  <c r="K20" i="80"/>
  <c r="G20" i="80"/>
  <c r="V19" i="80"/>
  <c r="U19" i="80"/>
  <c r="O19" i="80"/>
  <c r="N19" i="80"/>
  <c r="M19" i="80"/>
  <c r="K19" i="80"/>
  <c r="G19" i="80"/>
  <c r="V18" i="80"/>
  <c r="U18" i="80"/>
  <c r="O18" i="80"/>
  <c r="M18" i="80"/>
  <c r="K18" i="80"/>
  <c r="G18" i="80"/>
  <c r="V17" i="80"/>
  <c r="U17" i="80"/>
  <c r="O17" i="80"/>
  <c r="M17" i="80"/>
  <c r="AE17" i="80" s="1"/>
  <c r="K17" i="80"/>
  <c r="G17" i="80"/>
  <c r="AF16" i="80"/>
  <c r="AE16" i="80"/>
  <c r="V16" i="80"/>
  <c r="U16" i="80"/>
  <c r="Q16" i="80"/>
  <c r="O16" i="80"/>
  <c r="N16" i="80"/>
  <c r="P16" i="80" s="1"/>
  <c r="M16" i="80"/>
  <c r="K16" i="80"/>
  <c r="G16" i="80"/>
  <c r="AF15" i="80"/>
  <c r="AE15" i="80"/>
  <c r="V15" i="80"/>
  <c r="Q15" i="80"/>
  <c r="O15" i="80"/>
  <c r="N15" i="80"/>
  <c r="P15" i="80" s="1"/>
  <c r="M15" i="80"/>
  <c r="K15" i="80"/>
  <c r="G15" i="80"/>
  <c r="AD14" i="80"/>
  <c r="Z14" i="80"/>
  <c r="Y14" i="80"/>
  <c r="O14" i="80"/>
  <c r="K14" i="80"/>
  <c r="AF13" i="80"/>
  <c r="AE13" i="80"/>
  <c r="V13" i="80"/>
  <c r="M13" i="80" s="1"/>
  <c r="N13" i="80" s="1"/>
  <c r="U13" i="80"/>
  <c r="O13" i="80"/>
  <c r="K13" i="80"/>
  <c r="G13" i="80"/>
  <c r="AF12" i="80"/>
  <c r="AE12" i="80"/>
  <c r="V12" i="80"/>
  <c r="M12" i="80" s="1"/>
  <c r="O12" i="80"/>
  <c r="K12" i="80"/>
  <c r="G12" i="80"/>
  <c r="AD11" i="80"/>
  <c r="Z11" i="80"/>
  <c r="Y11" i="80"/>
  <c r="Y2" i="80" s="1"/>
  <c r="K6" i="79" s="1"/>
  <c r="O11" i="80"/>
  <c r="K11" i="80"/>
  <c r="V10" i="80"/>
  <c r="M10" i="80" s="1"/>
  <c r="U10" i="80"/>
  <c r="O10" i="80"/>
  <c r="K10" i="80"/>
  <c r="G10" i="80"/>
  <c r="X9" i="80"/>
  <c r="W9" i="80"/>
  <c r="V9" i="80"/>
  <c r="M9" i="80" s="1"/>
  <c r="U9" i="80"/>
  <c r="O9" i="80"/>
  <c r="K9" i="80"/>
  <c r="G9" i="80"/>
  <c r="V8" i="80"/>
  <c r="M8" i="80" s="1"/>
  <c r="U8" i="80"/>
  <c r="O8" i="80"/>
  <c r="K8" i="80"/>
  <c r="G8" i="80"/>
  <c r="V7" i="80"/>
  <c r="M7" i="80" s="1"/>
  <c r="U7" i="80"/>
  <c r="O7" i="80"/>
  <c r="K7" i="80"/>
  <c r="G7" i="80"/>
  <c r="V6" i="80"/>
  <c r="M6" i="80" s="1"/>
  <c r="U6" i="80"/>
  <c r="O6" i="80"/>
  <c r="K6" i="80"/>
  <c r="G6" i="80"/>
  <c r="V5" i="80"/>
  <c r="M5" i="80" s="1"/>
  <c r="O5" i="80"/>
  <c r="K5" i="80"/>
  <c r="G5" i="80"/>
  <c r="H2" i="80"/>
  <c r="H1" i="80"/>
  <c r="F1" i="80"/>
  <c r="F2" i="80" s="1"/>
  <c r="D1" i="80"/>
  <c r="M22" i="79"/>
  <c r="L22" i="79"/>
  <c r="K22" i="79"/>
  <c r="J22" i="79"/>
  <c r="I22" i="79"/>
  <c r="H22" i="79"/>
  <c r="G22" i="79"/>
  <c r="F22" i="79"/>
  <c r="E22" i="79"/>
  <c r="D22" i="79"/>
  <c r="M21" i="79"/>
  <c r="L21" i="79"/>
  <c r="K21" i="79"/>
  <c r="J21" i="79"/>
  <c r="I21" i="79"/>
  <c r="H21" i="79"/>
  <c r="F21" i="79"/>
  <c r="E21" i="79"/>
  <c r="M20" i="79"/>
  <c r="L20" i="79"/>
  <c r="K20" i="79"/>
  <c r="J20" i="79"/>
  <c r="I20" i="79"/>
  <c r="H20" i="79"/>
  <c r="G20" i="79"/>
  <c r="F20" i="79"/>
  <c r="E20" i="79"/>
  <c r="D20" i="79"/>
  <c r="M19" i="79"/>
  <c r="L19" i="79"/>
  <c r="K19" i="79"/>
  <c r="J19" i="79"/>
  <c r="I19" i="79"/>
  <c r="H19" i="79"/>
  <c r="F19" i="79"/>
  <c r="E19" i="79"/>
  <c r="M18" i="79"/>
  <c r="L18" i="79"/>
  <c r="K18" i="79"/>
  <c r="I18" i="79"/>
  <c r="H18" i="79"/>
  <c r="G18" i="79"/>
  <c r="F18" i="79"/>
  <c r="E18" i="79"/>
  <c r="D18" i="79"/>
  <c r="M17" i="79"/>
  <c r="L17" i="79"/>
  <c r="K17" i="79"/>
  <c r="J17" i="79"/>
  <c r="I17" i="79"/>
  <c r="H17" i="79"/>
  <c r="G17" i="79"/>
  <c r="F17" i="79"/>
  <c r="E17" i="79"/>
  <c r="D17" i="79"/>
  <c r="M16" i="79"/>
  <c r="L16" i="79"/>
  <c r="K16" i="79"/>
  <c r="J16" i="79"/>
  <c r="I16" i="79"/>
  <c r="H16" i="79"/>
  <c r="G16" i="79"/>
  <c r="F16" i="79"/>
  <c r="E16" i="79"/>
  <c r="D16" i="79"/>
  <c r="L14" i="79"/>
  <c r="L15" i="79" s="1"/>
  <c r="L13" i="79"/>
  <c r="K13" i="79"/>
  <c r="I6" i="79" s="1"/>
  <c r="J13" i="79"/>
  <c r="I13" i="79"/>
  <c r="H13" i="79"/>
  <c r="G13" i="79"/>
  <c r="F13" i="79"/>
  <c r="E13" i="79"/>
  <c r="D13" i="79"/>
  <c r="M6" i="79"/>
  <c r="I3" i="79"/>
  <c r="F3" i="79"/>
  <c r="C3" i="79"/>
  <c r="G6" i="79" l="1"/>
  <c r="F6" i="79"/>
  <c r="E6" i="79"/>
  <c r="M11" i="80"/>
  <c r="AE11" i="80" s="1"/>
  <c r="AF5" i="80"/>
  <c r="AE5" i="80"/>
  <c r="N5" i="80"/>
  <c r="AF6" i="80"/>
  <c r="AE6" i="80"/>
  <c r="N6" i="80"/>
  <c r="N7" i="80"/>
  <c r="AF7" i="80"/>
  <c r="AE7" i="80"/>
  <c r="N8" i="80"/>
  <c r="AF8" i="80"/>
  <c r="AE8" i="80"/>
  <c r="N9" i="80"/>
  <c r="AF9" i="80"/>
  <c r="AE9" i="80"/>
  <c r="N10" i="80"/>
  <c r="AF10" i="80"/>
  <c r="AE10" i="80"/>
  <c r="D19" i="79"/>
  <c r="Z2" i="80"/>
  <c r="L6" i="79" s="1"/>
  <c r="AD2" i="80"/>
  <c r="N6" i="79" s="1"/>
  <c r="D21" i="79"/>
  <c r="N12" i="80"/>
  <c r="M14" i="80"/>
  <c r="Q13" i="80"/>
  <c r="P13" i="80"/>
  <c r="AF18" i="80"/>
  <c r="AE18" i="80"/>
  <c r="N18" i="80"/>
  <c r="AF19" i="80"/>
  <c r="AE19" i="80"/>
  <c r="Q19" i="80"/>
  <c r="P19" i="80"/>
  <c r="AF20" i="80"/>
  <c r="AE20" i="80"/>
  <c r="Q20" i="80"/>
  <c r="P20" i="80"/>
  <c r="N21" i="80"/>
  <c r="AF21" i="80"/>
  <c r="AE21" i="80"/>
  <c r="P23" i="80"/>
  <c r="Q23" i="80"/>
  <c r="P24" i="80"/>
  <c r="Q24" i="80"/>
  <c r="AF25" i="80"/>
  <c r="AE25" i="80"/>
  <c r="N25" i="80"/>
  <c r="N26" i="80"/>
  <c r="AF26" i="80"/>
  <c r="AE26" i="80"/>
  <c r="N27" i="80"/>
  <c r="AF27" i="80"/>
  <c r="AE27" i="80"/>
  <c r="N28" i="80"/>
  <c r="AF28" i="80"/>
  <c r="AE28" i="80"/>
  <c r="N29" i="80"/>
  <c r="AF29" i="80"/>
  <c r="AE29" i="80"/>
  <c r="N31" i="80"/>
  <c r="M37" i="80"/>
  <c r="AF31" i="80"/>
  <c r="AE31" i="80"/>
  <c r="N32" i="80"/>
  <c r="AF32" i="80"/>
  <c r="AE32" i="80"/>
  <c r="AE33" i="80"/>
  <c r="N33" i="80"/>
  <c r="AF33" i="80"/>
  <c r="AF34" i="80"/>
  <c r="N34" i="80"/>
  <c r="AE35" i="80"/>
  <c r="N35" i="80"/>
  <c r="AF35" i="80"/>
  <c r="AF36" i="80"/>
  <c r="N36" i="80"/>
  <c r="AF39" i="80"/>
  <c r="N39" i="80"/>
  <c r="Q40" i="80"/>
  <c r="P40" i="80"/>
  <c r="Q43" i="80"/>
  <c r="P43" i="80"/>
  <c r="AF46" i="80"/>
  <c r="AG38" i="80" s="1"/>
  <c r="AE46" i="80"/>
  <c r="Q46" i="80"/>
  <c r="R38" i="80" s="1"/>
  <c r="P46" i="80"/>
  <c r="AF47" i="80"/>
  <c r="AE47" i="80"/>
  <c r="M57" i="80"/>
  <c r="Q47" i="80"/>
  <c r="P47" i="80"/>
  <c r="AF48" i="80"/>
  <c r="AE48" i="80"/>
  <c r="Q48" i="80"/>
  <c r="P48" i="80"/>
  <c r="P49" i="80"/>
  <c r="Q49" i="80"/>
  <c r="AF50" i="80"/>
  <c r="AE50" i="80"/>
  <c r="N50" i="80"/>
  <c r="N51" i="80"/>
  <c r="AF51" i="80"/>
  <c r="AE51" i="80"/>
  <c r="N52" i="80"/>
  <c r="AF52" i="80"/>
  <c r="AE52" i="80"/>
  <c r="N53" i="80"/>
  <c r="AF53" i="80"/>
  <c r="AE53" i="80"/>
  <c r="N54" i="80"/>
  <c r="AF54" i="80"/>
  <c r="AE54" i="80"/>
  <c r="AE55" i="80"/>
  <c r="N55" i="80"/>
  <c r="AF55" i="80"/>
  <c r="AF56" i="80"/>
  <c r="N56" i="80"/>
  <c r="N62" i="80"/>
  <c r="AF62" i="80"/>
  <c r="AE62" i="80"/>
  <c r="AF63" i="80"/>
  <c r="AE63" i="80"/>
  <c r="Q63" i="80"/>
  <c r="P63" i="80"/>
  <c r="P64" i="80"/>
  <c r="Q64" i="80"/>
  <c r="AF65" i="80"/>
  <c r="AE65" i="80"/>
  <c r="N65" i="80"/>
  <c r="N66" i="80"/>
  <c r="AF66" i="80"/>
  <c r="AE66" i="80"/>
  <c r="AF67" i="80"/>
  <c r="AE67" i="80"/>
  <c r="N67" i="80"/>
  <c r="N69" i="80"/>
  <c r="AF69" i="80"/>
  <c r="M74" i="80"/>
  <c r="AF74" i="80" s="1"/>
  <c r="AG69" i="80" s="1"/>
  <c r="AE69" i="80"/>
  <c r="N70" i="80"/>
  <c r="AF70" i="80"/>
  <c r="AE70" i="80"/>
  <c r="AE71" i="80"/>
  <c r="N71" i="80"/>
  <c r="AF71" i="80"/>
  <c r="AF72" i="80"/>
  <c r="N72" i="80"/>
  <c r="Q73" i="80"/>
  <c r="P73" i="80"/>
  <c r="Q75" i="80"/>
  <c r="P75" i="80"/>
  <c r="Q76" i="80"/>
  <c r="P76" i="80"/>
  <c r="Q77" i="80"/>
  <c r="P77" i="80"/>
  <c r="Q79" i="80"/>
  <c r="P79" i="80"/>
  <c r="AF81" i="80"/>
  <c r="AG75" i="80" s="1"/>
  <c r="N81" i="80"/>
  <c r="M14" i="79" s="1"/>
  <c r="M15" i="79" s="1"/>
  <c r="AE81" i="80"/>
  <c r="AF17" i="80"/>
  <c r="M22" i="80"/>
  <c r="N22" i="80" s="1"/>
  <c r="F14" i="79" s="1"/>
  <c r="F15" i="79" s="1"/>
  <c r="AF42" i="80"/>
  <c r="AE43" i="80"/>
  <c r="AF44" i="80"/>
  <c r="AF60" i="80"/>
  <c r="AF78" i="80"/>
  <c r="AE79" i="80"/>
  <c r="AF80" i="80"/>
  <c r="N45" i="80"/>
  <c r="N61" i="80"/>
  <c r="N17" i="80"/>
  <c r="N42" i="80"/>
  <c r="N44" i="80"/>
  <c r="N60" i="80"/>
  <c r="N78" i="80"/>
  <c r="N80" i="80"/>
  <c r="AE23" i="80"/>
  <c r="AE24" i="80"/>
  <c r="M30" i="80"/>
  <c r="AE49" i="80"/>
  <c r="AE64" i="80"/>
  <c r="M68" i="80"/>
  <c r="AE45" i="80"/>
  <c r="AE61" i="80"/>
  <c r="Q67" i="80" l="1"/>
  <c r="P67" i="80"/>
  <c r="P22" i="80"/>
  <c r="P6" i="80"/>
  <c r="Q6" i="80"/>
  <c r="Q26" i="80"/>
  <c r="P26" i="80"/>
  <c r="Q5" i="80"/>
  <c r="P5" i="80"/>
  <c r="N57" i="80"/>
  <c r="P57" i="80" s="1"/>
  <c r="AF57" i="80"/>
  <c r="AG47" i="80" s="1"/>
  <c r="AE57" i="80"/>
  <c r="P69" i="80"/>
  <c r="Q69" i="80"/>
  <c r="Q50" i="80"/>
  <c r="P50" i="80"/>
  <c r="P32" i="80"/>
  <c r="Q32" i="80"/>
  <c r="Q22" i="80"/>
  <c r="R15" i="80" s="1"/>
  <c r="P10" i="80"/>
  <c r="Q10" i="80"/>
  <c r="Q25" i="80"/>
  <c r="P25" i="80"/>
  <c r="P66" i="80"/>
  <c r="Q66" i="80"/>
  <c r="Q7" i="80"/>
  <c r="P7" i="80"/>
  <c r="P27" i="80"/>
  <c r="Q27" i="80"/>
  <c r="P54" i="80"/>
  <c r="Q54" i="80"/>
  <c r="N37" i="80"/>
  <c r="K14" i="79" s="1"/>
  <c r="AF37" i="80"/>
  <c r="AG31" i="80" s="1"/>
  <c r="AE37" i="80"/>
  <c r="Q65" i="80"/>
  <c r="P65" i="80"/>
  <c r="P29" i="80"/>
  <c r="Q29" i="80"/>
  <c r="N14" i="80"/>
  <c r="AF14" i="80"/>
  <c r="AG12" i="80" s="1"/>
  <c r="AE14" i="80"/>
  <c r="Q51" i="80"/>
  <c r="P51" i="80"/>
  <c r="P70" i="80"/>
  <c r="Q70" i="80"/>
  <c r="P52" i="80"/>
  <c r="Q52" i="80"/>
  <c r="P8" i="80"/>
  <c r="Q8" i="80"/>
  <c r="N68" i="80"/>
  <c r="Q68" i="80" s="1"/>
  <c r="R58" i="80" s="1"/>
  <c r="AF68" i="80"/>
  <c r="AG58" i="80" s="1"/>
  <c r="AE68" i="80"/>
  <c r="AE30" i="80"/>
  <c r="N30" i="80"/>
  <c r="AF30" i="80"/>
  <c r="AG23" i="80" s="1"/>
  <c r="Q80" i="80"/>
  <c r="P80" i="80"/>
  <c r="Q78" i="80"/>
  <c r="P78" i="80"/>
  <c r="Q60" i="80"/>
  <c r="P60" i="80"/>
  <c r="Q44" i="80"/>
  <c r="P44" i="80"/>
  <c r="Q42" i="80"/>
  <c r="P42" i="80"/>
  <c r="Q17" i="80"/>
  <c r="P17" i="80"/>
  <c r="Q61" i="80"/>
  <c r="P61" i="80"/>
  <c r="Q45" i="80"/>
  <c r="P45" i="80"/>
  <c r="AF22" i="80"/>
  <c r="AG15" i="80" s="1"/>
  <c r="AE22" i="80"/>
  <c r="Q81" i="80"/>
  <c r="R75" i="80" s="1"/>
  <c r="P81" i="80"/>
  <c r="Q72" i="80"/>
  <c r="P72" i="80"/>
  <c r="P71" i="80"/>
  <c r="Q71" i="80"/>
  <c r="N74" i="80"/>
  <c r="J14" i="79" s="1"/>
  <c r="J15" i="79" s="1"/>
  <c r="AE74" i="80"/>
  <c r="Q62" i="80"/>
  <c r="P62" i="80"/>
  <c r="Q56" i="80"/>
  <c r="P56" i="80"/>
  <c r="P55" i="80"/>
  <c r="Q55" i="80"/>
  <c r="P53" i="80"/>
  <c r="Q53" i="80"/>
  <c r="Q39" i="80"/>
  <c r="P39" i="80"/>
  <c r="Q36" i="80"/>
  <c r="P36" i="80"/>
  <c r="Q35" i="80"/>
  <c r="P35" i="80"/>
  <c r="Q34" i="80"/>
  <c r="P34" i="80"/>
  <c r="P33" i="80"/>
  <c r="Q33" i="80"/>
  <c r="P37" i="80"/>
  <c r="Q31" i="80"/>
  <c r="P31" i="80"/>
  <c r="P28" i="80"/>
  <c r="Q28" i="80"/>
  <c r="Q21" i="80"/>
  <c r="P21" i="80"/>
  <c r="Q18" i="80"/>
  <c r="P18" i="80"/>
  <c r="E14" i="79"/>
  <c r="E15" i="79" s="1"/>
  <c r="Q14" i="80"/>
  <c r="R12" i="80" s="1"/>
  <c r="P14" i="80"/>
  <c r="Q12" i="80"/>
  <c r="P12" i="80"/>
  <c r="P9" i="80"/>
  <c r="Q9" i="80"/>
  <c r="N11" i="80"/>
  <c r="D2" i="80" s="1"/>
  <c r="AF11" i="80"/>
  <c r="AG5" i="80" s="1"/>
  <c r="K15" i="79" l="1"/>
  <c r="I8" i="79" s="1"/>
  <c r="I7" i="79"/>
  <c r="Q37" i="80"/>
  <c r="R31" i="80" s="1"/>
  <c r="Q57" i="80"/>
  <c r="R47" i="80" s="1"/>
  <c r="H14" i="79"/>
  <c r="H15" i="79" s="1"/>
  <c r="Q11" i="80"/>
  <c r="R5" i="80" s="1"/>
  <c r="D14" i="79"/>
  <c r="P11" i="80"/>
  <c r="Q74" i="80"/>
  <c r="R69" i="80" s="1"/>
  <c r="P74" i="80"/>
  <c r="Q30" i="80"/>
  <c r="R23" i="80" s="1"/>
  <c r="G14" i="79"/>
  <c r="G15" i="79" s="1"/>
  <c r="P30" i="80"/>
  <c r="I14" i="79"/>
  <c r="I15" i="79" s="1"/>
  <c r="P68" i="80"/>
  <c r="D15" i="79" l="1"/>
  <c r="G7" i="79"/>
  <c r="F7" i="79"/>
  <c r="E7" i="79"/>
  <c r="G8" i="79"/>
  <c r="F8" i="79"/>
  <c r="E8" i="79"/>
  <c r="AD81" i="78" l="1"/>
  <c r="Z81" i="78"/>
  <c r="Y81" i="78"/>
  <c r="O81" i="78"/>
  <c r="K81" i="78"/>
  <c r="AF80" i="78"/>
  <c r="V80" i="78"/>
  <c r="U80" i="78"/>
  <c r="O80" i="78"/>
  <c r="M80" i="78"/>
  <c r="AE80" i="78" s="1"/>
  <c r="K80" i="78"/>
  <c r="G80" i="78"/>
  <c r="X79" i="78"/>
  <c r="W79" i="78"/>
  <c r="V79" i="78"/>
  <c r="U79" i="78"/>
  <c r="O79" i="78"/>
  <c r="M79" i="78"/>
  <c r="N79" i="78" s="1"/>
  <c r="K79" i="78"/>
  <c r="G79" i="78"/>
  <c r="AF78" i="78"/>
  <c r="V78" i="78"/>
  <c r="U78" i="78"/>
  <c r="O78" i="78"/>
  <c r="M78" i="78"/>
  <c r="AE78" i="78" s="1"/>
  <c r="K78" i="78"/>
  <c r="G78" i="78"/>
  <c r="AF77" i="78"/>
  <c r="AE77" i="78"/>
  <c r="V77" i="78"/>
  <c r="U77" i="78"/>
  <c r="O77" i="78"/>
  <c r="N77" i="78"/>
  <c r="Q77" i="78" s="1"/>
  <c r="M77" i="78"/>
  <c r="K77" i="78"/>
  <c r="G77" i="78"/>
  <c r="V76" i="78"/>
  <c r="M76" i="78" s="1"/>
  <c r="U76" i="78"/>
  <c r="O76" i="78"/>
  <c r="K76" i="78"/>
  <c r="G76" i="78"/>
  <c r="AF75" i="78"/>
  <c r="AE75" i="78"/>
  <c r="X75" i="78"/>
  <c r="W75" i="78"/>
  <c r="V75" i="78"/>
  <c r="O75" i="78"/>
  <c r="M75" i="78"/>
  <c r="N75" i="78" s="1"/>
  <c r="K75" i="78"/>
  <c r="G75" i="78"/>
  <c r="AD74" i="78"/>
  <c r="Z74" i="78"/>
  <c r="Y74" i="78"/>
  <c r="O74" i="78"/>
  <c r="K74" i="78"/>
  <c r="V73" i="78"/>
  <c r="M73" i="78" s="1"/>
  <c r="U73" i="78"/>
  <c r="O73" i="78"/>
  <c r="K73" i="78"/>
  <c r="G73" i="78"/>
  <c r="V72" i="78"/>
  <c r="M72" i="78" s="1"/>
  <c r="U72" i="78"/>
  <c r="O72" i="78"/>
  <c r="K72" i="78"/>
  <c r="G72" i="78"/>
  <c r="V71" i="78"/>
  <c r="M71" i="78" s="1"/>
  <c r="U71" i="78"/>
  <c r="O71" i="78"/>
  <c r="K71" i="78"/>
  <c r="G71" i="78"/>
  <c r="V70" i="78"/>
  <c r="M70" i="78" s="1"/>
  <c r="U70" i="78"/>
  <c r="O70" i="78"/>
  <c r="K70" i="78"/>
  <c r="G70" i="78"/>
  <c r="V69" i="78"/>
  <c r="M69" i="78" s="1"/>
  <c r="O69" i="78"/>
  <c r="K69" i="78"/>
  <c r="G69" i="78"/>
  <c r="AD68" i="78"/>
  <c r="Z68" i="78"/>
  <c r="Y68" i="78"/>
  <c r="Y2" i="78" s="1"/>
  <c r="K6" i="77" s="1"/>
  <c r="O68" i="78"/>
  <c r="K68" i="78"/>
  <c r="V67" i="78"/>
  <c r="M67" i="78" s="1"/>
  <c r="U67" i="78"/>
  <c r="O67" i="78"/>
  <c r="K67" i="78"/>
  <c r="G67" i="78"/>
  <c r="X66" i="78"/>
  <c r="W66" i="78"/>
  <c r="V66" i="78"/>
  <c r="M66" i="78" s="1"/>
  <c r="U66" i="78"/>
  <c r="O66" i="78"/>
  <c r="K66" i="78"/>
  <c r="G66" i="78"/>
  <c r="V65" i="78"/>
  <c r="M65" i="78" s="1"/>
  <c r="U65" i="78"/>
  <c r="O65" i="78"/>
  <c r="K65" i="78"/>
  <c r="G65" i="78"/>
  <c r="V64" i="78"/>
  <c r="U64" i="78"/>
  <c r="P64" i="78"/>
  <c r="O64" i="78"/>
  <c r="N64" i="78"/>
  <c r="Q64" i="78" s="1"/>
  <c r="M64" i="78"/>
  <c r="AF64" i="78" s="1"/>
  <c r="K64" i="78"/>
  <c r="G64" i="78"/>
  <c r="V63" i="78"/>
  <c r="U63" i="78"/>
  <c r="O63" i="78"/>
  <c r="N63" i="78"/>
  <c r="Q63" i="78" s="1"/>
  <c r="M63" i="78"/>
  <c r="AF63" i="78" s="1"/>
  <c r="K63" i="78"/>
  <c r="G63" i="78"/>
  <c r="V62" i="78"/>
  <c r="U62" i="78"/>
  <c r="O62" i="78"/>
  <c r="M62" i="78"/>
  <c r="AF62" i="78" s="1"/>
  <c r="K62" i="78"/>
  <c r="G62" i="78"/>
  <c r="V61" i="78"/>
  <c r="U61" i="78"/>
  <c r="O61" i="78"/>
  <c r="M61" i="78"/>
  <c r="AF61" i="78" s="1"/>
  <c r="K61" i="78"/>
  <c r="G61" i="78"/>
  <c r="V60" i="78"/>
  <c r="U60" i="78"/>
  <c r="O60" i="78"/>
  <c r="M60" i="78"/>
  <c r="AE60" i="78" s="1"/>
  <c r="K60" i="78"/>
  <c r="G60" i="78"/>
  <c r="AF59" i="78"/>
  <c r="AE59" i="78"/>
  <c r="V59" i="78"/>
  <c r="U59" i="78"/>
  <c r="O59" i="78"/>
  <c r="N59" i="78"/>
  <c r="Q59" i="78" s="1"/>
  <c r="M59" i="78"/>
  <c r="K59" i="78"/>
  <c r="G59" i="78"/>
  <c r="AF58" i="78"/>
  <c r="AE58" i="78"/>
  <c r="V58" i="78"/>
  <c r="O58" i="78"/>
  <c r="N58" i="78"/>
  <c r="Q58" i="78" s="1"/>
  <c r="M58" i="78"/>
  <c r="K58" i="78"/>
  <c r="G58" i="78"/>
  <c r="AD57" i="78"/>
  <c r="Z57" i="78"/>
  <c r="Y57" i="78"/>
  <c r="O57" i="78"/>
  <c r="K57" i="78"/>
  <c r="V56" i="78"/>
  <c r="M56" i="78" s="1"/>
  <c r="U56" i="78"/>
  <c r="O56" i="78"/>
  <c r="K56" i="78"/>
  <c r="G56" i="78"/>
  <c r="V55" i="78"/>
  <c r="M55" i="78" s="1"/>
  <c r="U55" i="78"/>
  <c r="O55" i="78"/>
  <c r="K55" i="78"/>
  <c r="G55" i="78"/>
  <c r="V54" i="78"/>
  <c r="M54" i="78" s="1"/>
  <c r="U54" i="78"/>
  <c r="O54" i="78"/>
  <c r="K54" i="78"/>
  <c r="G54" i="78"/>
  <c r="X53" i="78"/>
  <c r="W53" i="78"/>
  <c r="V53" i="78"/>
  <c r="M53" i="78" s="1"/>
  <c r="U53" i="78"/>
  <c r="O53" i="78"/>
  <c r="K53" i="78"/>
  <c r="G53" i="78"/>
  <c r="V52" i="78"/>
  <c r="M52" i="78" s="1"/>
  <c r="U52" i="78"/>
  <c r="O52" i="78"/>
  <c r="K52" i="78"/>
  <c r="G52" i="78"/>
  <c r="V51" i="78"/>
  <c r="M51" i="78" s="1"/>
  <c r="U51" i="78"/>
  <c r="O51" i="78"/>
  <c r="K51" i="78"/>
  <c r="G51" i="78"/>
  <c r="V50" i="78"/>
  <c r="M50" i="78" s="1"/>
  <c r="U50" i="78"/>
  <c r="O50" i="78"/>
  <c r="K50" i="78"/>
  <c r="G50" i="78"/>
  <c r="V49" i="78"/>
  <c r="M49" i="78" s="1"/>
  <c r="U49" i="78"/>
  <c r="O49" i="78"/>
  <c r="K49" i="78"/>
  <c r="G49" i="78"/>
  <c r="V48" i="78"/>
  <c r="U48" i="78"/>
  <c r="O48" i="78"/>
  <c r="N48" i="78"/>
  <c r="Q48" i="78" s="1"/>
  <c r="M48" i="78"/>
  <c r="AF48" i="78" s="1"/>
  <c r="K48" i="78"/>
  <c r="G48" i="78"/>
  <c r="V47" i="78"/>
  <c r="O47" i="78"/>
  <c r="N47" i="78"/>
  <c r="Q47" i="78" s="1"/>
  <c r="M47" i="78"/>
  <c r="AF47" i="78" s="1"/>
  <c r="K47" i="78"/>
  <c r="G47" i="78"/>
  <c r="AD46" i="78"/>
  <c r="Z46" i="78"/>
  <c r="Y46" i="78"/>
  <c r="O46" i="78"/>
  <c r="K46" i="78"/>
  <c r="V45" i="78"/>
  <c r="U45" i="78"/>
  <c r="O45" i="78"/>
  <c r="M45" i="78"/>
  <c r="AF45" i="78" s="1"/>
  <c r="K45" i="78"/>
  <c r="G45" i="78"/>
  <c r="V44" i="78"/>
  <c r="U44" i="78"/>
  <c r="O44" i="78"/>
  <c r="M44" i="78"/>
  <c r="AE44" i="78" s="1"/>
  <c r="K44" i="78"/>
  <c r="G44" i="78"/>
  <c r="X43" i="78"/>
  <c r="W43" i="78"/>
  <c r="V43" i="78"/>
  <c r="U43" i="78"/>
  <c r="O43" i="78"/>
  <c r="M43" i="78"/>
  <c r="N43" i="78" s="1"/>
  <c r="K43" i="78"/>
  <c r="G43" i="78"/>
  <c r="V42" i="78"/>
  <c r="U42" i="78"/>
  <c r="O42" i="78"/>
  <c r="M42" i="78"/>
  <c r="AE42" i="78" s="1"/>
  <c r="K42" i="78"/>
  <c r="G42" i="78"/>
  <c r="AF41" i="78"/>
  <c r="AE41" i="78"/>
  <c r="V41" i="78"/>
  <c r="U41" i="78"/>
  <c r="O41" i="78"/>
  <c r="N41" i="78"/>
  <c r="Q41" i="78" s="1"/>
  <c r="M41" i="78"/>
  <c r="K41" i="78"/>
  <c r="G41" i="78"/>
  <c r="AF40" i="78"/>
  <c r="AE40" i="78"/>
  <c r="V40" i="78"/>
  <c r="U40" i="78"/>
  <c r="O40" i="78"/>
  <c r="M40" i="78"/>
  <c r="N40" i="78" s="1"/>
  <c r="K40" i="78"/>
  <c r="G40" i="78"/>
  <c r="V39" i="78"/>
  <c r="M39" i="78" s="1"/>
  <c r="U39" i="78"/>
  <c r="O39" i="78"/>
  <c r="K39" i="78"/>
  <c r="G39" i="78"/>
  <c r="AF38" i="78"/>
  <c r="AE38" i="78"/>
  <c r="X38" i="78"/>
  <c r="W38" i="78"/>
  <c r="V38" i="78"/>
  <c r="O38" i="78"/>
  <c r="N38" i="78"/>
  <c r="Q38" i="78" s="1"/>
  <c r="M38" i="78"/>
  <c r="K38" i="78"/>
  <c r="G38" i="78"/>
  <c r="AD37" i="78"/>
  <c r="K21" i="77" s="1"/>
  <c r="Z37" i="78"/>
  <c r="Y37" i="78"/>
  <c r="O37" i="78"/>
  <c r="K37" i="78"/>
  <c r="V36" i="78"/>
  <c r="M36" i="78" s="1"/>
  <c r="U36" i="78"/>
  <c r="O36" i="78"/>
  <c r="K36" i="78"/>
  <c r="G36" i="78"/>
  <c r="AE35" i="78"/>
  <c r="X35" i="78"/>
  <c r="W35" i="78"/>
  <c r="V35" i="78"/>
  <c r="U35" i="78"/>
  <c r="O35" i="78"/>
  <c r="M35" i="78"/>
  <c r="N35" i="78" s="1"/>
  <c r="K35" i="78"/>
  <c r="G35" i="78"/>
  <c r="V34" i="78"/>
  <c r="M34" i="78" s="1"/>
  <c r="U34" i="78"/>
  <c r="O34" i="78"/>
  <c r="K34" i="78"/>
  <c r="G34" i="78"/>
  <c r="V33" i="78"/>
  <c r="M33" i="78" s="1"/>
  <c r="U33" i="78"/>
  <c r="O33" i="78"/>
  <c r="K33" i="78"/>
  <c r="G33" i="78"/>
  <c r="V32" i="78"/>
  <c r="M32" i="78" s="1"/>
  <c r="U32" i="78"/>
  <c r="O32" i="78"/>
  <c r="K32" i="78"/>
  <c r="G32" i="78"/>
  <c r="X31" i="78"/>
  <c r="W31" i="78"/>
  <c r="V31" i="78"/>
  <c r="M31" i="78" s="1"/>
  <c r="O31" i="78"/>
  <c r="K31" i="78"/>
  <c r="G31" i="78"/>
  <c r="AD30" i="78"/>
  <c r="G21" i="77" s="1"/>
  <c r="Z30" i="78"/>
  <c r="Y30" i="78"/>
  <c r="O30" i="78"/>
  <c r="K30" i="78"/>
  <c r="V29" i="78"/>
  <c r="M29" i="78" s="1"/>
  <c r="U29" i="78"/>
  <c r="O29" i="78"/>
  <c r="K29" i="78"/>
  <c r="G29" i="78"/>
  <c r="X28" i="78"/>
  <c r="W28" i="78"/>
  <c r="V28" i="78"/>
  <c r="M28" i="78" s="1"/>
  <c r="U28" i="78"/>
  <c r="O28" i="78"/>
  <c r="K28" i="78"/>
  <c r="G28" i="78"/>
  <c r="V27" i="78"/>
  <c r="M27" i="78" s="1"/>
  <c r="U27" i="78"/>
  <c r="O27" i="78"/>
  <c r="K27" i="78"/>
  <c r="G27" i="78"/>
  <c r="V26" i="78"/>
  <c r="M26" i="78" s="1"/>
  <c r="U26" i="78"/>
  <c r="O26" i="78"/>
  <c r="K26" i="78"/>
  <c r="G26" i="78"/>
  <c r="V25" i="78"/>
  <c r="M25" i="78" s="1"/>
  <c r="U25" i="78"/>
  <c r="O25" i="78"/>
  <c r="K25" i="78"/>
  <c r="G25" i="78"/>
  <c r="V24" i="78"/>
  <c r="M24" i="78" s="1"/>
  <c r="U24" i="78"/>
  <c r="O24" i="78"/>
  <c r="K24" i="78"/>
  <c r="G24" i="78"/>
  <c r="V23" i="78"/>
  <c r="M23" i="78" s="1"/>
  <c r="O23" i="78"/>
  <c r="K23" i="78"/>
  <c r="G23" i="78"/>
  <c r="AD22" i="78"/>
  <c r="Z22" i="78"/>
  <c r="Y22" i="78"/>
  <c r="O22" i="78"/>
  <c r="K22" i="78"/>
  <c r="V21" i="78"/>
  <c r="U21" i="78"/>
  <c r="O21" i="78"/>
  <c r="M21" i="78"/>
  <c r="AF21" i="78" s="1"/>
  <c r="K21" i="78"/>
  <c r="G21" i="78"/>
  <c r="X20" i="78"/>
  <c r="W20" i="78"/>
  <c r="V20" i="78"/>
  <c r="U20" i="78"/>
  <c r="O20" i="78"/>
  <c r="N20" i="78"/>
  <c r="Q20" i="78" s="1"/>
  <c r="M20" i="78"/>
  <c r="AF20" i="78" s="1"/>
  <c r="K20" i="78"/>
  <c r="G20" i="78"/>
  <c r="V19" i="78"/>
  <c r="U19" i="78"/>
  <c r="O19" i="78"/>
  <c r="M19" i="78"/>
  <c r="AF19" i="78" s="1"/>
  <c r="K19" i="78"/>
  <c r="G19" i="78"/>
  <c r="V18" i="78"/>
  <c r="U18" i="78"/>
  <c r="O18" i="78"/>
  <c r="M18" i="78"/>
  <c r="AF18" i="78" s="1"/>
  <c r="K18" i="78"/>
  <c r="G18" i="78"/>
  <c r="V17" i="78"/>
  <c r="U17" i="78"/>
  <c r="O17" i="78"/>
  <c r="M17" i="78"/>
  <c r="AE17" i="78" s="1"/>
  <c r="K17" i="78"/>
  <c r="G17" i="78"/>
  <c r="AF16" i="78"/>
  <c r="AE16" i="78"/>
  <c r="V16" i="78"/>
  <c r="U16" i="78"/>
  <c r="O16" i="78"/>
  <c r="N16" i="78"/>
  <c r="Q16" i="78" s="1"/>
  <c r="M16" i="78"/>
  <c r="K16" i="78"/>
  <c r="G16" i="78"/>
  <c r="AF15" i="78"/>
  <c r="AE15" i="78"/>
  <c r="V15" i="78"/>
  <c r="O15" i="78"/>
  <c r="N15" i="78"/>
  <c r="Q15" i="78" s="1"/>
  <c r="M15" i="78"/>
  <c r="K15" i="78"/>
  <c r="G15" i="78"/>
  <c r="F1" i="78" s="1"/>
  <c r="AD14" i="78"/>
  <c r="E21" i="77" s="1"/>
  <c r="Z14" i="78"/>
  <c r="Y14" i="78"/>
  <c r="O14" i="78"/>
  <c r="K14" i="78"/>
  <c r="V13" i="78"/>
  <c r="M13" i="78" s="1"/>
  <c r="U13" i="78"/>
  <c r="O13" i="78"/>
  <c r="K13" i="78"/>
  <c r="G13" i="78"/>
  <c r="V12" i="78"/>
  <c r="M12" i="78" s="1"/>
  <c r="O12" i="78"/>
  <c r="K12" i="78"/>
  <c r="G12" i="78"/>
  <c r="AD11" i="78"/>
  <c r="AD2" i="78" s="1"/>
  <c r="N6" i="77" s="1"/>
  <c r="Z11" i="78"/>
  <c r="Z2" i="78" s="1"/>
  <c r="L6" i="77" s="1"/>
  <c r="Y11" i="78"/>
  <c r="O11" i="78"/>
  <c r="K11" i="78"/>
  <c r="V10" i="78"/>
  <c r="M10" i="78" s="1"/>
  <c r="U10" i="78"/>
  <c r="O10" i="78"/>
  <c r="K10" i="78"/>
  <c r="G10" i="78"/>
  <c r="X9" i="78"/>
  <c r="W9" i="78"/>
  <c r="V9" i="78"/>
  <c r="M9" i="78" s="1"/>
  <c r="U9" i="78"/>
  <c r="O9" i="78"/>
  <c r="K9" i="78"/>
  <c r="G9" i="78"/>
  <c r="V8" i="78"/>
  <c r="M8" i="78" s="1"/>
  <c r="U8" i="78"/>
  <c r="O8" i="78"/>
  <c r="K8" i="78"/>
  <c r="G8" i="78"/>
  <c r="V7" i="78"/>
  <c r="M7" i="78" s="1"/>
  <c r="U7" i="78"/>
  <c r="O7" i="78"/>
  <c r="K7" i="78"/>
  <c r="G7" i="78"/>
  <c r="V6" i="78"/>
  <c r="M6" i="78" s="1"/>
  <c r="U6" i="78"/>
  <c r="O6" i="78"/>
  <c r="K6" i="78"/>
  <c r="G6" i="78"/>
  <c r="V5" i="78"/>
  <c r="M5" i="78" s="1"/>
  <c r="O5" i="78"/>
  <c r="K5" i="78"/>
  <c r="G5" i="78"/>
  <c r="H2" i="78"/>
  <c r="H1" i="78"/>
  <c r="D1" i="78"/>
  <c r="M22" i="77"/>
  <c r="L22" i="77"/>
  <c r="K22" i="77"/>
  <c r="J22" i="77"/>
  <c r="I22" i="77"/>
  <c r="H22" i="77"/>
  <c r="G22" i="77"/>
  <c r="F22" i="77"/>
  <c r="E22" i="77"/>
  <c r="D22" i="77"/>
  <c r="M21" i="77"/>
  <c r="L21" i="77"/>
  <c r="J21" i="77"/>
  <c r="I21" i="77"/>
  <c r="H21" i="77"/>
  <c r="F21" i="77"/>
  <c r="M20" i="77"/>
  <c r="L20" i="77"/>
  <c r="K20" i="77"/>
  <c r="J20" i="77"/>
  <c r="I20" i="77"/>
  <c r="H20" i="77"/>
  <c r="G20" i="77"/>
  <c r="F20" i="77"/>
  <c r="E20" i="77"/>
  <c r="D20" i="77"/>
  <c r="M19" i="77"/>
  <c r="L19" i="77"/>
  <c r="K19" i="77"/>
  <c r="J19" i="77"/>
  <c r="I19" i="77"/>
  <c r="H19" i="77"/>
  <c r="G19" i="77"/>
  <c r="F19" i="77"/>
  <c r="E19" i="77"/>
  <c r="D19" i="77"/>
  <c r="M18" i="77"/>
  <c r="L18" i="77"/>
  <c r="K18" i="77"/>
  <c r="J18" i="77"/>
  <c r="I18" i="77"/>
  <c r="H18" i="77"/>
  <c r="G18" i="77"/>
  <c r="F18" i="77"/>
  <c r="E18" i="77"/>
  <c r="D18" i="77"/>
  <c r="M17" i="77"/>
  <c r="L17" i="77"/>
  <c r="K17" i="77"/>
  <c r="J17" i="77"/>
  <c r="I17" i="77"/>
  <c r="H17" i="77"/>
  <c r="G17" i="77"/>
  <c r="F17" i="77"/>
  <c r="E17" i="77"/>
  <c r="D17" i="77"/>
  <c r="M16" i="77"/>
  <c r="L16" i="77"/>
  <c r="K16" i="77"/>
  <c r="J16" i="77"/>
  <c r="I16" i="77"/>
  <c r="H16" i="77"/>
  <c r="G16" i="77"/>
  <c r="F16" i="77"/>
  <c r="E16" i="77"/>
  <c r="D16" i="77"/>
  <c r="M13" i="77"/>
  <c r="L13" i="77"/>
  <c r="K13" i="77"/>
  <c r="I6" i="77" s="1"/>
  <c r="J13" i="77"/>
  <c r="I13" i="77"/>
  <c r="H13" i="77"/>
  <c r="G6" i="77" s="1"/>
  <c r="G13" i="77"/>
  <c r="F13" i="77"/>
  <c r="E13" i="77"/>
  <c r="D13" i="77"/>
  <c r="M6" i="77"/>
  <c r="F3" i="77"/>
  <c r="C3" i="77"/>
  <c r="N33" i="78" l="1"/>
  <c r="AF33" i="78"/>
  <c r="AE33" i="78"/>
  <c r="N52" i="78"/>
  <c r="AF52" i="78"/>
  <c r="AE52" i="78"/>
  <c r="N7" i="78"/>
  <c r="AF7" i="78"/>
  <c r="AE7" i="78"/>
  <c r="Q75" i="78"/>
  <c r="P75" i="78"/>
  <c r="N70" i="78"/>
  <c r="AF70" i="78"/>
  <c r="AE70" i="78"/>
  <c r="N73" i="78"/>
  <c r="AF73" i="78"/>
  <c r="AE73" i="78"/>
  <c r="Q79" i="78"/>
  <c r="P79" i="78"/>
  <c r="N8" i="78"/>
  <c r="AF8" i="78"/>
  <c r="AE8" i="78"/>
  <c r="AF50" i="78"/>
  <c r="AE50" i="78"/>
  <c r="N50" i="78"/>
  <c r="N13" i="78"/>
  <c r="AF13" i="78"/>
  <c r="AE13" i="78"/>
  <c r="N29" i="78"/>
  <c r="AF29" i="78"/>
  <c r="AE29" i="78"/>
  <c r="N66" i="78"/>
  <c r="AF66" i="78"/>
  <c r="AE66" i="78"/>
  <c r="AF25" i="78"/>
  <c r="AE25" i="78"/>
  <c r="N25" i="78"/>
  <c r="N34" i="78"/>
  <c r="AF34" i="78"/>
  <c r="AE34" i="78"/>
  <c r="N55" i="78"/>
  <c r="AF55" i="78"/>
  <c r="AE55" i="78"/>
  <c r="N9" i="78"/>
  <c r="AF9" i="78"/>
  <c r="AE9" i="78"/>
  <c r="AF24" i="78"/>
  <c r="AE24" i="78"/>
  <c r="N24" i="78"/>
  <c r="N31" i="78"/>
  <c r="M37" i="78"/>
  <c r="AF31" i="78"/>
  <c r="AE31" i="78"/>
  <c r="N54" i="78"/>
  <c r="AF54" i="78"/>
  <c r="AE54" i="78"/>
  <c r="N10" i="78"/>
  <c r="AF10" i="78"/>
  <c r="AE10" i="78"/>
  <c r="AF6" i="78"/>
  <c r="AE6" i="78"/>
  <c r="N6" i="78"/>
  <c r="N27" i="78"/>
  <c r="AF27" i="78"/>
  <c r="AE27" i="78"/>
  <c r="N39" i="78"/>
  <c r="AF39" i="78"/>
  <c r="AE39" i="78"/>
  <c r="M46" i="78"/>
  <c r="Q43" i="78"/>
  <c r="P43" i="78"/>
  <c r="N53" i="78"/>
  <c r="AF53" i="78"/>
  <c r="AE53" i="78"/>
  <c r="N71" i="78"/>
  <c r="AF71" i="78"/>
  <c r="AE71" i="78"/>
  <c r="Q40" i="78"/>
  <c r="P40" i="78"/>
  <c r="M68" i="78"/>
  <c r="AF23" i="78"/>
  <c r="M30" i="78"/>
  <c r="AE23" i="78"/>
  <c r="N23" i="78"/>
  <c r="N32" i="78"/>
  <c r="AF32" i="78"/>
  <c r="AE32" i="78"/>
  <c r="N36" i="78"/>
  <c r="AF36" i="78"/>
  <c r="AE36" i="78"/>
  <c r="N51" i="78"/>
  <c r="AF51" i="78"/>
  <c r="AE51" i="78"/>
  <c r="N69" i="78"/>
  <c r="AF69" i="78"/>
  <c r="M74" i="78"/>
  <c r="AE69" i="78"/>
  <c r="Q35" i="78"/>
  <c r="P35" i="78"/>
  <c r="AF49" i="78"/>
  <c r="AE49" i="78"/>
  <c r="N49" i="78"/>
  <c r="N28" i="78"/>
  <c r="AF28" i="78"/>
  <c r="AE28" i="78"/>
  <c r="I3" i="77"/>
  <c r="F2" i="78"/>
  <c r="M11" i="78"/>
  <c r="AF5" i="78"/>
  <c r="AE5" i="78"/>
  <c r="N5" i="78"/>
  <c r="N12" i="78"/>
  <c r="M14" i="78"/>
  <c r="AF12" i="78"/>
  <c r="AE12" i="78"/>
  <c r="N26" i="78"/>
  <c r="AF26" i="78"/>
  <c r="AE26" i="78"/>
  <c r="N56" i="78"/>
  <c r="AF56" i="78"/>
  <c r="AE56" i="78"/>
  <c r="AF65" i="78"/>
  <c r="AE65" i="78"/>
  <c r="N65" i="78"/>
  <c r="AF67" i="78"/>
  <c r="AE67" i="78"/>
  <c r="N67" i="78"/>
  <c r="N72" i="78"/>
  <c r="AF72" i="78"/>
  <c r="AE72" i="78"/>
  <c r="N76" i="78"/>
  <c r="M81" i="78"/>
  <c r="AF76" i="78"/>
  <c r="AE76" i="78"/>
  <c r="AF17" i="78"/>
  <c r="M22" i="78"/>
  <c r="AF42" i="78"/>
  <c r="AE43" i="78"/>
  <c r="AF44" i="78"/>
  <c r="AF60" i="78"/>
  <c r="AE79" i="78"/>
  <c r="AF43" i="78"/>
  <c r="AF79" i="78"/>
  <c r="N19" i="78"/>
  <c r="N21" i="78"/>
  <c r="N62" i="78"/>
  <c r="D21" i="77"/>
  <c r="N18" i="78"/>
  <c r="P20" i="78"/>
  <c r="AF35" i="78"/>
  <c r="N45" i="78"/>
  <c r="P47" i="78"/>
  <c r="P48" i="78"/>
  <c r="N61" i="78"/>
  <c r="P63" i="78"/>
  <c r="N17" i="78"/>
  <c r="N42" i="78"/>
  <c r="N44" i="78"/>
  <c r="M57" i="78"/>
  <c r="N60" i="78"/>
  <c r="N78" i="78"/>
  <c r="N80" i="78"/>
  <c r="AE64" i="78"/>
  <c r="F6" i="77"/>
  <c r="P15" i="78"/>
  <c r="P16" i="78"/>
  <c r="P38" i="78"/>
  <c r="P41" i="78"/>
  <c r="AE47" i="78"/>
  <c r="AE48" i="78"/>
  <c r="P58" i="78"/>
  <c r="P59" i="78"/>
  <c r="AE63" i="78"/>
  <c r="P77" i="78"/>
  <c r="AE19" i="78"/>
  <c r="AE21" i="78"/>
  <c r="AE62" i="78"/>
  <c r="E6" i="77"/>
  <c r="AE18" i="78"/>
  <c r="AE20" i="78"/>
  <c r="AE45" i="78"/>
  <c r="AE61" i="78"/>
  <c r="N30" i="78" l="1"/>
  <c r="AF30" i="78"/>
  <c r="AG23" i="78" s="1"/>
  <c r="AE30" i="78"/>
  <c r="AF46" i="78"/>
  <c r="AG38" i="78" s="1"/>
  <c r="AE46" i="78"/>
  <c r="N46" i="78"/>
  <c r="Q10" i="78"/>
  <c r="P10" i="78"/>
  <c r="AF81" i="78"/>
  <c r="AG75" i="78" s="1"/>
  <c r="AE81" i="78"/>
  <c r="N81" i="78"/>
  <c r="Q70" i="78"/>
  <c r="P70" i="78"/>
  <c r="Q56" i="78"/>
  <c r="P56" i="78"/>
  <c r="Q61" i="78"/>
  <c r="P61" i="78"/>
  <c r="Q69" i="78"/>
  <c r="P69" i="78"/>
  <c r="Q72" i="78"/>
  <c r="P72" i="78"/>
  <c r="Q26" i="78"/>
  <c r="P26" i="78"/>
  <c r="N68" i="78"/>
  <c r="AF68" i="78"/>
  <c r="AG58" i="78" s="1"/>
  <c r="AE68" i="78"/>
  <c r="P9" i="78"/>
  <c r="Q9" i="78"/>
  <c r="Q66" i="78"/>
  <c r="P66" i="78"/>
  <c r="Q8" i="78"/>
  <c r="P8" i="78"/>
  <c r="Q17" i="78"/>
  <c r="P17" i="78"/>
  <c r="Q23" i="78"/>
  <c r="P23" i="78"/>
  <c r="Q76" i="78"/>
  <c r="P76" i="78"/>
  <c r="Q67" i="78"/>
  <c r="P67" i="78"/>
  <c r="Q39" i="78"/>
  <c r="P39" i="78"/>
  <c r="N14" i="78"/>
  <c r="AF14" i="78"/>
  <c r="AG12" i="78" s="1"/>
  <c r="AE14" i="78"/>
  <c r="Q29" i="78"/>
  <c r="P29" i="78"/>
  <c r="N74" i="78"/>
  <c r="AF74" i="78"/>
  <c r="AG69" i="78" s="1"/>
  <c r="AE74" i="78"/>
  <c r="Q7" i="78"/>
  <c r="P7" i="78"/>
  <c r="Q80" i="78"/>
  <c r="P80" i="78"/>
  <c r="Q49" i="78"/>
  <c r="P49" i="78"/>
  <c r="Q78" i="78"/>
  <c r="P78" i="78"/>
  <c r="AF22" i="78"/>
  <c r="AG15" i="78" s="1"/>
  <c r="AE22" i="78"/>
  <c r="N22" i="78"/>
  <c r="Q12" i="78"/>
  <c r="P12" i="78"/>
  <c r="Q36" i="78"/>
  <c r="P36" i="78"/>
  <c r="Q52" i="78"/>
  <c r="P52" i="78"/>
  <c r="N37" i="78"/>
  <c r="AF37" i="78"/>
  <c r="AG31" i="78" s="1"/>
  <c r="AE37" i="78"/>
  <c r="Q73" i="78"/>
  <c r="P73" i="78"/>
  <c r="Q19" i="78"/>
  <c r="P19" i="78"/>
  <c r="P53" i="78"/>
  <c r="Q53" i="78"/>
  <c r="Q45" i="78"/>
  <c r="P45" i="78"/>
  <c r="P28" i="78"/>
  <c r="Q28" i="78"/>
  <c r="P55" i="78"/>
  <c r="Q55" i="78"/>
  <c r="Q60" i="78"/>
  <c r="P60" i="78"/>
  <c r="Q18" i="78"/>
  <c r="P18" i="78"/>
  <c r="Q65" i="78"/>
  <c r="P65" i="78"/>
  <c r="Q5" i="78"/>
  <c r="P5" i="78"/>
  <c r="P71" i="78"/>
  <c r="Q71" i="78"/>
  <c r="Q44" i="78"/>
  <c r="P44" i="78"/>
  <c r="Q62" i="78"/>
  <c r="P62" i="78"/>
  <c r="Q6" i="78"/>
  <c r="P6" i="78"/>
  <c r="Q31" i="78"/>
  <c r="P31" i="78"/>
  <c r="Q34" i="78"/>
  <c r="P34" i="78"/>
  <c r="Q13" i="78"/>
  <c r="P13" i="78"/>
  <c r="N11" i="78"/>
  <c r="AF11" i="78"/>
  <c r="AG5" i="78" s="1"/>
  <c r="AE11" i="78"/>
  <c r="Q51" i="78"/>
  <c r="P51" i="78"/>
  <c r="Q54" i="78"/>
  <c r="P54" i="78"/>
  <c r="N57" i="78"/>
  <c r="AF57" i="78"/>
  <c r="AG47" i="78" s="1"/>
  <c r="AE57" i="78"/>
  <c r="Q27" i="78"/>
  <c r="P27" i="78"/>
  <c r="Q42" i="78"/>
  <c r="P42" i="78"/>
  <c r="Q21" i="78"/>
  <c r="P21" i="78"/>
  <c r="Q32" i="78"/>
  <c r="P32" i="78"/>
  <c r="Q24" i="78"/>
  <c r="P24" i="78"/>
  <c r="Q25" i="78"/>
  <c r="P25" i="78"/>
  <c r="Q50" i="78"/>
  <c r="P50" i="78"/>
  <c r="P33" i="78"/>
  <c r="Q33" i="78"/>
  <c r="I14" i="77" l="1"/>
  <c r="I15" i="77" s="1"/>
  <c r="Q68" i="78"/>
  <c r="R58" i="78" s="1"/>
  <c r="P68" i="78"/>
  <c r="M14" i="77"/>
  <c r="M15" i="77" s="1"/>
  <c r="Q81" i="78"/>
  <c r="R75" i="78" s="1"/>
  <c r="P81" i="78"/>
  <c r="Q11" i="78"/>
  <c r="R5" i="78" s="1"/>
  <c r="P11" i="78"/>
  <c r="D14" i="77"/>
  <c r="D2" i="78"/>
  <c r="Q74" i="78"/>
  <c r="R69" i="78" s="1"/>
  <c r="J14" i="77"/>
  <c r="J15" i="77" s="1"/>
  <c r="P74" i="78"/>
  <c r="L14" i="77"/>
  <c r="L15" i="77" s="1"/>
  <c r="Q46" i="78"/>
  <c r="R38" i="78" s="1"/>
  <c r="P46" i="78"/>
  <c r="H14" i="77"/>
  <c r="H15" i="77" s="1"/>
  <c r="Q57" i="78"/>
  <c r="R47" i="78" s="1"/>
  <c r="P57" i="78"/>
  <c r="Q37" i="78"/>
  <c r="R31" i="78" s="1"/>
  <c r="P37" i="78"/>
  <c r="K14" i="77"/>
  <c r="Q14" i="78"/>
  <c r="R12" i="78" s="1"/>
  <c r="P14" i="78"/>
  <c r="E14" i="77"/>
  <c r="E15" i="77" s="1"/>
  <c r="F14" i="77"/>
  <c r="F15" i="77" s="1"/>
  <c r="Q22" i="78"/>
  <c r="R15" i="78" s="1"/>
  <c r="P22" i="78"/>
  <c r="Q30" i="78"/>
  <c r="R23" i="78" s="1"/>
  <c r="G14" i="77"/>
  <c r="G15" i="77" s="1"/>
  <c r="P30" i="78"/>
  <c r="K15" i="77" l="1"/>
  <c r="I8" i="77" s="1"/>
  <c r="I7" i="77"/>
  <c r="F7" i="77"/>
  <c r="E7" i="77"/>
  <c r="D15" i="77"/>
  <c r="G7" i="77"/>
  <c r="G8" i="77" l="1"/>
  <c r="E8" i="77"/>
  <c r="F8" i="77"/>
  <c r="AD80" i="70" l="1"/>
  <c r="AC80" i="70"/>
  <c r="Z80" i="70"/>
  <c r="Y80" i="70"/>
  <c r="O80" i="70"/>
  <c r="M80" i="70"/>
  <c r="AF80" i="70" s="1"/>
  <c r="AG74" i="70" s="1"/>
  <c r="K80" i="70"/>
  <c r="V79" i="70"/>
  <c r="U79" i="70"/>
  <c r="O79" i="70"/>
  <c r="N79" i="70"/>
  <c r="Q79" i="70" s="1"/>
  <c r="M79" i="70"/>
  <c r="AF79" i="70" s="1"/>
  <c r="K79" i="70"/>
  <c r="G79" i="70"/>
  <c r="X78" i="70"/>
  <c r="W78" i="70"/>
  <c r="V78" i="70"/>
  <c r="U78" i="70"/>
  <c r="O78" i="70"/>
  <c r="M78" i="70"/>
  <c r="AE78" i="70" s="1"/>
  <c r="K78" i="70"/>
  <c r="G78" i="70"/>
  <c r="V77" i="70"/>
  <c r="U77" i="70"/>
  <c r="O77" i="70"/>
  <c r="N77" i="70"/>
  <c r="Q77" i="70" s="1"/>
  <c r="M77" i="70"/>
  <c r="AF77" i="70" s="1"/>
  <c r="K77" i="70"/>
  <c r="G77" i="70"/>
  <c r="AF76" i="70"/>
  <c r="V76" i="70"/>
  <c r="U76" i="70"/>
  <c r="O76" i="70"/>
  <c r="M76" i="70"/>
  <c r="AE76" i="70" s="1"/>
  <c r="K76" i="70"/>
  <c r="G76" i="70"/>
  <c r="AF75" i="70"/>
  <c r="AE75" i="70"/>
  <c r="V75" i="70"/>
  <c r="U75" i="70"/>
  <c r="O75" i="70"/>
  <c r="N75" i="70"/>
  <c r="Q75" i="70" s="1"/>
  <c r="M75" i="70"/>
  <c r="K75" i="70"/>
  <c r="G75" i="70"/>
  <c r="AF74" i="70"/>
  <c r="AE74" i="70"/>
  <c r="X74" i="70"/>
  <c r="W74" i="70"/>
  <c r="V74" i="70"/>
  <c r="O74" i="70"/>
  <c r="N74" i="70"/>
  <c r="Q74" i="70" s="1"/>
  <c r="M74" i="70"/>
  <c r="K74" i="70"/>
  <c r="G74" i="70"/>
  <c r="AD73" i="70"/>
  <c r="AC73" i="70"/>
  <c r="Z73" i="70"/>
  <c r="Y73" i="70"/>
  <c r="O73" i="70"/>
  <c r="K73" i="70"/>
  <c r="AF72" i="70"/>
  <c r="V72" i="70"/>
  <c r="U72" i="70"/>
  <c r="O72" i="70"/>
  <c r="M72" i="70"/>
  <c r="AE72" i="70" s="1"/>
  <c r="K72" i="70"/>
  <c r="G72" i="70"/>
  <c r="AF71" i="70"/>
  <c r="AE71" i="70"/>
  <c r="V71" i="70"/>
  <c r="U71" i="70"/>
  <c r="O71" i="70"/>
  <c r="N71" i="70"/>
  <c r="Q71" i="70" s="1"/>
  <c r="M71" i="70"/>
  <c r="K71" i="70"/>
  <c r="G71" i="70"/>
  <c r="V70" i="70"/>
  <c r="M70" i="70" s="1"/>
  <c r="U70" i="70"/>
  <c r="O70" i="70"/>
  <c r="K70" i="70"/>
  <c r="G70" i="70"/>
  <c r="V69" i="70"/>
  <c r="M69" i="70" s="1"/>
  <c r="U69" i="70"/>
  <c r="O69" i="70"/>
  <c r="K69" i="70"/>
  <c r="G69" i="70"/>
  <c r="V68" i="70"/>
  <c r="M68" i="70" s="1"/>
  <c r="O68" i="70"/>
  <c r="K68" i="70"/>
  <c r="G68" i="70"/>
  <c r="AD67" i="70"/>
  <c r="AC67" i="70"/>
  <c r="I20" i="69" s="1"/>
  <c r="Z67" i="70"/>
  <c r="Y67" i="70"/>
  <c r="O67" i="70"/>
  <c r="K67" i="70"/>
  <c r="V66" i="70"/>
  <c r="M66" i="70" s="1"/>
  <c r="U66" i="70"/>
  <c r="O66" i="70"/>
  <c r="K66" i="70"/>
  <c r="G66" i="70"/>
  <c r="X65" i="70"/>
  <c r="W65" i="70"/>
  <c r="V65" i="70"/>
  <c r="M65" i="70" s="1"/>
  <c r="U65" i="70"/>
  <c r="O65" i="70"/>
  <c r="K65" i="70"/>
  <c r="G65" i="70"/>
  <c r="V64" i="70"/>
  <c r="M64" i="70" s="1"/>
  <c r="U64" i="70"/>
  <c r="O64" i="70"/>
  <c r="K64" i="70"/>
  <c r="G64" i="70"/>
  <c r="V63" i="70"/>
  <c r="M63" i="70" s="1"/>
  <c r="U63" i="70"/>
  <c r="O63" i="70"/>
  <c r="K63" i="70"/>
  <c r="G63" i="70"/>
  <c r="V62" i="70"/>
  <c r="M62" i="70" s="1"/>
  <c r="U62" i="70"/>
  <c r="O62" i="70"/>
  <c r="K62" i="70"/>
  <c r="G62" i="70"/>
  <c r="V61" i="70"/>
  <c r="M61" i="70" s="1"/>
  <c r="U61" i="70"/>
  <c r="O61" i="70"/>
  <c r="K61" i="70"/>
  <c r="G61" i="70"/>
  <c r="V60" i="70"/>
  <c r="U60" i="70"/>
  <c r="O60" i="70"/>
  <c r="N60" i="70"/>
  <c r="Q60" i="70" s="1"/>
  <c r="M60" i="70"/>
  <c r="AF60" i="70" s="1"/>
  <c r="K60" i="70"/>
  <c r="G60" i="70"/>
  <c r="V59" i="70"/>
  <c r="U59" i="70"/>
  <c r="O59" i="70"/>
  <c r="M59" i="70"/>
  <c r="AF59" i="70" s="1"/>
  <c r="K59" i="70"/>
  <c r="G59" i="70"/>
  <c r="V58" i="70"/>
  <c r="U58" i="70"/>
  <c r="O58" i="70"/>
  <c r="N58" i="70"/>
  <c r="Q58" i="70" s="1"/>
  <c r="M58" i="70"/>
  <c r="AF58" i="70" s="1"/>
  <c r="K58" i="70"/>
  <c r="G58" i="70"/>
  <c r="V57" i="70"/>
  <c r="O57" i="70"/>
  <c r="N57" i="70"/>
  <c r="Q57" i="70" s="1"/>
  <c r="M57" i="70"/>
  <c r="AF57" i="70" s="1"/>
  <c r="K57" i="70"/>
  <c r="G57" i="70"/>
  <c r="AD56" i="70"/>
  <c r="AC56" i="70"/>
  <c r="Z56" i="70"/>
  <c r="Y56" i="70"/>
  <c r="O56" i="70"/>
  <c r="K56" i="70"/>
  <c r="V55" i="70"/>
  <c r="U55" i="70"/>
  <c r="O55" i="70"/>
  <c r="M55" i="70"/>
  <c r="AF55" i="70" s="1"/>
  <c r="K55" i="70"/>
  <c r="G55" i="70"/>
  <c r="X54" i="70"/>
  <c r="W54" i="70"/>
  <c r="V54" i="70"/>
  <c r="U54" i="70"/>
  <c r="O54" i="70"/>
  <c r="N54" i="70"/>
  <c r="Q54" i="70" s="1"/>
  <c r="M54" i="70"/>
  <c r="AE54" i="70" s="1"/>
  <c r="K54" i="70"/>
  <c r="G54" i="70"/>
  <c r="V53" i="70"/>
  <c r="U53" i="70"/>
  <c r="O53" i="70"/>
  <c r="M53" i="70"/>
  <c r="AF53" i="70" s="1"/>
  <c r="K53" i="70"/>
  <c r="G53" i="70"/>
  <c r="AF52" i="70"/>
  <c r="V52" i="70"/>
  <c r="U52" i="70"/>
  <c r="O52" i="70"/>
  <c r="M52" i="70"/>
  <c r="AE52" i="70" s="1"/>
  <c r="K52" i="70"/>
  <c r="G52" i="70"/>
  <c r="AF51" i="70"/>
  <c r="AE51" i="70"/>
  <c r="V51" i="70"/>
  <c r="U51" i="70"/>
  <c r="O51" i="70"/>
  <c r="N51" i="70"/>
  <c r="Q51" i="70" s="1"/>
  <c r="M51" i="70"/>
  <c r="K51" i="70"/>
  <c r="G51" i="70"/>
  <c r="V50" i="70"/>
  <c r="M50" i="70" s="1"/>
  <c r="U50" i="70"/>
  <c r="O50" i="70"/>
  <c r="K50" i="70"/>
  <c r="G50" i="70"/>
  <c r="V49" i="70"/>
  <c r="M49" i="70" s="1"/>
  <c r="U49" i="70"/>
  <c r="O49" i="70"/>
  <c r="K49" i="70"/>
  <c r="G49" i="70"/>
  <c r="AF48" i="70"/>
  <c r="AE48" i="70"/>
  <c r="X48" i="70"/>
  <c r="W48" i="70"/>
  <c r="V48" i="70"/>
  <c r="O48" i="70"/>
  <c r="N48" i="70"/>
  <c r="Q48" i="70" s="1"/>
  <c r="M48" i="70"/>
  <c r="K48" i="70"/>
  <c r="G48" i="70"/>
  <c r="AD47" i="70"/>
  <c r="AC47" i="70"/>
  <c r="Z47" i="70"/>
  <c r="Y47" i="70"/>
  <c r="O47" i="70"/>
  <c r="K47" i="70"/>
  <c r="V46" i="70"/>
  <c r="M46" i="70" s="1"/>
  <c r="U46" i="70"/>
  <c r="O46" i="70"/>
  <c r="K46" i="70"/>
  <c r="G46" i="70"/>
  <c r="V45" i="70"/>
  <c r="M45" i="70" s="1"/>
  <c r="U45" i="70"/>
  <c r="O45" i="70"/>
  <c r="K45" i="70"/>
  <c r="G45" i="70"/>
  <c r="X44" i="70"/>
  <c r="W44" i="70"/>
  <c r="V44" i="70"/>
  <c r="M44" i="70" s="1"/>
  <c r="U44" i="70"/>
  <c r="O44" i="70"/>
  <c r="K44" i="70"/>
  <c r="G44" i="70"/>
  <c r="V43" i="70"/>
  <c r="M43" i="70" s="1"/>
  <c r="U43" i="70"/>
  <c r="O43" i="70"/>
  <c r="K43" i="70"/>
  <c r="G43" i="70"/>
  <c r="V42" i="70"/>
  <c r="M42" i="70" s="1"/>
  <c r="U42" i="70"/>
  <c r="O42" i="70"/>
  <c r="K42" i="70"/>
  <c r="G42" i="70"/>
  <c r="V41" i="70"/>
  <c r="M41" i="70" s="1"/>
  <c r="U41" i="70"/>
  <c r="O41" i="70"/>
  <c r="K41" i="70"/>
  <c r="G41" i="70"/>
  <c r="V40" i="70"/>
  <c r="M40" i="70" s="1"/>
  <c r="U40" i="70"/>
  <c r="O40" i="70"/>
  <c r="K40" i="70"/>
  <c r="G40" i="70"/>
  <c r="X39" i="70"/>
  <c r="W39" i="70"/>
  <c r="V39" i="70"/>
  <c r="M39" i="70" s="1"/>
  <c r="O39" i="70"/>
  <c r="K39" i="70"/>
  <c r="G39" i="70"/>
  <c r="AD38" i="70"/>
  <c r="AC38" i="70"/>
  <c r="Z38" i="70"/>
  <c r="Z2" i="70" s="1"/>
  <c r="L6" i="69" s="1"/>
  <c r="Y38" i="70"/>
  <c r="O38" i="70"/>
  <c r="K38" i="70"/>
  <c r="V37" i="70"/>
  <c r="M37" i="70" s="1"/>
  <c r="U37" i="70"/>
  <c r="O37" i="70"/>
  <c r="K37" i="70"/>
  <c r="G37" i="70"/>
  <c r="X36" i="70"/>
  <c r="W36" i="70"/>
  <c r="V36" i="70"/>
  <c r="M36" i="70" s="1"/>
  <c r="U36" i="70"/>
  <c r="O36" i="70"/>
  <c r="K36" i="70"/>
  <c r="G36" i="70"/>
  <c r="V35" i="70"/>
  <c r="M35" i="70" s="1"/>
  <c r="U35" i="70"/>
  <c r="O35" i="70"/>
  <c r="K35" i="70"/>
  <c r="G35" i="70"/>
  <c r="V34" i="70"/>
  <c r="M34" i="70" s="1"/>
  <c r="U34" i="70"/>
  <c r="O34" i="70"/>
  <c r="K34" i="70"/>
  <c r="G34" i="70"/>
  <c r="V33" i="70"/>
  <c r="M33" i="70" s="1"/>
  <c r="U33" i="70"/>
  <c r="O33" i="70"/>
  <c r="K33" i="70"/>
  <c r="G33" i="70"/>
  <c r="X32" i="70"/>
  <c r="W32" i="70"/>
  <c r="V32" i="70"/>
  <c r="M32" i="70" s="1"/>
  <c r="O32" i="70"/>
  <c r="K32" i="70"/>
  <c r="G32" i="70"/>
  <c r="AD31" i="70"/>
  <c r="AC31" i="70"/>
  <c r="Z31" i="70"/>
  <c r="Y31" i="70"/>
  <c r="G18" i="69" s="1"/>
  <c r="O31" i="70"/>
  <c r="K31" i="70"/>
  <c r="V30" i="70"/>
  <c r="M30" i="70" s="1"/>
  <c r="U30" i="70"/>
  <c r="O30" i="70"/>
  <c r="K30" i="70"/>
  <c r="G30" i="70"/>
  <c r="V29" i="70"/>
  <c r="M29" i="70" s="1"/>
  <c r="U29" i="70"/>
  <c r="O29" i="70"/>
  <c r="K29" i="70"/>
  <c r="G29" i="70"/>
  <c r="X28" i="70"/>
  <c r="W28" i="70"/>
  <c r="V28" i="70"/>
  <c r="M28" i="70" s="1"/>
  <c r="U28" i="70"/>
  <c r="O28" i="70"/>
  <c r="K28" i="70"/>
  <c r="G28" i="70"/>
  <c r="V27" i="70"/>
  <c r="M27" i="70" s="1"/>
  <c r="U27" i="70"/>
  <c r="O27" i="70"/>
  <c r="K27" i="70"/>
  <c r="G27" i="70"/>
  <c r="AE26" i="70"/>
  <c r="V26" i="70"/>
  <c r="U26" i="70"/>
  <c r="O26" i="70"/>
  <c r="N26" i="70"/>
  <c r="Q26" i="70" s="1"/>
  <c r="M26" i="70"/>
  <c r="AF26" i="70" s="1"/>
  <c r="K26" i="70"/>
  <c r="G26" i="70"/>
  <c r="V25" i="70"/>
  <c r="U25" i="70"/>
  <c r="O25" i="70"/>
  <c r="M25" i="70"/>
  <c r="AF25" i="70" s="1"/>
  <c r="K25" i="70"/>
  <c r="G25" i="70"/>
  <c r="V24" i="70"/>
  <c r="U24" i="70"/>
  <c r="O24" i="70"/>
  <c r="N24" i="70"/>
  <c r="Q24" i="70" s="1"/>
  <c r="M24" i="70"/>
  <c r="AF24" i="70" s="1"/>
  <c r="K24" i="70"/>
  <c r="G24" i="70"/>
  <c r="V23" i="70"/>
  <c r="O23" i="70"/>
  <c r="N23" i="70"/>
  <c r="Q23" i="70" s="1"/>
  <c r="M23" i="70"/>
  <c r="AF23" i="70" s="1"/>
  <c r="K23" i="70"/>
  <c r="G23" i="70"/>
  <c r="AD22" i="70"/>
  <c r="AC22" i="70"/>
  <c r="Z22" i="70"/>
  <c r="Y22" i="70"/>
  <c r="O22" i="70"/>
  <c r="M22" i="70"/>
  <c r="AF22" i="70" s="1"/>
  <c r="AG15" i="70" s="1"/>
  <c r="K22" i="70"/>
  <c r="V21" i="70"/>
  <c r="U21" i="70"/>
  <c r="O21" i="70"/>
  <c r="M21" i="70"/>
  <c r="AF21" i="70" s="1"/>
  <c r="K21" i="70"/>
  <c r="G21" i="70"/>
  <c r="X20" i="70"/>
  <c r="W20" i="70"/>
  <c r="V20" i="70"/>
  <c r="U20" i="70"/>
  <c r="O20" i="70"/>
  <c r="N20" i="70"/>
  <c r="Q20" i="70" s="1"/>
  <c r="M20" i="70"/>
  <c r="AE20" i="70" s="1"/>
  <c r="K20" i="70"/>
  <c r="G20" i="70"/>
  <c r="V19" i="70"/>
  <c r="U19" i="70"/>
  <c r="O19" i="70"/>
  <c r="M19" i="70"/>
  <c r="AF19" i="70" s="1"/>
  <c r="K19" i="70"/>
  <c r="G19" i="70"/>
  <c r="V18" i="70"/>
  <c r="U18" i="70"/>
  <c r="O18" i="70"/>
  <c r="M18" i="70"/>
  <c r="AE18" i="70" s="1"/>
  <c r="K18" i="70"/>
  <c r="G18" i="70"/>
  <c r="AF17" i="70"/>
  <c r="V17" i="70"/>
  <c r="U17" i="70"/>
  <c r="O17" i="70"/>
  <c r="M17" i="70"/>
  <c r="N17" i="70" s="1"/>
  <c r="K17" i="70"/>
  <c r="G17" i="70"/>
  <c r="AF16" i="70"/>
  <c r="AE16" i="70"/>
  <c r="V16" i="70"/>
  <c r="U16" i="70"/>
  <c r="O16" i="70"/>
  <c r="N16" i="70"/>
  <c r="Q16" i="70" s="1"/>
  <c r="M16" i="70"/>
  <c r="K16" i="70"/>
  <c r="G16" i="70"/>
  <c r="AF15" i="70"/>
  <c r="AE15" i="70"/>
  <c r="V15" i="70"/>
  <c r="O15" i="70"/>
  <c r="N15" i="70"/>
  <c r="Q15" i="70" s="1"/>
  <c r="M15" i="70"/>
  <c r="K15" i="70"/>
  <c r="G15" i="70"/>
  <c r="AD14" i="70"/>
  <c r="AD2" i="70" s="1"/>
  <c r="N6" i="69" s="1"/>
  <c r="AC14" i="70"/>
  <c r="Z14" i="70"/>
  <c r="Y14" i="70"/>
  <c r="O14" i="70"/>
  <c r="K14" i="70"/>
  <c r="V13" i="70"/>
  <c r="M13" i="70" s="1"/>
  <c r="U13" i="70"/>
  <c r="O13" i="70"/>
  <c r="K13" i="70"/>
  <c r="G13" i="70"/>
  <c r="V12" i="70"/>
  <c r="M12" i="70" s="1"/>
  <c r="O12" i="70"/>
  <c r="K12" i="70"/>
  <c r="G12" i="70"/>
  <c r="AD11" i="70"/>
  <c r="AC11" i="70"/>
  <c r="AC2" i="70" s="1"/>
  <c r="M6" i="69" s="1"/>
  <c r="Z11" i="70"/>
  <c r="Y11" i="70"/>
  <c r="O11" i="70"/>
  <c r="K11" i="70"/>
  <c r="V10" i="70"/>
  <c r="M10" i="70" s="1"/>
  <c r="U10" i="70"/>
  <c r="O10" i="70"/>
  <c r="K10" i="70"/>
  <c r="G10" i="70"/>
  <c r="X9" i="70"/>
  <c r="W9" i="70"/>
  <c r="V9" i="70"/>
  <c r="M9" i="70" s="1"/>
  <c r="U9" i="70"/>
  <c r="O9" i="70"/>
  <c r="K9" i="70"/>
  <c r="G9" i="70"/>
  <c r="V8" i="70"/>
  <c r="M8" i="70" s="1"/>
  <c r="U8" i="70"/>
  <c r="O8" i="70"/>
  <c r="K8" i="70"/>
  <c r="G8" i="70"/>
  <c r="V7" i="70"/>
  <c r="M7" i="70" s="1"/>
  <c r="U7" i="70"/>
  <c r="O7" i="70"/>
  <c r="K7" i="70"/>
  <c r="G7" i="70"/>
  <c r="V6" i="70"/>
  <c r="M6" i="70" s="1"/>
  <c r="U6" i="70"/>
  <c r="O6" i="70"/>
  <c r="K6" i="70"/>
  <c r="G6" i="70"/>
  <c r="V5" i="70"/>
  <c r="M5" i="70" s="1"/>
  <c r="O5" i="70"/>
  <c r="K5" i="70"/>
  <c r="G5" i="70"/>
  <c r="F1" i="70" s="1"/>
  <c r="H2" i="70"/>
  <c r="H1" i="70"/>
  <c r="D1" i="70"/>
  <c r="M22" i="69"/>
  <c r="L22" i="69"/>
  <c r="K22" i="69"/>
  <c r="J22" i="69"/>
  <c r="I22" i="69"/>
  <c r="H22" i="69"/>
  <c r="G22" i="69"/>
  <c r="F22" i="69"/>
  <c r="E22" i="69"/>
  <c r="D22" i="69"/>
  <c r="M21" i="69"/>
  <c r="L21" i="69"/>
  <c r="K21" i="69"/>
  <c r="J21" i="69"/>
  <c r="I21" i="69"/>
  <c r="H21" i="69"/>
  <c r="G21" i="69"/>
  <c r="F21" i="69"/>
  <c r="D21" i="69"/>
  <c r="M20" i="69"/>
  <c r="L20" i="69"/>
  <c r="K20" i="69"/>
  <c r="J20" i="69"/>
  <c r="H20" i="69"/>
  <c r="G20" i="69"/>
  <c r="F20" i="69"/>
  <c r="E20" i="69"/>
  <c r="M19" i="69"/>
  <c r="L19" i="69"/>
  <c r="K19" i="69"/>
  <c r="J19" i="69"/>
  <c r="I19" i="69"/>
  <c r="H19" i="69"/>
  <c r="G19" i="69"/>
  <c r="F19" i="69"/>
  <c r="E19" i="69"/>
  <c r="D19" i="69"/>
  <c r="M18" i="69"/>
  <c r="L18" i="69"/>
  <c r="K18" i="69"/>
  <c r="J18" i="69"/>
  <c r="I18" i="69"/>
  <c r="H18" i="69"/>
  <c r="F18" i="69"/>
  <c r="E18" i="69"/>
  <c r="D18" i="69"/>
  <c r="M17" i="69"/>
  <c r="L17" i="69"/>
  <c r="K17" i="69"/>
  <c r="J17" i="69"/>
  <c r="I17" i="69"/>
  <c r="H17" i="69"/>
  <c r="G17" i="69"/>
  <c r="F17" i="69"/>
  <c r="E17" i="69"/>
  <c r="D17" i="69"/>
  <c r="M16" i="69"/>
  <c r="L16" i="69"/>
  <c r="K16" i="69"/>
  <c r="J16" i="69"/>
  <c r="I16" i="69"/>
  <c r="H16" i="69"/>
  <c r="G16" i="69"/>
  <c r="F16" i="69"/>
  <c r="E16" i="69"/>
  <c r="D16" i="69"/>
  <c r="M13" i="69"/>
  <c r="L13" i="69"/>
  <c r="K13" i="69"/>
  <c r="I6" i="69" s="1"/>
  <c r="J13" i="69"/>
  <c r="I13" i="69"/>
  <c r="H13" i="69"/>
  <c r="F6" i="69" s="1"/>
  <c r="G13" i="69"/>
  <c r="F13" i="69"/>
  <c r="E13" i="69"/>
  <c r="D13" i="69"/>
  <c r="F3" i="69"/>
  <c r="C3" i="69"/>
  <c r="I3" i="69" l="1"/>
  <c r="F2" i="70"/>
  <c r="N32" i="70"/>
  <c r="M38" i="70"/>
  <c r="AF32" i="70"/>
  <c r="AE32" i="70"/>
  <c r="N7" i="70"/>
  <c r="AF7" i="70"/>
  <c r="AE7" i="70"/>
  <c r="N45" i="70"/>
  <c r="AF45" i="70"/>
  <c r="AE45" i="70"/>
  <c r="N28" i="70"/>
  <c r="AF28" i="70"/>
  <c r="AE28" i="70"/>
  <c r="N5" i="70"/>
  <c r="M11" i="70"/>
  <c r="AF5" i="70"/>
  <c r="AE5" i="70"/>
  <c r="N39" i="70"/>
  <c r="AF39" i="70"/>
  <c r="AE39" i="70"/>
  <c r="M47" i="70"/>
  <c r="N41" i="70"/>
  <c r="AF41" i="70"/>
  <c r="AE41" i="70"/>
  <c r="N49" i="70"/>
  <c r="M56" i="70"/>
  <c r="AF49" i="70"/>
  <c r="AE49" i="70"/>
  <c r="N62" i="70"/>
  <c r="AF62" i="70"/>
  <c r="AE62" i="70"/>
  <c r="N12" i="70"/>
  <c r="M14" i="70"/>
  <c r="AF12" i="70"/>
  <c r="AE12" i="70"/>
  <c r="N69" i="70"/>
  <c r="AF69" i="70"/>
  <c r="AE69" i="70"/>
  <c r="N35" i="70"/>
  <c r="AF35" i="70"/>
  <c r="AE35" i="70"/>
  <c r="N37" i="70"/>
  <c r="AF37" i="70"/>
  <c r="AE37" i="70"/>
  <c r="AF33" i="70"/>
  <c r="AE33" i="70"/>
  <c r="N33" i="70"/>
  <c r="AE50" i="70"/>
  <c r="N50" i="70"/>
  <c r="AF50" i="70"/>
  <c r="N63" i="70"/>
  <c r="AF63" i="70"/>
  <c r="AE63" i="70"/>
  <c r="N44" i="70"/>
  <c r="AF44" i="70"/>
  <c r="AE44" i="70"/>
  <c r="N42" i="70"/>
  <c r="AF42" i="70"/>
  <c r="AE42" i="70"/>
  <c r="AE70" i="70"/>
  <c r="N70" i="70"/>
  <c r="AF70" i="70"/>
  <c r="N36" i="70"/>
  <c r="AF36" i="70"/>
  <c r="AE36" i="70"/>
  <c r="N40" i="70"/>
  <c r="AF40" i="70"/>
  <c r="AE40" i="70"/>
  <c r="AF61" i="70"/>
  <c r="AE61" i="70"/>
  <c r="N61" i="70"/>
  <c r="N8" i="70"/>
  <c r="AF8" i="70"/>
  <c r="AE8" i="70"/>
  <c r="N10" i="70"/>
  <c r="AF10" i="70"/>
  <c r="AE10" i="70"/>
  <c r="AE46" i="70"/>
  <c r="N46" i="70"/>
  <c r="AF46" i="70"/>
  <c r="N65" i="70"/>
  <c r="AF65" i="70"/>
  <c r="AE65" i="70"/>
  <c r="N6" i="70"/>
  <c r="AF6" i="70"/>
  <c r="AE6" i="70"/>
  <c r="N13" i="70"/>
  <c r="AF13" i="70"/>
  <c r="AE13" i="70"/>
  <c r="AF27" i="70"/>
  <c r="AE27" i="70"/>
  <c r="N27" i="70"/>
  <c r="AF29" i="70"/>
  <c r="AE29" i="70"/>
  <c r="N29" i="70"/>
  <c r="N9" i="70"/>
  <c r="AF9" i="70"/>
  <c r="AE9" i="70"/>
  <c r="Q17" i="70"/>
  <c r="P17" i="70"/>
  <c r="N68" i="70"/>
  <c r="AF68" i="70"/>
  <c r="M73" i="70"/>
  <c r="AE68" i="70"/>
  <c r="N34" i="70"/>
  <c r="AF34" i="70"/>
  <c r="AE34" i="70"/>
  <c r="N43" i="70"/>
  <c r="AF43" i="70"/>
  <c r="AE43" i="70"/>
  <c r="N64" i="70"/>
  <c r="AF64" i="70"/>
  <c r="AE64" i="70"/>
  <c r="N66" i="70"/>
  <c r="AF66" i="70"/>
  <c r="AE66" i="70"/>
  <c r="N30" i="70"/>
  <c r="AF30" i="70"/>
  <c r="AE30" i="70"/>
  <c r="AE17" i="70"/>
  <c r="AF18" i="70"/>
  <c r="AF20" i="70"/>
  <c r="AF54" i="70"/>
  <c r="AF78" i="70"/>
  <c r="N22" i="70"/>
  <c r="N25" i="70"/>
  <c r="N59" i="70"/>
  <c r="N80" i="70"/>
  <c r="E21" i="69"/>
  <c r="P26" i="70"/>
  <c r="P60" i="70"/>
  <c r="N78" i="70"/>
  <c r="D20" i="69"/>
  <c r="Y2" i="70"/>
  <c r="K6" i="69" s="1"/>
  <c r="N19" i="70"/>
  <c r="N21" i="70"/>
  <c r="N53" i="70"/>
  <c r="N55" i="70"/>
  <c r="N18" i="70"/>
  <c r="P20" i="70"/>
  <c r="P23" i="70"/>
  <c r="P24" i="70"/>
  <c r="N52" i="70"/>
  <c r="P54" i="70"/>
  <c r="P57" i="70"/>
  <c r="P58" i="70"/>
  <c r="N72" i="70"/>
  <c r="N76" i="70"/>
  <c r="M67" i="70"/>
  <c r="P74" i="70"/>
  <c r="P77" i="70"/>
  <c r="P79" i="70"/>
  <c r="AE60" i="70"/>
  <c r="E6" i="69"/>
  <c r="G6" i="69"/>
  <c r="AE25" i="70"/>
  <c r="M31" i="70"/>
  <c r="P48" i="70"/>
  <c r="P51" i="70"/>
  <c r="AE59" i="70"/>
  <c r="P71" i="70"/>
  <c r="P75" i="70"/>
  <c r="P15" i="70"/>
  <c r="P16" i="70"/>
  <c r="AE23" i="70"/>
  <c r="AE24" i="70"/>
  <c r="AE57" i="70"/>
  <c r="AE58" i="70"/>
  <c r="AE19" i="70"/>
  <c r="AE21" i="70"/>
  <c r="AE22" i="70"/>
  <c r="AE53" i="70"/>
  <c r="AE55" i="70"/>
  <c r="AE77" i="70"/>
  <c r="AE79" i="70"/>
  <c r="AE80" i="70"/>
  <c r="AD83" i="68"/>
  <c r="AC83" i="68"/>
  <c r="Z83" i="68"/>
  <c r="Y83" i="68"/>
  <c r="O83" i="68"/>
  <c r="M83" i="68"/>
  <c r="AF83" i="68" s="1"/>
  <c r="AG77" i="68" s="1"/>
  <c r="K83" i="68"/>
  <c r="V82" i="68"/>
  <c r="U82" i="68"/>
  <c r="O82" i="68"/>
  <c r="M82" i="68"/>
  <c r="AF82" i="68" s="1"/>
  <c r="K82" i="68"/>
  <c r="G82" i="68"/>
  <c r="AF81" i="68"/>
  <c r="X81" i="68"/>
  <c r="W81" i="68"/>
  <c r="V81" i="68"/>
  <c r="U81" i="68"/>
  <c r="O81" i="68"/>
  <c r="M81" i="68"/>
  <c r="AE81" i="68" s="1"/>
  <c r="K81" i="68"/>
  <c r="G81" i="68"/>
  <c r="V80" i="68"/>
  <c r="U80" i="68"/>
  <c r="O80" i="68"/>
  <c r="M80" i="68"/>
  <c r="AF80" i="68" s="1"/>
  <c r="K80" i="68"/>
  <c r="G80" i="68"/>
  <c r="AF79" i="68"/>
  <c r="V79" i="68"/>
  <c r="U79" i="68"/>
  <c r="O79" i="68"/>
  <c r="M79" i="68"/>
  <c r="AE79" i="68" s="1"/>
  <c r="K79" i="68"/>
  <c r="G79" i="68"/>
  <c r="AF78" i="68"/>
  <c r="AE78" i="68"/>
  <c r="V78" i="68"/>
  <c r="U78" i="68"/>
  <c r="O78" i="68"/>
  <c r="M78" i="68"/>
  <c r="N78" i="68" s="1"/>
  <c r="K78" i="68"/>
  <c r="G78" i="68"/>
  <c r="AF77" i="68"/>
  <c r="AE77" i="68"/>
  <c r="X77" i="68"/>
  <c r="W77" i="68"/>
  <c r="V77" i="68"/>
  <c r="O77" i="68"/>
  <c r="M77" i="68"/>
  <c r="N77" i="68" s="1"/>
  <c r="K77" i="68"/>
  <c r="G77" i="68"/>
  <c r="AD76" i="68"/>
  <c r="AC76" i="68"/>
  <c r="Z76" i="68"/>
  <c r="Y76" i="68"/>
  <c r="O76" i="68"/>
  <c r="K76" i="68"/>
  <c r="J13" i="67" s="1"/>
  <c r="AF75" i="68"/>
  <c r="V75" i="68"/>
  <c r="U75" i="68"/>
  <c r="O75" i="68"/>
  <c r="M75" i="68"/>
  <c r="AE75" i="68" s="1"/>
  <c r="K75" i="68"/>
  <c r="G75" i="68"/>
  <c r="AF74" i="68"/>
  <c r="AE74" i="68"/>
  <c r="V74" i="68"/>
  <c r="U74" i="68"/>
  <c r="O74" i="68"/>
  <c r="M74" i="68"/>
  <c r="N74" i="68" s="1"/>
  <c r="K74" i="68"/>
  <c r="G74" i="68"/>
  <c r="V73" i="68"/>
  <c r="M73" i="68" s="1"/>
  <c r="U73" i="68"/>
  <c r="O73" i="68"/>
  <c r="K73" i="68"/>
  <c r="G73" i="68"/>
  <c r="V72" i="68"/>
  <c r="M72" i="68" s="1"/>
  <c r="U72" i="68"/>
  <c r="O72" i="68"/>
  <c r="K72" i="68"/>
  <c r="G72" i="68"/>
  <c r="V71" i="68"/>
  <c r="M71" i="68" s="1"/>
  <c r="O71" i="68"/>
  <c r="K71" i="68"/>
  <c r="G71" i="68"/>
  <c r="AD70" i="68"/>
  <c r="AC70" i="68"/>
  <c r="AC2" i="68" s="1"/>
  <c r="M6" i="67" s="1"/>
  <c r="Z70" i="68"/>
  <c r="Y70" i="68"/>
  <c r="O70" i="68"/>
  <c r="K70" i="68"/>
  <c r="V69" i="68"/>
  <c r="M69" i="68" s="1"/>
  <c r="U69" i="68"/>
  <c r="O69" i="68"/>
  <c r="K69" i="68"/>
  <c r="G69" i="68"/>
  <c r="V68" i="68"/>
  <c r="M68" i="68" s="1"/>
  <c r="U68" i="68"/>
  <c r="O68" i="68"/>
  <c r="K68" i="68"/>
  <c r="G68" i="68"/>
  <c r="X67" i="68"/>
  <c r="W67" i="68"/>
  <c r="V67" i="68"/>
  <c r="M67" i="68" s="1"/>
  <c r="U67" i="68"/>
  <c r="O67" i="68"/>
  <c r="K67" i="68"/>
  <c r="G67" i="68"/>
  <c r="V66" i="68"/>
  <c r="M66" i="68" s="1"/>
  <c r="U66" i="68"/>
  <c r="O66" i="68"/>
  <c r="K66" i="68"/>
  <c r="G66" i="68"/>
  <c r="V65" i="68"/>
  <c r="M65" i="68" s="1"/>
  <c r="U65" i="68"/>
  <c r="O65" i="68"/>
  <c r="K65" i="68"/>
  <c r="G65" i="68"/>
  <c r="V64" i="68"/>
  <c r="M64" i="68" s="1"/>
  <c r="U64" i="68"/>
  <c r="O64" i="68"/>
  <c r="K64" i="68"/>
  <c r="G64" i="68"/>
  <c r="V63" i="68"/>
  <c r="U63" i="68"/>
  <c r="O63" i="68"/>
  <c r="N63" i="68"/>
  <c r="Q63" i="68" s="1"/>
  <c r="M63" i="68"/>
  <c r="AF63" i="68" s="1"/>
  <c r="K63" i="68"/>
  <c r="G63" i="68"/>
  <c r="V62" i="68"/>
  <c r="U62" i="68"/>
  <c r="O62" i="68"/>
  <c r="M62" i="68"/>
  <c r="AF62" i="68" s="1"/>
  <c r="K62" i="68"/>
  <c r="G62" i="68"/>
  <c r="V61" i="68"/>
  <c r="U61" i="68"/>
  <c r="O61" i="68"/>
  <c r="M61" i="68"/>
  <c r="AF61" i="68" s="1"/>
  <c r="K61" i="68"/>
  <c r="G61" i="68"/>
  <c r="V60" i="68"/>
  <c r="U60" i="68"/>
  <c r="O60" i="68"/>
  <c r="N60" i="68"/>
  <c r="Q60" i="68" s="1"/>
  <c r="M60" i="68"/>
  <c r="AF60" i="68" s="1"/>
  <c r="K60" i="68"/>
  <c r="G60" i="68"/>
  <c r="V59" i="68"/>
  <c r="O59" i="68"/>
  <c r="N59" i="68"/>
  <c r="Q59" i="68" s="1"/>
  <c r="M59" i="68"/>
  <c r="AF59" i="68" s="1"/>
  <c r="K59" i="68"/>
  <c r="G59" i="68"/>
  <c r="AD58" i="68"/>
  <c r="AC58" i="68"/>
  <c r="Z58" i="68"/>
  <c r="Y58" i="68"/>
  <c r="O58" i="68"/>
  <c r="K58" i="68"/>
  <c r="AF57" i="68"/>
  <c r="V57" i="68"/>
  <c r="U57" i="68"/>
  <c r="O57" i="68"/>
  <c r="M57" i="68"/>
  <c r="AE57" i="68" s="1"/>
  <c r="K57" i="68"/>
  <c r="G57" i="68"/>
  <c r="AF56" i="68"/>
  <c r="AE56" i="68"/>
  <c r="X56" i="68"/>
  <c r="W56" i="68"/>
  <c r="V56" i="68"/>
  <c r="U56" i="68"/>
  <c r="O56" i="68"/>
  <c r="N56" i="68"/>
  <c r="Q56" i="68" s="1"/>
  <c r="M56" i="68"/>
  <c r="K56" i="68"/>
  <c r="G56" i="68"/>
  <c r="AF55" i="68"/>
  <c r="V55" i="68"/>
  <c r="U55" i="68"/>
  <c r="O55" i="68"/>
  <c r="M55" i="68"/>
  <c r="AE55" i="68" s="1"/>
  <c r="K55" i="68"/>
  <c r="G55" i="68"/>
  <c r="AF54" i="68"/>
  <c r="AE54" i="68"/>
  <c r="V54" i="68"/>
  <c r="U54" i="68"/>
  <c r="O54" i="68"/>
  <c r="N54" i="68"/>
  <c r="Q54" i="68" s="1"/>
  <c r="M54" i="68"/>
  <c r="K54" i="68"/>
  <c r="G54" i="68"/>
  <c r="V53" i="68"/>
  <c r="M53" i="68" s="1"/>
  <c r="U53" i="68"/>
  <c r="O53" i="68"/>
  <c r="K53" i="68"/>
  <c r="G53" i="68"/>
  <c r="V52" i="68"/>
  <c r="M52" i="68" s="1"/>
  <c r="U52" i="68"/>
  <c r="O52" i="68"/>
  <c r="K52" i="68"/>
  <c r="G52" i="68"/>
  <c r="V51" i="68"/>
  <c r="M51" i="68" s="1"/>
  <c r="U51" i="68"/>
  <c r="O51" i="68"/>
  <c r="K51" i="68"/>
  <c r="G51" i="68"/>
  <c r="X50" i="68"/>
  <c r="W50" i="68"/>
  <c r="V50" i="68"/>
  <c r="M50" i="68" s="1"/>
  <c r="O50" i="68"/>
  <c r="K50" i="68"/>
  <c r="G50" i="68"/>
  <c r="AD49" i="68"/>
  <c r="AD2" i="68" s="1"/>
  <c r="N6" i="67" s="1"/>
  <c r="AC49" i="68"/>
  <c r="Z49" i="68"/>
  <c r="Y49" i="68"/>
  <c r="O49" i="68"/>
  <c r="K49" i="68"/>
  <c r="V48" i="68"/>
  <c r="M48" i="68" s="1"/>
  <c r="U48" i="68"/>
  <c r="O48" i="68"/>
  <c r="K48" i="68"/>
  <c r="G48" i="68"/>
  <c r="V47" i="68"/>
  <c r="M47" i="68" s="1"/>
  <c r="U47" i="68"/>
  <c r="O47" i="68"/>
  <c r="K47" i="68"/>
  <c r="G47" i="68"/>
  <c r="X46" i="68"/>
  <c r="W46" i="68"/>
  <c r="V46" i="68"/>
  <c r="M46" i="68" s="1"/>
  <c r="U46" i="68"/>
  <c r="O46" i="68"/>
  <c r="K46" i="68"/>
  <c r="G46" i="68"/>
  <c r="V45" i="68"/>
  <c r="M45" i="68" s="1"/>
  <c r="U45" i="68"/>
  <c r="O45" i="68"/>
  <c r="K45" i="68"/>
  <c r="G45" i="68"/>
  <c r="V44" i="68"/>
  <c r="M44" i="68" s="1"/>
  <c r="U44" i="68"/>
  <c r="O44" i="68"/>
  <c r="K44" i="68"/>
  <c r="G44" i="68"/>
  <c r="V43" i="68"/>
  <c r="M43" i="68" s="1"/>
  <c r="U43" i="68"/>
  <c r="O43" i="68"/>
  <c r="K43" i="68"/>
  <c r="G43" i="68"/>
  <c r="V42" i="68"/>
  <c r="M42" i="68" s="1"/>
  <c r="U42" i="68"/>
  <c r="O42" i="68"/>
  <c r="K42" i="68"/>
  <c r="G42" i="68"/>
  <c r="X41" i="68"/>
  <c r="W41" i="68"/>
  <c r="V41" i="68"/>
  <c r="M41" i="68" s="1"/>
  <c r="O41" i="68"/>
  <c r="K41" i="68"/>
  <c r="G41" i="68"/>
  <c r="AD40" i="68"/>
  <c r="AC40" i="68"/>
  <c r="Z40" i="68"/>
  <c r="Y40" i="68"/>
  <c r="K18" i="67" s="1"/>
  <c r="O40" i="68"/>
  <c r="K40" i="68"/>
  <c r="V39" i="68"/>
  <c r="M39" i="68" s="1"/>
  <c r="U39" i="68"/>
  <c r="O39" i="68"/>
  <c r="K39" i="68"/>
  <c r="G39" i="68"/>
  <c r="V38" i="68"/>
  <c r="M38" i="68" s="1"/>
  <c r="U38" i="68"/>
  <c r="O38" i="68"/>
  <c r="K38" i="68"/>
  <c r="G38" i="68"/>
  <c r="X37" i="68"/>
  <c r="W37" i="68"/>
  <c r="V37" i="68"/>
  <c r="M37" i="68" s="1"/>
  <c r="U37" i="68"/>
  <c r="O37" i="68"/>
  <c r="K37" i="68"/>
  <c r="G37" i="68"/>
  <c r="V36" i="68"/>
  <c r="M36" i="68" s="1"/>
  <c r="U36" i="68"/>
  <c r="O36" i="68"/>
  <c r="K36" i="68"/>
  <c r="G36" i="68"/>
  <c r="V35" i="68"/>
  <c r="U35" i="68"/>
  <c r="O35" i="68"/>
  <c r="N35" i="68"/>
  <c r="Q35" i="68" s="1"/>
  <c r="M35" i="68"/>
  <c r="AF35" i="68" s="1"/>
  <c r="K35" i="68"/>
  <c r="G35" i="68"/>
  <c r="V34" i="68"/>
  <c r="U34" i="68"/>
  <c r="O34" i="68"/>
  <c r="M34" i="68"/>
  <c r="AF34" i="68" s="1"/>
  <c r="K34" i="68"/>
  <c r="G34" i="68"/>
  <c r="X33" i="68"/>
  <c r="W33" i="68"/>
  <c r="V33" i="68"/>
  <c r="M33" i="68" s="1"/>
  <c r="O33" i="68"/>
  <c r="K33" i="68"/>
  <c r="G33" i="68"/>
  <c r="AD32" i="68"/>
  <c r="AC32" i="68"/>
  <c r="Z32" i="68"/>
  <c r="Y32" i="68"/>
  <c r="O32" i="68"/>
  <c r="K32" i="68"/>
  <c r="V31" i="68"/>
  <c r="U31" i="68"/>
  <c r="O31" i="68"/>
  <c r="N31" i="68"/>
  <c r="Q31" i="68" s="1"/>
  <c r="M31" i="68"/>
  <c r="AF31" i="68" s="1"/>
  <c r="K31" i="68"/>
  <c r="G31" i="68"/>
  <c r="V30" i="68"/>
  <c r="U30" i="68"/>
  <c r="O30" i="68"/>
  <c r="M30" i="68"/>
  <c r="AF30" i="68" s="1"/>
  <c r="K30" i="68"/>
  <c r="G30" i="68"/>
  <c r="X29" i="68"/>
  <c r="W29" i="68"/>
  <c r="V29" i="68"/>
  <c r="U29" i="68"/>
  <c r="O29" i="68"/>
  <c r="N29" i="68"/>
  <c r="Q29" i="68" s="1"/>
  <c r="M29" i="68"/>
  <c r="AF29" i="68" s="1"/>
  <c r="K29" i="68"/>
  <c r="G29" i="68"/>
  <c r="V28" i="68"/>
  <c r="U28" i="68"/>
  <c r="O28" i="68"/>
  <c r="M28" i="68"/>
  <c r="AF28" i="68" s="1"/>
  <c r="K28" i="68"/>
  <c r="G28" i="68"/>
  <c r="V27" i="68"/>
  <c r="U27" i="68"/>
  <c r="O27" i="68"/>
  <c r="M27" i="68"/>
  <c r="AF27" i="68" s="1"/>
  <c r="K27" i="68"/>
  <c r="G27" i="68"/>
  <c r="V26" i="68"/>
  <c r="U26" i="68"/>
  <c r="Q26" i="68"/>
  <c r="O26" i="68"/>
  <c r="N26" i="68"/>
  <c r="M26" i="68"/>
  <c r="AF26" i="68" s="1"/>
  <c r="K26" i="68"/>
  <c r="P26" i="68" s="1"/>
  <c r="G26" i="68"/>
  <c r="AF25" i="68"/>
  <c r="V25" i="68"/>
  <c r="U25" i="68"/>
  <c r="O25" i="68"/>
  <c r="M25" i="68"/>
  <c r="AE25" i="68" s="1"/>
  <c r="K25" i="68"/>
  <c r="G25" i="68"/>
  <c r="AF24" i="68"/>
  <c r="V24" i="68"/>
  <c r="O24" i="68"/>
  <c r="M24" i="68"/>
  <c r="AE24" i="68" s="1"/>
  <c r="K24" i="68"/>
  <c r="G24" i="68"/>
  <c r="AD23" i="68"/>
  <c r="AC23" i="68"/>
  <c r="Z23" i="68"/>
  <c r="Y23" i="68"/>
  <c r="O23" i="68"/>
  <c r="K23" i="68"/>
  <c r="V22" i="68"/>
  <c r="M22" i="68" s="1"/>
  <c r="U22" i="68"/>
  <c r="O22" i="68"/>
  <c r="K22" i="68"/>
  <c r="G22" i="68"/>
  <c r="V21" i="68"/>
  <c r="M21" i="68" s="1"/>
  <c r="U21" i="68"/>
  <c r="O21" i="68"/>
  <c r="K21" i="68"/>
  <c r="G21" i="68"/>
  <c r="X20" i="68"/>
  <c r="W20" i="68"/>
  <c r="V20" i="68"/>
  <c r="M20" i="68" s="1"/>
  <c r="U20" i="68"/>
  <c r="O20" i="68"/>
  <c r="K20" i="68"/>
  <c r="G20" i="68"/>
  <c r="V19" i="68"/>
  <c r="M19" i="68" s="1"/>
  <c r="U19" i="68"/>
  <c r="O19" i="68"/>
  <c r="K19" i="68"/>
  <c r="G19" i="68"/>
  <c r="V18" i="68"/>
  <c r="M18" i="68" s="1"/>
  <c r="U18" i="68"/>
  <c r="O18" i="68"/>
  <c r="K18" i="68"/>
  <c r="G18" i="68"/>
  <c r="V17" i="68"/>
  <c r="M17" i="68" s="1"/>
  <c r="U17" i="68"/>
  <c r="O17" i="68"/>
  <c r="K17" i="68"/>
  <c r="G17" i="68"/>
  <c r="V16" i="68"/>
  <c r="M16" i="68" s="1"/>
  <c r="U16" i="68"/>
  <c r="O16" i="68"/>
  <c r="K16" i="68"/>
  <c r="G16" i="68"/>
  <c r="V15" i="68"/>
  <c r="M15" i="68" s="1"/>
  <c r="O15" i="68"/>
  <c r="K15" i="68"/>
  <c r="G15" i="68"/>
  <c r="AD14" i="68"/>
  <c r="AC14" i="68"/>
  <c r="Z14" i="68"/>
  <c r="Y14" i="68"/>
  <c r="Y2" i="68" s="1"/>
  <c r="K6" i="67" s="1"/>
  <c r="O14" i="68"/>
  <c r="K14" i="68"/>
  <c r="V13" i="68"/>
  <c r="M13" i="68" s="1"/>
  <c r="U13" i="68"/>
  <c r="O13" i="68"/>
  <c r="K13" i="68"/>
  <c r="G13" i="68"/>
  <c r="V12" i="68"/>
  <c r="M12" i="68" s="1"/>
  <c r="O12" i="68"/>
  <c r="K12" i="68"/>
  <c r="G12" i="68"/>
  <c r="AD11" i="68"/>
  <c r="AC11" i="68"/>
  <c r="Z11" i="68"/>
  <c r="Y11" i="68"/>
  <c r="O11" i="68"/>
  <c r="K11" i="68"/>
  <c r="AF10" i="68"/>
  <c r="V10" i="68"/>
  <c r="U10" i="68"/>
  <c r="O10" i="68"/>
  <c r="M10" i="68"/>
  <c r="AE10" i="68" s="1"/>
  <c r="K10" i="68"/>
  <c r="G10" i="68"/>
  <c r="X9" i="68"/>
  <c r="W9" i="68"/>
  <c r="V9" i="68"/>
  <c r="M9" i="68" s="1"/>
  <c r="U9" i="68"/>
  <c r="O9" i="68"/>
  <c r="K9" i="68"/>
  <c r="G9" i="68"/>
  <c r="V8" i="68"/>
  <c r="U8" i="68"/>
  <c r="O8" i="68"/>
  <c r="M8" i="68"/>
  <c r="AF8" i="68" s="1"/>
  <c r="K8" i="68"/>
  <c r="G8" i="68"/>
  <c r="AE7" i="68"/>
  <c r="V7" i="68"/>
  <c r="U7" i="68"/>
  <c r="O7" i="68"/>
  <c r="N7" i="68"/>
  <c r="Q7" i="68" s="1"/>
  <c r="M7" i="68"/>
  <c r="AF7" i="68" s="1"/>
  <c r="K7" i="68"/>
  <c r="G7" i="68"/>
  <c r="V6" i="68"/>
  <c r="U6" i="68"/>
  <c r="O6" i="68"/>
  <c r="M6" i="68"/>
  <c r="AF6" i="68" s="1"/>
  <c r="K6" i="68"/>
  <c r="G6" i="68"/>
  <c r="V5" i="68"/>
  <c r="O5" i="68"/>
  <c r="M5" i="68"/>
  <c r="K5" i="68"/>
  <c r="G5" i="68"/>
  <c r="F1" i="68" s="1"/>
  <c r="Z2" i="68"/>
  <c r="H2" i="68"/>
  <c r="H1" i="68"/>
  <c r="D1" i="68"/>
  <c r="F3" i="67" s="1"/>
  <c r="M22" i="67"/>
  <c r="L22" i="67"/>
  <c r="K22" i="67"/>
  <c r="J22" i="67"/>
  <c r="I22" i="67"/>
  <c r="H22" i="67"/>
  <c r="G22" i="67"/>
  <c r="F22" i="67"/>
  <c r="E22" i="67"/>
  <c r="D22" i="67"/>
  <c r="M21" i="67"/>
  <c r="L21" i="67"/>
  <c r="K21" i="67"/>
  <c r="J21" i="67"/>
  <c r="I21" i="67"/>
  <c r="H21" i="67"/>
  <c r="G21" i="67"/>
  <c r="F21" i="67"/>
  <c r="E21" i="67"/>
  <c r="D21" i="67"/>
  <c r="M20" i="67"/>
  <c r="L20" i="67"/>
  <c r="K20" i="67"/>
  <c r="J20" i="67"/>
  <c r="H20" i="67"/>
  <c r="G20" i="67"/>
  <c r="F20" i="67"/>
  <c r="E20" i="67"/>
  <c r="D20" i="67"/>
  <c r="M19" i="67"/>
  <c r="L19" i="67"/>
  <c r="K19" i="67"/>
  <c r="J19" i="67"/>
  <c r="I19" i="67"/>
  <c r="H19" i="67"/>
  <c r="G19" i="67"/>
  <c r="F19" i="67"/>
  <c r="E19" i="67"/>
  <c r="D19" i="67"/>
  <c r="M18" i="67"/>
  <c r="L18" i="67"/>
  <c r="J18" i="67"/>
  <c r="I18" i="67"/>
  <c r="H18" i="67"/>
  <c r="G18" i="67"/>
  <c r="F18" i="67"/>
  <c r="D18" i="67"/>
  <c r="M17" i="67"/>
  <c r="L17" i="67"/>
  <c r="K17" i="67"/>
  <c r="J17" i="67"/>
  <c r="I17" i="67"/>
  <c r="H17" i="67"/>
  <c r="G17" i="67"/>
  <c r="F17" i="67"/>
  <c r="E17" i="67"/>
  <c r="D17" i="67"/>
  <c r="M16" i="67"/>
  <c r="L16" i="67"/>
  <c r="K16" i="67"/>
  <c r="J16" i="67"/>
  <c r="I16" i="67"/>
  <c r="H16" i="67"/>
  <c r="G16" i="67"/>
  <c r="F16" i="67"/>
  <c r="E16" i="67"/>
  <c r="D16" i="67"/>
  <c r="M13" i="67"/>
  <c r="L13" i="67"/>
  <c r="K13" i="67"/>
  <c r="I6" i="67" s="1"/>
  <c r="I13" i="67"/>
  <c r="H13" i="67"/>
  <c r="G13" i="67"/>
  <c r="F13" i="67"/>
  <c r="E13" i="67"/>
  <c r="D13" i="67"/>
  <c r="L6" i="67"/>
  <c r="C3" i="67"/>
  <c r="Q41" i="70" l="1"/>
  <c r="P41" i="70"/>
  <c r="P30" i="70"/>
  <c r="Q30" i="70"/>
  <c r="P34" i="70"/>
  <c r="Q34" i="70"/>
  <c r="Q65" i="70"/>
  <c r="P65" i="70"/>
  <c r="P42" i="70"/>
  <c r="Q42" i="70"/>
  <c r="N14" i="70"/>
  <c r="AF14" i="70"/>
  <c r="AG12" i="70" s="1"/>
  <c r="AE14" i="70"/>
  <c r="AE47" i="70"/>
  <c r="N47" i="70"/>
  <c r="AF47" i="70"/>
  <c r="AG39" i="70" s="1"/>
  <c r="M14" i="69"/>
  <c r="M15" i="69" s="1"/>
  <c r="Q80" i="70"/>
  <c r="R74" i="70" s="1"/>
  <c r="P80" i="70"/>
  <c r="Q27" i="70"/>
  <c r="P27" i="70"/>
  <c r="Q12" i="70"/>
  <c r="P12" i="70"/>
  <c r="Q45" i="70"/>
  <c r="P45" i="70"/>
  <c r="Q18" i="70"/>
  <c r="P18" i="70"/>
  <c r="Q59" i="70"/>
  <c r="P59" i="70"/>
  <c r="AE73" i="70"/>
  <c r="N73" i="70"/>
  <c r="AF73" i="70"/>
  <c r="AG68" i="70" s="1"/>
  <c r="Q46" i="70"/>
  <c r="P46" i="70"/>
  <c r="Q55" i="70"/>
  <c r="P55" i="70"/>
  <c r="Q25" i="70"/>
  <c r="P25" i="70"/>
  <c r="P66" i="70"/>
  <c r="Q66" i="70"/>
  <c r="P40" i="70"/>
  <c r="Q40" i="70"/>
  <c r="Q44" i="70"/>
  <c r="P44" i="70"/>
  <c r="Q37" i="70"/>
  <c r="P37" i="70"/>
  <c r="P39" i="70"/>
  <c r="Q39" i="70"/>
  <c r="N67" i="70"/>
  <c r="AF67" i="70"/>
  <c r="AG57" i="70" s="1"/>
  <c r="AE67" i="70"/>
  <c r="Q53" i="70"/>
  <c r="P53" i="70"/>
  <c r="F14" i="69"/>
  <c r="F15" i="69" s="1"/>
  <c r="Q22" i="70"/>
  <c r="R15" i="70" s="1"/>
  <c r="P22" i="70"/>
  <c r="Q68" i="70"/>
  <c r="P68" i="70"/>
  <c r="P62" i="70"/>
  <c r="Q62" i="70"/>
  <c r="Q7" i="70"/>
  <c r="P7" i="70"/>
  <c r="Q76" i="70"/>
  <c r="P76" i="70"/>
  <c r="Q21" i="70"/>
  <c r="P21" i="70"/>
  <c r="Q72" i="70"/>
  <c r="P72" i="70"/>
  <c r="Q19" i="70"/>
  <c r="P19" i="70"/>
  <c r="P64" i="70"/>
  <c r="Q64" i="70"/>
  <c r="Q13" i="70"/>
  <c r="P13" i="70"/>
  <c r="P10" i="70"/>
  <c r="Q10" i="70"/>
  <c r="P36" i="70"/>
  <c r="Q36" i="70"/>
  <c r="Q63" i="70"/>
  <c r="P63" i="70"/>
  <c r="Q35" i="70"/>
  <c r="P35" i="70"/>
  <c r="N11" i="70"/>
  <c r="AF11" i="70"/>
  <c r="AG5" i="70" s="1"/>
  <c r="AE11" i="70"/>
  <c r="AF56" i="70"/>
  <c r="AG48" i="70" s="1"/>
  <c r="AE56" i="70"/>
  <c r="N56" i="70"/>
  <c r="P5" i="70"/>
  <c r="Q5" i="70"/>
  <c r="N38" i="70"/>
  <c r="AF38" i="70"/>
  <c r="AG32" i="70" s="1"/>
  <c r="AE38" i="70"/>
  <c r="Q70" i="70"/>
  <c r="P70" i="70"/>
  <c r="Q50" i="70"/>
  <c r="P50" i="70"/>
  <c r="Q49" i="70"/>
  <c r="P49" i="70"/>
  <c r="Q32" i="70"/>
  <c r="P32" i="70"/>
  <c r="Q78" i="70"/>
  <c r="P78" i="70"/>
  <c r="Q43" i="70"/>
  <c r="P43" i="70"/>
  <c r="Q9" i="70"/>
  <c r="P9" i="70"/>
  <c r="P6" i="70"/>
  <c r="Q6" i="70"/>
  <c r="P8" i="70"/>
  <c r="Q8" i="70"/>
  <c r="Q69" i="70"/>
  <c r="P69" i="70"/>
  <c r="N31" i="70"/>
  <c r="AF31" i="70"/>
  <c r="AG23" i="70" s="1"/>
  <c r="AE31" i="70"/>
  <c r="Q52" i="70"/>
  <c r="P52" i="70"/>
  <c r="Q29" i="70"/>
  <c r="P29" i="70"/>
  <c r="Q61" i="70"/>
  <c r="P61" i="70"/>
  <c r="Q33" i="70"/>
  <c r="P33" i="70"/>
  <c r="P28" i="70"/>
  <c r="Q28" i="70"/>
  <c r="AE21" i="68"/>
  <c r="N21" i="68"/>
  <c r="AF21" i="68"/>
  <c r="F2" i="68"/>
  <c r="I3" i="67"/>
  <c r="N12" i="68"/>
  <c r="M14" i="68"/>
  <c r="AF12" i="68"/>
  <c r="AE12" i="68"/>
  <c r="N45" i="68"/>
  <c r="AF45" i="68"/>
  <c r="AE45" i="68"/>
  <c r="N47" i="68"/>
  <c r="AF47" i="68"/>
  <c r="AE47" i="68"/>
  <c r="AE73" i="68"/>
  <c r="N73" i="68"/>
  <c r="AF73" i="68"/>
  <c r="Q77" i="68"/>
  <c r="P77" i="68"/>
  <c r="N17" i="68"/>
  <c r="AF17" i="68"/>
  <c r="AE17" i="68"/>
  <c r="AF64" i="68"/>
  <c r="AE64" i="68"/>
  <c r="N64" i="68"/>
  <c r="M11" i="68"/>
  <c r="N41" i="68"/>
  <c r="AF41" i="68"/>
  <c r="AE41" i="68"/>
  <c r="M49" i="68"/>
  <c r="N43" i="68"/>
  <c r="AF43" i="68"/>
  <c r="AE43" i="68"/>
  <c r="N71" i="68"/>
  <c r="AF71" i="68"/>
  <c r="M76" i="68"/>
  <c r="AE71" i="68"/>
  <c r="N15" i="68"/>
  <c r="AF15" i="68"/>
  <c r="AE15" i="68"/>
  <c r="M23" i="68"/>
  <c r="AF33" i="68"/>
  <c r="M40" i="68"/>
  <c r="AE33" i="68"/>
  <c r="N33" i="68"/>
  <c r="N50" i="68"/>
  <c r="AF50" i="68"/>
  <c r="AE50" i="68"/>
  <c r="M58" i="68"/>
  <c r="N52" i="68"/>
  <c r="AF52" i="68"/>
  <c r="AE52" i="68"/>
  <c r="Q74" i="68"/>
  <c r="P74" i="68"/>
  <c r="N46" i="68"/>
  <c r="AF46" i="68"/>
  <c r="AE46" i="68"/>
  <c r="N48" i="68"/>
  <c r="AF48" i="68"/>
  <c r="AE48" i="68"/>
  <c r="AE19" i="68"/>
  <c r="N19" i="68"/>
  <c r="AF19" i="68"/>
  <c r="AF36" i="68"/>
  <c r="AE36" i="68"/>
  <c r="N36" i="68"/>
  <c r="N37" i="68"/>
  <c r="AF37" i="68"/>
  <c r="AE37" i="68"/>
  <c r="N67" i="68"/>
  <c r="AF67" i="68"/>
  <c r="AE67" i="68"/>
  <c r="N13" i="68"/>
  <c r="AF13" i="68"/>
  <c r="AE13" i="68"/>
  <c r="N18" i="68"/>
  <c r="AF18" i="68"/>
  <c r="AE18" i="68"/>
  <c r="N44" i="68"/>
  <c r="AF44" i="68"/>
  <c r="AE44" i="68"/>
  <c r="N16" i="68"/>
  <c r="AF16" i="68"/>
  <c r="AE16" i="68"/>
  <c r="AE53" i="68"/>
  <c r="N53" i="68"/>
  <c r="AF53" i="68"/>
  <c r="N72" i="68"/>
  <c r="AF72" i="68"/>
  <c r="AE72" i="68"/>
  <c r="AF42" i="68"/>
  <c r="AE42" i="68"/>
  <c r="N42" i="68"/>
  <c r="Q78" i="68"/>
  <c r="P78" i="68"/>
  <c r="N20" i="68"/>
  <c r="AF20" i="68"/>
  <c r="AE20" i="68"/>
  <c r="AF22" i="68"/>
  <c r="N22" i="68"/>
  <c r="AE22" i="68"/>
  <c r="N39" i="68"/>
  <c r="AF39" i="68"/>
  <c r="AE39" i="68"/>
  <c r="N69" i="68"/>
  <c r="AF69" i="68"/>
  <c r="AE69" i="68"/>
  <c r="N9" i="68"/>
  <c r="AF9" i="68"/>
  <c r="AE9" i="68"/>
  <c r="N65" i="68"/>
  <c r="AF65" i="68"/>
  <c r="AE65" i="68"/>
  <c r="F6" i="67"/>
  <c r="N51" i="68"/>
  <c r="AF51" i="68"/>
  <c r="AE51" i="68"/>
  <c r="AF38" i="68"/>
  <c r="AE38" i="68"/>
  <c r="N38" i="68"/>
  <c r="N66" i="68"/>
  <c r="AF66" i="68"/>
  <c r="AE66" i="68"/>
  <c r="N68" i="68"/>
  <c r="AF68" i="68"/>
  <c r="AE68" i="68"/>
  <c r="E6" i="67"/>
  <c r="G6" i="67"/>
  <c r="E18" i="67"/>
  <c r="I20" i="67"/>
  <c r="N8" i="68"/>
  <c r="N10" i="68"/>
  <c r="N5" i="68"/>
  <c r="N6" i="68"/>
  <c r="N28" i="68"/>
  <c r="N30" i="68"/>
  <c r="N34" i="68"/>
  <c r="N62" i="68"/>
  <c r="N83" i="68"/>
  <c r="P7" i="68"/>
  <c r="N27" i="68"/>
  <c r="P29" i="68"/>
  <c r="P31" i="68"/>
  <c r="P35" i="68"/>
  <c r="N61" i="68"/>
  <c r="P63" i="68"/>
  <c r="N81" i="68"/>
  <c r="N80" i="68"/>
  <c r="N82" i="68"/>
  <c r="N24" i="68"/>
  <c r="N25" i="68"/>
  <c r="N55" i="68"/>
  <c r="N57" i="68"/>
  <c r="N75" i="68"/>
  <c r="N79" i="68"/>
  <c r="AE8" i="68"/>
  <c r="P56" i="68"/>
  <c r="P59" i="68"/>
  <c r="P60" i="68"/>
  <c r="M70" i="68"/>
  <c r="AE31" i="68"/>
  <c r="AE35" i="68"/>
  <c r="AE63" i="68"/>
  <c r="AE5" i="68"/>
  <c r="AE6" i="68"/>
  <c r="AE28" i="68"/>
  <c r="AE30" i="68"/>
  <c r="AE34" i="68"/>
  <c r="P54" i="68"/>
  <c r="AE62" i="68"/>
  <c r="AF5" i="68"/>
  <c r="AE27" i="68"/>
  <c r="AE29" i="68"/>
  <c r="AE61" i="68"/>
  <c r="AE26" i="68"/>
  <c r="M32" i="68"/>
  <c r="AE59" i="68"/>
  <c r="AE60" i="68"/>
  <c r="AE80" i="68"/>
  <c r="AE82" i="68"/>
  <c r="AE83" i="68"/>
  <c r="AD71" i="66"/>
  <c r="Z71" i="66"/>
  <c r="Y71" i="66"/>
  <c r="O71" i="66"/>
  <c r="K71" i="66"/>
  <c r="V70" i="66"/>
  <c r="U70" i="66"/>
  <c r="O70" i="66"/>
  <c r="M70" i="66"/>
  <c r="N70" i="66" s="1"/>
  <c r="K70" i="66"/>
  <c r="G70" i="66"/>
  <c r="V69" i="66"/>
  <c r="U69" i="66"/>
  <c r="O69" i="66"/>
  <c r="M69" i="66"/>
  <c r="AF69" i="66" s="1"/>
  <c r="K69" i="66"/>
  <c r="G69" i="66"/>
  <c r="V68" i="66"/>
  <c r="M68" i="66" s="1"/>
  <c r="U68" i="66"/>
  <c r="O68" i="66"/>
  <c r="K68" i="66"/>
  <c r="G68" i="66"/>
  <c r="V67" i="66"/>
  <c r="M67" i="66" s="1"/>
  <c r="U67" i="66"/>
  <c r="O67" i="66"/>
  <c r="K67" i="66"/>
  <c r="G67" i="66"/>
  <c r="AF66" i="66"/>
  <c r="AE66" i="66"/>
  <c r="X66" i="66"/>
  <c r="W66" i="66"/>
  <c r="V66" i="66"/>
  <c r="O66" i="66"/>
  <c r="M66" i="66"/>
  <c r="N66" i="66" s="1"/>
  <c r="K66" i="66"/>
  <c r="G66" i="66"/>
  <c r="AD65" i="66"/>
  <c r="Z65" i="66"/>
  <c r="Y65" i="66"/>
  <c r="O65" i="66"/>
  <c r="K65" i="66"/>
  <c r="AF64" i="66"/>
  <c r="AE64" i="66"/>
  <c r="V64" i="66"/>
  <c r="U64" i="66"/>
  <c r="O64" i="66"/>
  <c r="N64" i="66"/>
  <c r="Q64" i="66" s="1"/>
  <c r="M64" i="66"/>
  <c r="K64" i="66"/>
  <c r="G64" i="66"/>
  <c r="V63" i="66"/>
  <c r="U63" i="66"/>
  <c r="O63" i="66"/>
  <c r="M63" i="66"/>
  <c r="K63" i="66"/>
  <c r="G63" i="66"/>
  <c r="V62" i="66"/>
  <c r="U62" i="66"/>
  <c r="O62" i="66"/>
  <c r="M62" i="66"/>
  <c r="AE62" i="66" s="1"/>
  <c r="K62" i="66"/>
  <c r="G62" i="66"/>
  <c r="V61" i="66"/>
  <c r="M61" i="66" s="1"/>
  <c r="U61" i="66"/>
  <c r="O61" i="66"/>
  <c r="K61" i="66"/>
  <c r="G61" i="66"/>
  <c r="V60" i="66"/>
  <c r="O60" i="66"/>
  <c r="M60" i="66"/>
  <c r="AF60" i="66" s="1"/>
  <c r="K60" i="66"/>
  <c r="G60" i="66"/>
  <c r="AD59" i="66"/>
  <c r="Z59" i="66"/>
  <c r="Y59" i="66"/>
  <c r="O59" i="66"/>
  <c r="K59" i="66"/>
  <c r="V58" i="66"/>
  <c r="U58" i="66"/>
  <c r="O58" i="66"/>
  <c r="M58" i="66"/>
  <c r="AF58" i="66" s="1"/>
  <c r="K58" i="66"/>
  <c r="G58" i="66"/>
  <c r="AF57" i="66"/>
  <c r="AE57" i="66"/>
  <c r="V57" i="66"/>
  <c r="U57" i="66"/>
  <c r="O57" i="66"/>
  <c r="M57" i="66"/>
  <c r="N57" i="66" s="1"/>
  <c r="K57" i="66"/>
  <c r="G57" i="66"/>
  <c r="V56" i="66"/>
  <c r="U56" i="66"/>
  <c r="O56" i="66"/>
  <c r="M56" i="66"/>
  <c r="K56" i="66"/>
  <c r="G56" i="66"/>
  <c r="AF55" i="66"/>
  <c r="AE55" i="66"/>
  <c r="V55" i="66"/>
  <c r="U55" i="66"/>
  <c r="O55" i="66"/>
  <c r="N55" i="66"/>
  <c r="Q55" i="66" s="1"/>
  <c r="M55" i="66"/>
  <c r="K55" i="66"/>
  <c r="G55" i="66"/>
  <c r="V54" i="66"/>
  <c r="U54" i="66"/>
  <c r="O54" i="66"/>
  <c r="M54" i="66"/>
  <c r="K54" i="66"/>
  <c r="G54" i="66"/>
  <c r="V53" i="66"/>
  <c r="U53" i="66"/>
  <c r="O53" i="66"/>
  <c r="M53" i="66"/>
  <c r="AF53" i="66" s="1"/>
  <c r="K53" i="66"/>
  <c r="G53" i="66"/>
  <c r="V52" i="66"/>
  <c r="M52" i="66" s="1"/>
  <c r="U52" i="66"/>
  <c r="O52" i="66"/>
  <c r="K52" i="66"/>
  <c r="G52" i="66"/>
  <c r="V51" i="66"/>
  <c r="M51" i="66" s="1"/>
  <c r="U51" i="66"/>
  <c r="O51" i="66"/>
  <c r="K51" i="66"/>
  <c r="G51" i="66"/>
  <c r="AE50" i="66"/>
  <c r="V50" i="66"/>
  <c r="M50" i="66" s="1"/>
  <c r="O50" i="66"/>
  <c r="K50" i="66"/>
  <c r="G50" i="66"/>
  <c r="AD49" i="66"/>
  <c r="Z49" i="66"/>
  <c r="Y49" i="66"/>
  <c r="O49" i="66"/>
  <c r="K49" i="66"/>
  <c r="AF48" i="66"/>
  <c r="AE48" i="66"/>
  <c r="V48" i="66"/>
  <c r="U48" i="66"/>
  <c r="O48" i="66"/>
  <c r="M48" i="66"/>
  <c r="N48" i="66" s="1"/>
  <c r="K48" i="66"/>
  <c r="G48" i="66"/>
  <c r="V47" i="66"/>
  <c r="U47" i="66"/>
  <c r="O47" i="66"/>
  <c r="M47" i="66"/>
  <c r="K47" i="66"/>
  <c r="G47" i="66"/>
  <c r="AF46" i="66"/>
  <c r="AE46" i="66"/>
  <c r="V46" i="66"/>
  <c r="U46" i="66"/>
  <c r="O46" i="66"/>
  <c r="N46" i="66"/>
  <c r="Q46" i="66" s="1"/>
  <c r="M46" i="66"/>
  <c r="K46" i="66"/>
  <c r="G46" i="66"/>
  <c r="V45" i="66"/>
  <c r="U45" i="66"/>
  <c r="O45" i="66"/>
  <c r="M45" i="66"/>
  <c r="K45" i="66"/>
  <c r="G45" i="66"/>
  <c r="V44" i="66"/>
  <c r="U44" i="66"/>
  <c r="O44" i="66"/>
  <c r="M44" i="66"/>
  <c r="AF44" i="66" s="1"/>
  <c r="K44" i="66"/>
  <c r="G44" i="66"/>
  <c r="V43" i="66"/>
  <c r="M43" i="66" s="1"/>
  <c r="U43" i="66"/>
  <c r="O43" i="66"/>
  <c r="K43" i="66"/>
  <c r="G43" i="66"/>
  <c r="X42" i="66"/>
  <c r="W42" i="66"/>
  <c r="V42" i="66"/>
  <c r="O42" i="66"/>
  <c r="M42" i="66"/>
  <c r="AF42" i="66" s="1"/>
  <c r="K42" i="66"/>
  <c r="G42" i="66"/>
  <c r="AD41" i="66"/>
  <c r="Z41" i="66"/>
  <c r="Y41" i="66"/>
  <c r="O41" i="66"/>
  <c r="K41" i="66"/>
  <c r="V40" i="66"/>
  <c r="U40" i="66"/>
  <c r="O40" i="66"/>
  <c r="M40" i="66"/>
  <c r="K40" i="66"/>
  <c r="G40" i="66"/>
  <c r="AF39" i="66"/>
  <c r="AE39" i="66"/>
  <c r="V39" i="66"/>
  <c r="U39" i="66"/>
  <c r="O39" i="66"/>
  <c r="N39" i="66"/>
  <c r="Q39" i="66" s="1"/>
  <c r="M39" i="66"/>
  <c r="K39" i="66"/>
  <c r="G39" i="66"/>
  <c r="V38" i="66"/>
  <c r="U38" i="66"/>
  <c r="O38" i="66"/>
  <c r="M38" i="66"/>
  <c r="K38" i="66"/>
  <c r="G38" i="66"/>
  <c r="V37" i="66"/>
  <c r="U37" i="66"/>
  <c r="O37" i="66"/>
  <c r="M37" i="66"/>
  <c r="AF37" i="66" s="1"/>
  <c r="K37" i="66"/>
  <c r="G37" i="66"/>
  <c r="V36" i="66"/>
  <c r="M36" i="66" s="1"/>
  <c r="U36" i="66"/>
  <c r="O36" i="66"/>
  <c r="K36" i="66"/>
  <c r="G36" i="66"/>
  <c r="X35" i="66"/>
  <c r="W35" i="66"/>
  <c r="V35" i="66"/>
  <c r="O35" i="66"/>
  <c r="M35" i="66"/>
  <c r="K35" i="66"/>
  <c r="G35" i="66"/>
  <c r="AD34" i="66"/>
  <c r="Z34" i="66"/>
  <c r="Y34" i="66"/>
  <c r="O34" i="66"/>
  <c r="K34" i="66"/>
  <c r="V33" i="66"/>
  <c r="U33" i="66"/>
  <c r="O33" i="66"/>
  <c r="M33" i="66"/>
  <c r="K33" i="66"/>
  <c r="G33" i="66"/>
  <c r="AF32" i="66"/>
  <c r="AE32" i="66"/>
  <c r="V32" i="66"/>
  <c r="U32" i="66"/>
  <c r="O32" i="66"/>
  <c r="N32" i="66"/>
  <c r="Q32" i="66" s="1"/>
  <c r="M32" i="66"/>
  <c r="K32" i="66"/>
  <c r="G32" i="66"/>
  <c r="V31" i="66"/>
  <c r="U31" i="66"/>
  <c r="O31" i="66"/>
  <c r="M31" i="66"/>
  <c r="K31" i="66"/>
  <c r="G31" i="66"/>
  <c r="V30" i="66"/>
  <c r="U30" i="66"/>
  <c r="O30" i="66"/>
  <c r="M30" i="66"/>
  <c r="AF30" i="66" s="1"/>
  <c r="K30" i="66"/>
  <c r="G30" i="66"/>
  <c r="X29" i="66"/>
  <c r="W29" i="66"/>
  <c r="V29" i="66"/>
  <c r="M29" i="66" s="1"/>
  <c r="O29" i="66"/>
  <c r="K29" i="66"/>
  <c r="G29" i="66"/>
  <c r="AD28" i="66"/>
  <c r="Z28" i="66"/>
  <c r="Y28" i="66"/>
  <c r="O28" i="66"/>
  <c r="K28" i="66"/>
  <c r="G13" i="65" s="1"/>
  <c r="AF27" i="66"/>
  <c r="AE27" i="66"/>
  <c r="V27" i="66"/>
  <c r="U27" i="66"/>
  <c r="O27" i="66"/>
  <c r="M27" i="66"/>
  <c r="N27" i="66" s="1"/>
  <c r="K27" i="66"/>
  <c r="G27" i="66"/>
  <c r="V26" i="66"/>
  <c r="U26" i="66"/>
  <c r="O26" i="66"/>
  <c r="M26" i="66"/>
  <c r="N26" i="66" s="1"/>
  <c r="K26" i="66"/>
  <c r="G26" i="66"/>
  <c r="AF25" i="66"/>
  <c r="AE25" i="66"/>
  <c r="V25" i="66"/>
  <c r="U25" i="66"/>
  <c r="O25" i="66"/>
  <c r="N25" i="66"/>
  <c r="Q25" i="66" s="1"/>
  <c r="M25" i="66"/>
  <c r="K25" i="66"/>
  <c r="G25" i="66"/>
  <c r="V24" i="66"/>
  <c r="U24" i="66"/>
  <c r="O24" i="66"/>
  <c r="N24" i="66"/>
  <c r="M24" i="66"/>
  <c r="K24" i="66"/>
  <c r="G24" i="66"/>
  <c r="V23" i="66"/>
  <c r="U23" i="66"/>
  <c r="O23" i="66"/>
  <c r="M23" i="66"/>
  <c r="AF23" i="66" s="1"/>
  <c r="K23" i="66"/>
  <c r="G23" i="66"/>
  <c r="V22" i="66"/>
  <c r="M22" i="66" s="1"/>
  <c r="U22" i="66"/>
  <c r="O22" i="66"/>
  <c r="K22" i="66"/>
  <c r="G22" i="66"/>
  <c r="V21" i="66"/>
  <c r="O21" i="66"/>
  <c r="M21" i="66"/>
  <c r="AF21" i="66" s="1"/>
  <c r="K21" i="66"/>
  <c r="G21" i="66"/>
  <c r="AD20" i="66"/>
  <c r="F21" i="65" s="1"/>
  <c r="Z20" i="66"/>
  <c r="F19" i="65" s="1"/>
  <c r="Y20" i="66"/>
  <c r="O20" i="66"/>
  <c r="K20" i="66"/>
  <c r="F13" i="65" s="1"/>
  <c r="V19" i="66"/>
  <c r="U19" i="66"/>
  <c r="O19" i="66"/>
  <c r="M19" i="66"/>
  <c r="AF19" i="66" s="1"/>
  <c r="K19" i="66"/>
  <c r="G19" i="66"/>
  <c r="AF18" i="66"/>
  <c r="AE18" i="66"/>
  <c r="V18" i="66"/>
  <c r="U18" i="66"/>
  <c r="O18" i="66"/>
  <c r="M18" i="66"/>
  <c r="N18" i="66" s="1"/>
  <c r="K18" i="66"/>
  <c r="G18" i="66"/>
  <c r="V17" i="66"/>
  <c r="U17" i="66"/>
  <c r="O17" i="66"/>
  <c r="M17" i="66"/>
  <c r="K17" i="66"/>
  <c r="G17" i="66"/>
  <c r="AF16" i="66"/>
  <c r="AE16" i="66"/>
  <c r="V16" i="66"/>
  <c r="U16" i="66"/>
  <c r="O16" i="66"/>
  <c r="N16" i="66"/>
  <c r="Q16" i="66" s="1"/>
  <c r="M16" i="66"/>
  <c r="K16" i="66"/>
  <c r="G16" i="66"/>
  <c r="V15" i="66"/>
  <c r="U15" i="66"/>
  <c r="O15" i="66"/>
  <c r="N15" i="66"/>
  <c r="M15" i="66"/>
  <c r="K15" i="66"/>
  <c r="G15" i="66"/>
  <c r="V14" i="66"/>
  <c r="M14" i="66" s="1"/>
  <c r="O14" i="66"/>
  <c r="K14" i="66"/>
  <c r="G14" i="66"/>
  <c r="AD13" i="66"/>
  <c r="E21" i="65" s="1"/>
  <c r="Z13" i="66"/>
  <c r="E19" i="65" s="1"/>
  <c r="Y13" i="66"/>
  <c r="E18" i="65" s="1"/>
  <c r="O13" i="66"/>
  <c r="K13" i="66"/>
  <c r="E13" i="65" s="1"/>
  <c r="V12" i="66"/>
  <c r="U12" i="66"/>
  <c r="O12" i="66"/>
  <c r="M12" i="66"/>
  <c r="AF12" i="66" s="1"/>
  <c r="K12" i="66"/>
  <c r="G12" i="66"/>
  <c r="V11" i="66"/>
  <c r="M11" i="66" s="1"/>
  <c r="O11" i="66"/>
  <c r="K11" i="66"/>
  <c r="G11" i="66"/>
  <c r="AD10" i="66"/>
  <c r="Z10" i="66"/>
  <c r="Y10" i="66"/>
  <c r="O10" i="66"/>
  <c r="K10" i="66"/>
  <c r="D13" i="65" s="1"/>
  <c r="G6" i="65" s="1"/>
  <c r="AF9" i="66"/>
  <c r="V9" i="66"/>
  <c r="U9" i="66"/>
  <c r="O9" i="66"/>
  <c r="M9" i="66"/>
  <c r="AE9" i="66" s="1"/>
  <c r="K9" i="66"/>
  <c r="G9" i="66"/>
  <c r="V8" i="66"/>
  <c r="U8" i="66"/>
  <c r="O8" i="66"/>
  <c r="M8" i="66"/>
  <c r="N8" i="66" s="1"/>
  <c r="K8" i="66"/>
  <c r="G8" i="66"/>
  <c r="V7" i="66"/>
  <c r="U7" i="66"/>
  <c r="O7" i="66"/>
  <c r="N7" i="66"/>
  <c r="Q7" i="66" s="1"/>
  <c r="M7" i="66"/>
  <c r="AF7" i="66" s="1"/>
  <c r="K7" i="66"/>
  <c r="G7" i="66"/>
  <c r="V6" i="66"/>
  <c r="M6" i="66" s="1"/>
  <c r="U6" i="66"/>
  <c r="O6" i="66"/>
  <c r="K6" i="66"/>
  <c r="G6" i="66"/>
  <c r="V5" i="66"/>
  <c r="M5" i="66" s="1"/>
  <c r="O5" i="66"/>
  <c r="K5" i="66"/>
  <c r="G5" i="66"/>
  <c r="Y2" i="66"/>
  <c r="K6" i="65" s="1"/>
  <c r="H2" i="66"/>
  <c r="H1" i="66"/>
  <c r="D1" i="66"/>
  <c r="F3" i="65" s="1"/>
  <c r="M22" i="65"/>
  <c r="L22" i="65"/>
  <c r="K22" i="65"/>
  <c r="J22" i="65"/>
  <c r="I22" i="65"/>
  <c r="H22" i="65"/>
  <c r="G22" i="65"/>
  <c r="F22" i="65"/>
  <c r="E22" i="65"/>
  <c r="D22" i="65"/>
  <c r="M21" i="65"/>
  <c r="L21" i="65"/>
  <c r="K21" i="65"/>
  <c r="J21" i="65"/>
  <c r="I21" i="65"/>
  <c r="H21" i="65"/>
  <c r="G21" i="65"/>
  <c r="D21" i="65"/>
  <c r="M20" i="65"/>
  <c r="L20" i="65"/>
  <c r="K20" i="65"/>
  <c r="J20" i="65"/>
  <c r="I20" i="65"/>
  <c r="H20" i="65"/>
  <c r="G20" i="65"/>
  <c r="F20" i="65"/>
  <c r="E20" i="65"/>
  <c r="D20" i="65"/>
  <c r="M19" i="65"/>
  <c r="L19" i="65"/>
  <c r="K19" i="65"/>
  <c r="J19" i="65"/>
  <c r="I19" i="65"/>
  <c r="H19" i="65"/>
  <c r="G19" i="65"/>
  <c r="D19" i="65"/>
  <c r="M18" i="65"/>
  <c r="L18" i="65"/>
  <c r="K18" i="65"/>
  <c r="J18" i="65"/>
  <c r="I18" i="65"/>
  <c r="H18" i="65"/>
  <c r="G18" i="65"/>
  <c r="F18" i="65"/>
  <c r="D18" i="65"/>
  <c r="M17" i="65"/>
  <c r="L17" i="65"/>
  <c r="K17" i="65"/>
  <c r="J17" i="65"/>
  <c r="I17" i="65"/>
  <c r="H17" i="65"/>
  <c r="G17" i="65"/>
  <c r="F17" i="65"/>
  <c r="E17" i="65"/>
  <c r="D17" i="65"/>
  <c r="M16" i="65"/>
  <c r="L16" i="65"/>
  <c r="K16" i="65"/>
  <c r="J16" i="65"/>
  <c r="I16" i="65"/>
  <c r="H16" i="65"/>
  <c r="G16" i="65"/>
  <c r="F16" i="65"/>
  <c r="E16" i="65"/>
  <c r="D16" i="65"/>
  <c r="M13" i="65"/>
  <c r="L13" i="65"/>
  <c r="K13" i="65"/>
  <c r="J13" i="65"/>
  <c r="I13" i="65"/>
  <c r="H13" i="65"/>
  <c r="M6" i="65"/>
  <c r="I6" i="65"/>
  <c r="C3" i="65"/>
  <c r="P31" i="70" l="1"/>
  <c r="G14" i="69"/>
  <c r="G15" i="69" s="1"/>
  <c r="Q31" i="70"/>
  <c r="R23" i="70" s="1"/>
  <c r="Q11" i="70"/>
  <c r="R5" i="70" s="1"/>
  <c r="P11" i="70"/>
  <c r="D14" i="69"/>
  <c r="D2" i="70"/>
  <c r="Q14" i="70"/>
  <c r="R12" i="70" s="1"/>
  <c r="E14" i="69"/>
  <c r="E15" i="69" s="1"/>
  <c r="P14" i="70"/>
  <c r="Q38" i="70"/>
  <c r="R32" i="70" s="1"/>
  <c r="P38" i="70"/>
  <c r="K14" i="69"/>
  <c r="J14" i="69"/>
  <c r="J15" i="69" s="1"/>
  <c r="Q73" i="70"/>
  <c r="R68" i="70" s="1"/>
  <c r="P73" i="70"/>
  <c r="H14" i="69"/>
  <c r="H15" i="69" s="1"/>
  <c r="Q56" i="70"/>
  <c r="R48" i="70" s="1"/>
  <c r="P56" i="70"/>
  <c r="L14" i="69"/>
  <c r="L15" i="69" s="1"/>
  <c r="Q47" i="70"/>
  <c r="R39" i="70" s="1"/>
  <c r="P47" i="70"/>
  <c r="Q67" i="70"/>
  <c r="R57" i="70" s="1"/>
  <c r="P67" i="70"/>
  <c r="I14" i="69"/>
  <c r="I15" i="69" s="1"/>
  <c r="Q16" i="68"/>
  <c r="P16" i="68"/>
  <c r="P67" i="68"/>
  <c r="Q67" i="68"/>
  <c r="Q48" i="68"/>
  <c r="P48" i="68"/>
  <c r="Q50" i="68"/>
  <c r="P50" i="68"/>
  <c r="Q71" i="68"/>
  <c r="P71" i="68"/>
  <c r="P69" i="68"/>
  <c r="Q69" i="68"/>
  <c r="Q42" i="68"/>
  <c r="P42" i="68"/>
  <c r="Q33" i="68"/>
  <c r="P33" i="68"/>
  <c r="P45" i="68"/>
  <c r="Q45" i="68"/>
  <c r="Q20" i="68"/>
  <c r="P20" i="68"/>
  <c r="P47" i="68"/>
  <c r="Q47" i="68"/>
  <c r="Q8" i="68"/>
  <c r="P8" i="68"/>
  <c r="Q75" i="68"/>
  <c r="P75" i="68"/>
  <c r="Q27" i="68"/>
  <c r="P27" i="68"/>
  <c r="N32" i="68"/>
  <c r="AF32" i="68"/>
  <c r="AG24" i="68" s="1"/>
  <c r="AE32" i="68"/>
  <c r="Q55" i="68"/>
  <c r="P55" i="68"/>
  <c r="P17" i="68"/>
  <c r="Q17" i="68"/>
  <c r="Q38" i="68"/>
  <c r="P38" i="68"/>
  <c r="Q57" i="68"/>
  <c r="P57" i="68"/>
  <c r="Q25" i="68"/>
  <c r="P25" i="68"/>
  <c r="Q83" i="68"/>
  <c r="R77" i="68" s="1"/>
  <c r="P83" i="68"/>
  <c r="M14" i="67"/>
  <c r="M15" i="67" s="1"/>
  <c r="P51" i="68"/>
  <c r="Q51" i="68"/>
  <c r="Q44" i="68"/>
  <c r="P44" i="68"/>
  <c r="P37" i="68"/>
  <c r="Q37" i="68"/>
  <c r="Q46" i="68"/>
  <c r="P46" i="68"/>
  <c r="N40" i="68"/>
  <c r="AF40" i="68"/>
  <c r="AG33" i="68" s="1"/>
  <c r="AE40" i="68"/>
  <c r="P43" i="68"/>
  <c r="Q43" i="68"/>
  <c r="N14" i="68"/>
  <c r="AF14" i="68"/>
  <c r="AG12" i="68" s="1"/>
  <c r="AE14" i="68"/>
  <c r="Q82" i="68"/>
  <c r="P82" i="68"/>
  <c r="Q34" i="68"/>
  <c r="P34" i="68"/>
  <c r="AF23" i="68"/>
  <c r="AG15" i="68" s="1"/>
  <c r="N23" i="68"/>
  <c r="AE23" i="68"/>
  <c r="P12" i="68"/>
  <c r="Q12" i="68"/>
  <c r="AE76" i="68"/>
  <c r="N76" i="68"/>
  <c r="AF76" i="68"/>
  <c r="AG71" i="68" s="1"/>
  <c r="Q24" i="68"/>
  <c r="P24" i="68"/>
  <c r="N49" i="68"/>
  <c r="AF49" i="68"/>
  <c r="AG41" i="68" s="1"/>
  <c r="AE49" i="68"/>
  <c r="N70" i="68"/>
  <c r="AF70" i="68"/>
  <c r="AG59" i="68" s="1"/>
  <c r="AE70" i="68"/>
  <c r="Q80" i="68"/>
  <c r="P80" i="68"/>
  <c r="Q30" i="68"/>
  <c r="P30" i="68"/>
  <c r="Q68" i="68"/>
  <c r="P68" i="68"/>
  <c r="Q22" i="68"/>
  <c r="P22" i="68"/>
  <c r="Q72" i="68"/>
  <c r="P72" i="68"/>
  <c r="Q18" i="68"/>
  <c r="P18" i="68"/>
  <c r="Q73" i="68"/>
  <c r="P73" i="68"/>
  <c r="Q81" i="68"/>
  <c r="P81" i="68"/>
  <c r="Q28" i="68"/>
  <c r="P28" i="68"/>
  <c r="P65" i="68"/>
  <c r="Q65" i="68"/>
  <c r="Q41" i="68"/>
  <c r="P41" i="68"/>
  <c r="Q10" i="68"/>
  <c r="P10" i="68"/>
  <c r="Q36" i="68"/>
  <c r="P36" i="68"/>
  <c r="Q6" i="68"/>
  <c r="P6" i="68"/>
  <c r="Q53" i="68"/>
  <c r="P53" i="68"/>
  <c r="Q19" i="68"/>
  <c r="P19" i="68"/>
  <c r="Q52" i="68"/>
  <c r="P52" i="68"/>
  <c r="Q15" i="68"/>
  <c r="P15" i="68"/>
  <c r="N11" i="68"/>
  <c r="AF11" i="68"/>
  <c r="AG5" i="68" s="1"/>
  <c r="AE11" i="68"/>
  <c r="P9" i="68"/>
  <c r="Q9" i="68"/>
  <c r="Q79" i="68"/>
  <c r="P79" i="68"/>
  <c r="Q62" i="68"/>
  <c r="P62" i="68"/>
  <c r="P39" i="68"/>
  <c r="Q39" i="68"/>
  <c r="Q61" i="68"/>
  <c r="P61" i="68"/>
  <c r="Q5" i="68"/>
  <c r="P5" i="68"/>
  <c r="Q66" i="68"/>
  <c r="P66" i="68"/>
  <c r="P13" i="68"/>
  <c r="Q13" i="68"/>
  <c r="AE58" i="68"/>
  <c r="N58" i="68"/>
  <c r="AF58" i="68"/>
  <c r="AG50" i="68" s="1"/>
  <c r="Q64" i="68"/>
  <c r="P64" i="68"/>
  <c r="Q21" i="68"/>
  <c r="P21" i="68"/>
  <c r="Q8" i="66"/>
  <c r="P8" i="66"/>
  <c r="P70" i="66"/>
  <c r="Q70" i="66"/>
  <c r="P26" i="66"/>
  <c r="Q26" i="66"/>
  <c r="AF54" i="66"/>
  <c r="AE54" i="66"/>
  <c r="AF63" i="66"/>
  <c r="AE63" i="66"/>
  <c r="AF6" i="66"/>
  <c r="AE6" i="66"/>
  <c r="AF45" i="66"/>
  <c r="AE45" i="66"/>
  <c r="N54" i="66"/>
  <c r="N63" i="66"/>
  <c r="N68" i="66"/>
  <c r="AE68" i="66"/>
  <c r="AF68" i="66"/>
  <c r="N45" i="66"/>
  <c r="Q57" i="66"/>
  <c r="P57" i="66"/>
  <c r="AF31" i="66"/>
  <c r="AE31" i="66"/>
  <c r="N36" i="66"/>
  <c r="AE36" i="66"/>
  <c r="AF36" i="66"/>
  <c r="Q48" i="66"/>
  <c r="P48" i="66"/>
  <c r="P66" i="66"/>
  <c r="Q66" i="66"/>
  <c r="E6" i="65"/>
  <c r="M10" i="66"/>
  <c r="N31" i="66"/>
  <c r="AF51" i="66"/>
  <c r="AE51" i="66"/>
  <c r="N51" i="66"/>
  <c r="F6" i="65"/>
  <c r="N22" i="66"/>
  <c r="M28" i="66"/>
  <c r="AE22" i="66"/>
  <c r="AF22" i="66"/>
  <c r="Z2" i="66"/>
  <c r="L6" i="65" s="1"/>
  <c r="N52" i="66"/>
  <c r="AE52" i="66"/>
  <c r="AF52" i="66"/>
  <c r="N61" i="66"/>
  <c r="AF61" i="66"/>
  <c r="AE61" i="66"/>
  <c r="M13" i="66"/>
  <c r="N11" i="66"/>
  <c r="AF11" i="66"/>
  <c r="AF15" i="66"/>
  <c r="AE15" i="66"/>
  <c r="AF24" i="66"/>
  <c r="AE24" i="66"/>
  <c r="AF67" i="66"/>
  <c r="AE67" i="66"/>
  <c r="M71" i="66"/>
  <c r="N67" i="66"/>
  <c r="AE26" i="66"/>
  <c r="AF26" i="66"/>
  <c r="AF8" i="66"/>
  <c r="AE8" i="66"/>
  <c r="AF14" i="66"/>
  <c r="AE14" i="66"/>
  <c r="N14" i="66"/>
  <c r="M20" i="66"/>
  <c r="M34" i="66"/>
  <c r="N29" i="66"/>
  <c r="AF29" i="66"/>
  <c r="AE29" i="66"/>
  <c r="M41" i="66"/>
  <c r="AF38" i="66"/>
  <c r="AE38" i="66"/>
  <c r="N43" i="66"/>
  <c r="AE43" i="66"/>
  <c r="M49" i="66"/>
  <c r="AF43" i="66"/>
  <c r="AF5" i="66"/>
  <c r="AE5" i="66"/>
  <c r="N5" i="66"/>
  <c r="AE11" i="66"/>
  <c r="N38" i="66"/>
  <c r="N40" i="66"/>
  <c r="AE40" i="66"/>
  <c r="AF40" i="66"/>
  <c r="F1" i="66"/>
  <c r="AE17" i="66"/>
  <c r="N17" i="66"/>
  <c r="AF17" i="66"/>
  <c r="AF70" i="66"/>
  <c r="AE70" i="66"/>
  <c r="P15" i="66"/>
  <c r="Q15" i="66"/>
  <c r="P24" i="66"/>
  <c r="Q24" i="66"/>
  <c r="M65" i="66"/>
  <c r="P27" i="66"/>
  <c r="Q27" i="66"/>
  <c r="AE47" i="66"/>
  <c r="N47" i="66"/>
  <c r="AF47" i="66"/>
  <c r="AF50" i="66"/>
  <c r="N50" i="66"/>
  <c r="M59" i="66"/>
  <c r="N6" i="66"/>
  <c r="P18" i="66"/>
  <c r="Q18" i="66"/>
  <c r="AE56" i="66"/>
  <c r="N56" i="66"/>
  <c r="AF56" i="66"/>
  <c r="AE33" i="66"/>
  <c r="N33" i="66"/>
  <c r="AF33" i="66"/>
  <c r="AD2" i="66"/>
  <c r="N6" i="65" s="1"/>
  <c r="N12" i="66"/>
  <c r="N21" i="66"/>
  <c r="N60" i="66"/>
  <c r="N23" i="66"/>
  <c r="N30" i="66"/>
  <c r="N37" i="66"/>
  <c r="N44" i="66"/>
  <c r="N53" i="66"/>
  <c r="N62" i="66"/>
  <c r="N69" i="66"/>
  <c r="N35" i="66"/>
  <c r="N42" i="66"/>
  <c r="P7" i="66"/>
  <c r="N9" i="66"/>
  <c r="AE12" i="66"/>
  <c r="AE21" i="66"/>
  <c r="AE35" i="66"/>
  <c r="AE42" i="66"/>
  <c r="AE60" i="66"/>
  <c r="P25" i="66"/>
  <c r="P32" i="66"/>
  <c r="AF35" i="66"/>
  <c r="P39" i="66"/>
  <c r="P46" i="66"/>
  <c r="P55" i="66"/>
  <c r="P64" i="66"/>
  <c r="AE30" i="66"/>
  <c r="AE37" i="66"/>
  <c r="AE53" i="66"/>
  <c r="AE69" i="66"/>
  <c r="N19" i="66"/>
  <c r="AE19" i="66"/>
  <c r="AE58" i="66"/>
  <c r="N58" i="66"/>
  <c r="AE23" i="66"/>
  <c r="AE44" i="66"/>
  <c r="AE7" i="66"/>
  <c r="AF62" i="66"/>
  <c r="P16" i="66"/>
  <c r="AD71" i="64"/>
  <c r="Z71" i="64"/>
  <c r="Y71" i="64"/>
  <c r="O71" i="64"/>
  <c r="K71" i="64"/>
  <c r="V70" i="64"/>
  <c r="U70" i="64"/>
  <c r="O70" i="64"/>
  <c r="M70" i="64"/>
  <c r="AE70" i="64" s="1"/>
  <c r="K70" i="64"/>
  <c r="G70" i="64"/>
  <c r="AF69" i="64"/>
  <c r="V69" i="64"/>
  <c r="U69" i="64"/>
  <c r="O69" i="64"/>
  <c r="M69" i="64"/>
  <c r="N69" i="64" s="1"/>
  <c r="K69" i="64"/>
  <c r="G69" i="64"/>
  <c r="V68" i="64"/>
  <c r="M68" i="64" s="1"/>
  <c r="U68" i="64"/>
  <c r="O68" i="64"/>
  <c r="K68" i="64"/>
  <c r="G68" i="64"/>
  <c r="V67" i="64"/>
  <c r="M67" i="64" s="1"/>
  <c r="U67" i="64"/>
  <c r="O67" i="64"/>
  <c r="K67" i="64"/>
  <c r="G67" i="64"/>
  <c r="AF66" i="64"/>
  <c r="AE66" i="64"/>
  <c r="X66" i="64"/>
  <c r="W66" i="64"/>
  <c r="V66" i="64"/>
  <c r="O66" i="64"/>
  <c r="M66" i="64"/>
  <c r="N66" i="64" s="1"/>
  <c r="K66" i="64"/>
  <c r="G66" i="64"/>
  <c r="AD65" i="64"/>
  <c r="Z65" i="64"/>
  <c r="Y65" i="64"/>
  <c r="O65" i="64"/>
  <c r="K65" i="64"/>
  <c r="V64" i="64"/>
  <c r="M64" i="64" s="1"/>
  <c r="U64" i="64"/>
  <c r="O64" i="64"/>
  <c r="K64" i="64"/>
  <c r="G64" i="64"/>
  <c r="V63" i="64"/>
  <c r="M63" i="64" s="1"/>
  <c r="U63" i="64"/>
  <c r="O63" i="64"/>
  <c r="K63" i="64"/>
  <c r="G63" i="64"/>
  <c r="V62" i="64"/>
  <c r="M62" i="64" s="1"/>
  <c r="U62" i="64"/>
  <c r="O62" i="64"/>
  <c r="K62" i="64"/>
  <c r="G62" i="64"/>
  <c r="V61" i="64"/>
  <c r="M61" i="64" s="1"/>
  <c r="U61" i="64"/>
  <c r="O61" i="64"/>
  <c r="K61" i="64"/>
  <c r="G61" i="64"/>
  <c r="V60" i="64"/>
  <c r="M60" i="64" s="1"/>
  <c r="O60" i="64"/>
  <c r="K60" i="64"/>
  <c r="G60" i="64"/>
  <c r="AD59" i="64"/>
  <c r="Z59" i="64"/>
  <c r="Y59" i="64"/>
  <c r="O59" i="64"/>
  <c r="K59" i="64"/>
  <c r="V58" i="64"/>
  <c r="U58" i="64"/>
  <c r="Q58" i="64"/>
  <c r="O58" i="64"/>
  <c r="N58" i="64"/>
  <c r="P58" i="64" s="1"/>
  <c r="M58" i="64"/>
  <c r="AF58" i="64" s="1"/>
  <c r="K58" i="64"/>
  <c r="G58" i="64"/>
  <c r="V57" i="64"/>
  <c r="U57" i="64"/>
  <c r="O57" i="64"/>
  <c r="N57" i="64"/>
  <c r="Q57" i="64" s="1"/>
  <c r="M57" i="64"/>
  <c r="AF57" i="64" s="1"/>
  <c r="K57" i="64"/>
  <c r="G57" i="64"/>
  <c r="V56" i="64"/>
  <c r="U56" i="64"/>
  <c r="O56" i="64"/>
  <c r="M56" i="64"/>
  <c r="AF56" i="64" s="1"/>
  <c r="K56" i="64"/>
  <c r="G56" i="64"/>
  <c r="V55" i="64"/>
  <c r="U55" i="64"/>
  <c r="O55" i="64"/>
  <c r="N55" i="64"/>
  <c r="Q55" i="64" s="1"/>
  <c r="M55" i="64"/>
  <c r="AF55" i="64" s="1"/>
  <c r="K55" i="64"/>
  <c r="G55" i="64"/>
  <c r="V54" i="64"/>
  <c r="U54" i="64"/>
  <c r="O54" i="64"/>
  <c r="M54" i="64"/>
  <c r="AE54" i="64" s="1"/>
  <c r="K54" i="64"/>
  <c r="G54" i="64"/>
  <c r="AF53" i="64"/>
  <c r="V53" i="64"/>
  <c r="U53" i="64"/>
  <c r="O53" i="64"/>
  <c r="M53" i="64"/>
  <c r="N53" i="64" s="1"/>
  <c r="K53" i="64"/>
  <c r="G53" i="64"/>
  <c r="AF52" i="64"/>
  <c r="AE52" i="64"/>
  <c r="V52" i="64"/>
  <c r="U52" i="64"/>
  <c r="O52" i="64"/>
  <c r="M52" i="64"/>
  <c r="N52" i="64" s="1"/>
  <c r="K52" i="64"/>
  <c r="G52" i="64"/>
  <c r="V51" i="64"/>
  <c r="M51" i="64" s="1"/>
  <c r="U51" i="64"/>
  <c r="O51" i="64"/>
  <c r="K51" i="64"/>
  <c r="G51" i="64"/>
  <c r="V50" i="64"/>
  <c r="M50" i="64" s="1"/>
  <c r="O50" i="64"/>
  <c r="K50" i="64"/>
  <c r="G50" i="64"/>
  <c r="AD49" i="64"/>
  <c r="H21" i="63" s="1"/>
  <c r="Z49" i="64"/>
  <c r="Y49" i="64"/>
  <c r="O49" i="64"/>
  <c r="K49" i="64"/>
  <c r="V48" i="64"/>
  <c r="M48" i="64" s="1"/>
  <c r="U48" i="64"/>
  <c r="O48" i="64"/>
  <c r="K48" i="64"/>
  <c r="G48" i="64"/>
  <c r="V47" i="64"/>
  <c r="M47" i="64" s="1"/>
  <c r="U47" i="64"/>
  <c r="O47" i="64"/>
  <c r="K47" i="64"/>
  <c r="G47" i="64"/>
  <c r="V46" i="64"/>
  <c r="M46" i="64" s="1"/>
  <c r="U46" i="64"/>
  <c r="O46" i="64"/>
  <c r="K46" i="64"/>
  <c r="G46" i="64"/>
  <c r="V45" i="64"/>
  <c r="M45" i="64" s="1"/>
  <c r="U45" i="64"/>
  <c r="O45" i="64"/>
  <c r="K45" i="64"/>
  <c r="G45" i="64"/>
  <c r="V44" i="64"/>
  <c r="U44" i="64"/>
  <c r="O44" i="64"/>
  <c r="N44" i="64"/>
  <c r="Q44" i="64" s="1"/>
  <c r="M44" i="64"/>
  <c r="AF44" i="64" s="1"/>
  <c r="K44" i="64"/>
  <c r="G44" i="64"/>
  <c r="V43" i="64"/>
  <c r="U43" i="64"/>
  <c r="O43" i="64"/>
  <c r="M43" i="64"/>
  <c r="AF43" i="64" s="1"/>
  <c r="K43" i="64"/>
  <c r="G43" i="64"/>
  <c r="X42" i="64"/>
  <c r="W42" i="64"/>
  <c r="V42" i="64"/>
  <c r="M42" i="64" s="1"/>
  <c r="O42" i="64"/>
  <c r="K42" i="64"/>
  <c r="G42" i="64"/>
  <c r="AD41" i="64"/>
  <c r="Z41" i="64"/>
  <c r="Y41" i="64"/>
  <c r="O41" i="64"/>
  <c r="K41" i="64"/>
  <c r="V40" i="64"/>
  <c r="U40" i="64"/>
  <c r="O40" i="64"/>
  <c r="M40" i="64"/>
  <c r="AF40" i="64" s="1"/>
  <c r="K40" i="64"/>
  <c r="G40" i="64"/>
  <c r="V39" i="64"/>
  <c r="U39" i="64"/>
  <c r="O39" i="64"/>
  <c r="N39" i="64"/>
  <c r="Q39" i="64" s="1"/>
  <c r="M39" i="64"/>
  <c r="AF39" i="64" s="1"/>
  <c r="K39" i="64"/>
  <c r="G39" i="64"/>
  <c r="V38" i="64"/>
  <c r="U38" i="64"/>
  <c r="O38" i="64"/>
  <c r="M38" i="64"/>
  <c r="AE38" i="64" s="1"/>
  <c r="K38" i="64"/>
  <c r="G38" i="64"/>
  <c r="AF37" i="64"/>
  <c r="V37" i="64"/>
  <c r="U37" i="64"/>
  <c r="O37" i="64"/>
  <c r="M37" i="64"/>
  <c r="N37" i="64" s="1"/>
  <c r="K37" i="64"/>
  <c r="G37" i="64"/>
  <c r="AF36" i="64"/>
  <c r="AE36" i="64"/>
  <c r="V36" i="64"/>
  <c r="U36" i="64"/>
  <c r="O36" i="64"/>
  <c r="M36" i="64"/>
  <c r="N36" i="64" s="1"/>
  <c r="K36" i="64"/>
  <c r="G36" i="64"/>
  <c r="AF35" i="64"/>
  <c r="X35" i="64"/>
  <c r="W35" i="64"/>
  <c r="V35" i="64"/>
  <c r="O35" i="64"/>
  <c r="M35" i="64"/>
  <c r="N35" i="64" s="1"/>
  <c r="K35" i="64"/>
  <c r="G35" i="64"/>
  <c r="AD34" i="64"/>
  <c r="Z34" i="64"/>
  <c r="Y34" i="64"/>
  <c r="O34" i="64"/>
  <c r="K34" i="64"/>
  <c r="AF33" i="64"/>
  <c r="AE33" i="64"/>
  <c r="V33" i="64"/>
  <c r="U33" i="64"/>
  <c r="O33" i="64"/>
  <c r="M33" i="64"/>
  <c r="N33" i="64" s="1"/>
  <c r="K33" i="64"/>
  <c r="G33" i="64"/>
  <c r="V32" i="64"/>
  <c r="M32" i="64" s="1"/>
  <c r="U32" i="64"/>
  <c r="O32" i="64"/>
  <c r="K32" i="64"/>
  <c r="G32" i="64"/>
  <c r="V31" i="64"/>
  <c r="M31" i="64" s="1"/>
  <c r="U31" i="64"/>
  <c r="O31" i="64"/>
  <c r="K31" i="64"/>
  <c r="G31" i="64"/>
  <c r="V30" i="64"/>
  <c r="M30" i="64" s="1"/>
  <c r="U30" i="64"/>
  <c r="O30" i="64"/>
  <c r="K30" i="64"/>
  <c r="G30" i="64"/>
  <c r="X29" i="64"/>
  <c r="W29" i="64"/>
  <c r="V29" i="64"/>
  <c r="M29" i="64" s="1"/>
  <c r="O29" i="64"/>
  <c r="K29" i="64"/>
  <c r="G29" i="64"/>
  <c r="AD28" i="64"/>
  <c r="Z28" i="64"/>
  <c r="Y28" i="64"/>
  <c r="O28" i="64"/>
  <c r="K28" i="64"/>
  <c r="V27" i="64"/>
  <c r="M27" i="64" s="1"/>
  <c r="U27" i="64"/>
  <c r="O27" i="64"/>
  <c r="K27" i="64"/>
  <c r="G27" i="64"/>
  <c r="V26" i="64"/>
  <c r="M26" i="64" s="1"/>
  <c r="U26" i="64"/>
  <c r="O26" i="64"/>
  <c r="K26" i="64"/>
  <c r="G26" i="64"/>
  <c r="V25" i="64"/>
  <c r="M25" i="64" s="1"/>
  <c r="U25" i="64"/>
  <c r="O25" i="64"/>
  <c r="K25" i="64"/>
  <c r="G25" i="64"/>
  <c r="V24" i="64"/>
  <c r="M24" i="64" s="1"/>
  <c r="U24" i="64"/>
  <c r="O24" i="64"/>
  <c r="K24" i="64"/>
  <c r="G24" i="64"/>
  <c r="V23" i="64"/>
  <c r="U23" i="64"/>
  <c r="O23" i="64"/>
  <c r="N23" i="64"/>
  <c r="Q23" i="64" s="1"/>
  <c r="M23" i="64"/>
  <c r="AF23" i="64" s="1"/>
  <c r="K23" i="64"/>
  <c r="G23" i="64"/>
  <c r="V22" i="64"/>
  <c r="U22" i="64"/>
  <c r="O22" i="64"/>
  <c r="M22" i="64"/>
  <c r="AF22" i="64" s="1"/>
  <c r="K22" i="64"/>
  <c r="G22" i="64"/>
  <c r="V21" i="64"/>
  <c r="O21" i="64"/>
  <c r="M21" i="64"/>
  <c r="AF21" i="64" s="1"/>
  <c r="K21" i="64"/>
  <c r="G21" i="64"/>
  <c r="AD20" i="64"/>
  <c r="Z20" i="64"/>
  <c r="Y20" i="64"/>
  <c r="O20" i="64"/>
  <c r="K20" i="64"/>
  <c r="V19" i="64"/>
  <c r="U19" i="64"/>
  <c r="O19" i="64"/>
  <c r="M19" i="64"/>
  <c r="AE19" i="64" s="1"/>
  <c r="K19" i="64"/>
  <c r="G19" i="64"/>
  <c r="AF18" i="64"/>
  <c r="V18" i="64"/>
  <c r="U18" i="64"/>
  <c r="O18" i="64"/>
  <c r="M18" i="64"/>
  <c r="N18" i="64" s="1"/>
  <c r="K18" i="64"/>
  <c r="G18" i="64"/>
  <c r="AF17" i="64"/>
  <c r="AE17" i="64"/>
  <c r="V17" i="64"/>
  <c r="U17" i="64"/>
  <c r="O17" i="64"/>
  <c r="M17" i="64"/>
  <c r="N17" i="64" s="1"/>
  <c r="K17" i="64"/>
  <c r="G17" i="64"/>
  <c r="V16" i="64"/>
  <c r="M16" i="64" s="1"/>
  <c r="U16" i="64"/>
  <c r="O16" i="64"/>
  <c r="K16" i="64"/>
  <c r="G16" i="64"/>
  <c r="V15" i="64"/>
  <c r="M15" i="64" s="1"/>
  <c r="U15" i="64"/>
  <c r="O15" i="64"/>
  <c r="K15" i="64"/>
  <c r="G15" i="64"/>
  <c r="V14" i="64"/>
  <c r="M14" i="64" s="1"/>
  <c r="O14" i="64"/>
  <c r="K14" i="64"/>
  <c r="G14" i="64"/>
  <c r="AD13" i="64"/>
  <c r="Z13" i="64"/>
  <c r="E19" i="63" s="1"/>
  <c r="Y13" i="64"/>
  <c r="O13" i="64"/>
  <c r="K13" i="64"/>
  <c r="V12" i="64"/>
  <c r="M12" i="64" s="1"/>
  <c r="U12" i="64"/>
  <c r="O12" i="64"/>
  <c r="K12" i="64"/>
  <c r="G12" i="64"/>
  <c r="V11" i="64"/>
  <c r="M11" i="64" s="1"/>
  <c r="O11" i="64"/>
  <c r="K11" i="64"/>
  <c r="G11" i="64"/>
  <c r="AD10" i="64"/>
  <c r="AD2" i="64" s="1"/>
  <c r="N6" i="63" s="1"/>
  <c r="Z10" i="64"/>
  <c r="Z2" i="64" s="1"/>
  <c r="L6" i="63" s="1"/>
  <c r="Y10" i="64"/>
  <c r="Y2" i="64" s="1"/>
  <c r="K6" i="63" s="1"/>
  <c r="O10" i="64"/>
  <c r="K10" i="64"/>
  <c r="V9" i="64"/>
  <c r="U9" i="64"/>
  <c r="Q9" i="64"/>
  <c r="O9" i="64"/>
  <c r="N9" i="64"/>
  <c r="P9" i="64" s="1"/>
  <c r="M9" i="64"/>
  <c r="AF9" i="64" s="1"/>
  <c r="K9" i="64"/>
  <c r="G9" i="64"/>
  <c r="V8" i="64"/>
  <c r="U8" i="64"/>
  <c r="O8" i="64"/>
  <c r="N8" i="64"/>
  <c r="Q8" i="64" s="1"/>
  <c r="M8" i="64"/>
  <c r="AF8" i="64" s="1"/>
  <c r="K8" i="64"/>
  <c r="G8" i="64"/>
  <c r="V7" i="64"/>
  <c r="U7" i="64"/>
  <c r="O7" i="64"/>
  <c r="M7" i="64"/>
  <c r="AF7" i="64" s="1"/>
  <c r="K7" i="64"/>
  <c r="G7" i="64"/>
  <c r="V6" i="64"/>
  <c r="U6" i="64"/>
  <c r="O6" i="64"/>
  <c r="N6" i="64"/>
  <c r="Q6" i="64" s="1"/>
  <c r="M6" i="64"/>
  <c r="AF6" i="64" s="1"/>
  <c r="K6" i="64"/>
  <c r="G6" i="64"/>
  <c r="V5" i="64"/>
  <c r="O5" i="64"/>
  <c r="N5" i="64"/>
  <c r="Q5" i="64" s="1"/>
  <c r="M5" i="64"/>
  <c r="AF5" i="64" s="1"/>
  <c r="K5" i="64"/>
  <c r="G5" i="64"/>
  <c r="F1" i="64" s="1"/>
  <c r="H2" i="64"/>
  <c r="H1" i="64"/>
  <c r="D1" i="64"/>
  <c r="M22" i="63"/>
  <c r="L22" i="63"/>
  <c r="K22" i="63"/>
  <c r="J22" i="63"/>
  <c r="I22" i="63"/>
  <c r="H22" i="63"/>
  <c r="G22" i="63"/>
  <c r="F22" i="63"/>
  <c r="E22" i="63"/>
  <c r="D22" i="63"/>
  <c r="M21" i="63"/>
  <c r="L21" i="63"/>
  <c r="K21" i="63"/>
  <c r="J21" i="63"/>
  <c r="I21" i="63"/>
  <c r="G21" i="63"/>
  <c r="F21" i="63"/>
  <c r="E21" i="63"/>
  <c r="D21" i="63"/>
  <c r="M20" i="63"/>
  <c r="L20" i="63"/>
  <c r="K20" i="63"/>
  <c r="J20" i="63"/>
  <c r="I20" i="63"/>
  <c r="H20" i="63"/>
  <c r="G20" i="63"/>
  <c r="F20" i="63"/>
  <c r="E20" i="63"/>
  <c r="D20" i="63"/>
  <c r="M19" i="63"/>
  <c r="L19" i="63"/>
  <c r="K19" i="63"/>
  <c r="J19" i="63"/>
  <c r="I19" i="63"/>
  <c r="H19" i="63"/>
  <c r="G19" i="63"/>
  <c r="F19" i="63"/>
  <c r="M18" i="63"/>
  <c r="L18" i="63"/>
  <c r="K18" i="63"/>
  <c r="J18" i="63"/>
  <c r="I18" i="63"/>
  <c r="H18" i="63"/>
  <c r="G18" i="63"/>
  <c r="F18" i="63"/>
  <c r="E18" i="63"/>
  <c r="D18" i="63"/>
  <c r="M17" i="63"/>
  <c r="L17" i="63"/>
  <c r="K17" i="63"/>
  <c r="J17" i="63"/>
  <c r="I17" i="63"/>
  <c r="H17" i="63"/>
  <c r="G17" i="63"/>
  <c r="F17" i="63"/>
  <c r="E17" i="63"/>
  <c r="D17" i="63"/>
  <c r="M16" i="63"/>
  <c r="L16" i="63"/>
  <c r="K16" i="63"/>
  <c r="J16" i="63"/>
  <c r="I16" i="63"/>
  <c r="H16" i="63"/>
  <c r="G16" i="63"/>
  <c r="F16" i="63"/>
  <c r="E16" i="63"/>
  <c r="D16" i="63"/>
  <c r="M13" i="63"/>
  <c r="L13" i="63"/>
  <c r="K13" i="63"/>
  <c r="I6" i="63" s="1"/>
  <c r="J13" i="63"/>
  <c r="I13" i="63"/>
  <c r="H13" i="63"/>
  <c r="F6" i="63" s="1"/>
  <c r="G13" i="63"/>
  <c r="F13" i="63"/>
  <c r="E13" i="63"/>
  <c r="D13" i="63"/>
  <c r="M6" i="63"/>
  <c r="F3" i="63"/>
  <c r="C3" i="63"/>
  <c r="D15" i="69" l="1"/>
  <c r="G7" i="69"/>
  <c r="F7" i="69"/>
  <c r="E7" i="69"/>
  <c r="K15" i="69"/>
  <c r="I8" i="69" s="1"/>
  <c r="I7" i="69"/>
  <c r="J14" i="67"/>
  <c r="J15" i="67" s="1"/>
  <c r="Q76" i="68"/>
  <c r="R71" i="68" s="1"/>
  <c r="P76" i="68"/>
  <c r="P14" i="68"/>
  <c r="Q14" i="68"/>
  <c r="R12" i="68" s="1"/>
  <c r="E14" i="67"/>
  <c r="E15" i="67" s="1"/>
  <c r="D14" i="67"/>
  <c r="Q11" i="68"/>
  <c r="R5" i="68" s="1"/>
  <c r="D2" i="68"/>
  <c r="P11" i="68"/>
  <c r="Q70" i="68"/>
  <c r="R59" i="68" s="1"/>
  <c r="P70" i="68"/>
  <c r="I14" i="67"/>
  <c r="I15" i="67" s="1"/>
  <c r="Q23" i="68"/>
  <c r="R15" i="68" s="1"/>
  <c r="P23" i="68"/>
  <c r="F14" i="67"/>
  <c r="F15" i="67" s="1"/>
  <c r="H14" i="67"/>
  <c r="H15" i="67" s="1"/>
  <c r="Q58" i="68"/>
  <c r="R50" i="68" s="1"/>
  <c r="P58" i="68"/>
  <c r="P40" i="68"/>
  <c r="Q40" i="68"/>
  <c r="R33" i="68" s="1"/>
  <c r="K14" i="67"/>
  <c r="P32" i="68"/>
  <c r="Q32" i="68"/>
  <c r="R24" i="68" s="1"/>
  <c r="G14" i="67"/>
  <c r="G15" i="67" s="1"/>
  <c r="Q49" i="68"/>
  <c r="R41" i="68" s="1"/>
  <c r="P49" i="68"/>
  <c r="L14" i="67"/>
  <c r="L15" i="67" s="1"/>
  <c r="P37" i="66"/>
  <c r="Q37" i="66"/>
  <c r="P23" i="66"/>
  <c r="Q23" i="66"/>
  <c r="AF28" i="66"/>
  <c r="AG21" i="66" s="1"/>
  <c r="AE28" i="66"/>
  <c r="N28" i="66"/>
  <c r="P21" i="66"/>
  <c r="Q21" i="66"/>
  <c r="Q43" i="66"/>
  <c r="P43" i="66"/>
  <c r="P54" i="66"/>
  <c r="Q54" i="66"/>
  <c r="N10" i="66"/>
  <c r="AF10" i="66"/>
  <c r="AG5" i="66" s="1"/>
  <c r="AE10" i="66"/>
  <c r="Q11" i="66"/>
  <c r="P11" i="66"/>
  <c r="AF13" i="66"/>
  <c r="AG11" i="66" s="1"/>
  <c r="N13" i="66"/>
  <c r="AE13" i="66"/>
  <c r="Q5" i="66"/>
  <c r="P5" i="66"/>
  <c r="P30" i="66"/>
  <c r="Q30" i="66"/>
  <c r="P45" i="66"/>
  <c r="Q45" i="66"/>
  <c r="P60" i="66"/>
  <c r="Q60" i="66"/>
  <c r="Q22" i="66"/>
  <c r="P22" i="66"/>
  <c r="AE65" i="66"/>
  <c r="AF65" i="66"/>
  <c r="AG60" i="66" s="1"/>
  <c r="N65" i="66"/>
  <c r="AF49" i="66"/>
  <c r="AG42" i="66" s="1"/>
  <c r="AE49" i="66"/>
  <c r="N49" i="66"/>
  <c r="P12" i="66"/>
  <c r="Q12" i="66"/>
  <c r="Q51" i="66"/>
  <c r="P51" i="66"/>
  <c r="P63" i="66"/>
  <c r="Q63" i="66"/>
  <c r="P33" i="66"/>
  <c r="Q33" i="66"/>
  <c r="P31" i="66"/>
  <c r="Q31" i="66"/>
  <c r="N41" i="66"/>
  <c r="AF41" i="66"/>
  <c r="AG35" i="66" s="1"/>
  <c r="AE41" i="66"/>
  <c r="P56" i="66"/>
  <c r="Q56" i="66"/>
  <c r="Q9" i="66"/>
  <c r="P9" i="66"/>
  <c r="Q29" i="66"/>
  <c r="P29" i="66"/>
  <c r="N34" i="66"/>
  <c r="AE34" i="66"/>
  <c r="AF34" i="66"/>
  <c r="AG29" i="66" s="1"/>
  <c r="Q42" i="66"/>
  <c r="P42" i="66"/>
  <c r="N20" i="66"/>
  <c r="AF20" i="66"/>
  <c r="AG14" i="66" s="1"/>
  <c r="AE20" i="66"/>
  <c r="Q19" i="66"/>
  <c r="P19" i="66"/>
  <c r="Q6" i="66"/>
  <c r="P6" i="66"/>
  <c r="N59" i="66"/>
  <c r="AF59" i="66"/>
  <c r="AG50" i="66" s="1"/>
  <c r="AE59" i="66"/>
  <c r="P62" i="66"/>
  <c r="Q62" i="66"/>
  <c r="Q50" i="66"/>
  <c r="P50" i="66"/>
  <c r="P40" i="66"/>
  <c r="Q40" i="66"/>
  <c r="Q36" i="66"/>
  <c r="P36" i="66"/>
  <c r="P44" i="66"/>
  <c r="Q44" i="66"/>
  <c r="P47" i="66"/>
  <c r="Q47" i="66"/>
  <c r="Q67" i="66"/>
  <c r="P67" i="66"/>
  <c r="AF71" i="66"/>
  <c r="AG66" i="66" s="1"/>
  <c r="AE71" i="66"/>
  <c r="N71" i="66"/>
  <c r="Q68" i="66"/>
  <c r="P68" i="66"/>
  <c r="Q58" i="66"/>
  <c r="P58" i="66"/>
  <c r="P17" i="66"/>
  <c r="Q17" i="66"/>
  <c r="I3" i="65"/>
  <c r="F2" i="66"/>
  <c r="Q35" i="66"/>
  <c r="P35" i="66"/>
  <c r="Q14" i="66"/>
  <c r="P14" i="66"/>
  <c r="P61" i="66"/>
  <c r="Q61" i="66"/>
  <c r="P69" i="66"/>
  <c r="Q69" i="66"/>
  <c r="P53" i="66"/>
  <c r="Q53" i="66"/>
  <c r="P38" i="66"/>
  <c r="Q38" i="66"/>
  <c r="P52" i="66"/>
  <c r="Q52" i="66"/>
  <c r="N67" i="64"/>
  <c r="AF67" i="64"/>
  <c r="M71" i="64"/>
  <c r="AE67" i="64"/>
  <c r="Q66" i="64"/>
  <c r="P66" i="64"/>
  <c r="Q52" i="64"/>
  <c r="P52" i="64"/>
  <c r="N61" i="64"/>
  <c r="AF61" i="64"/>
  <c r="AE61" i="64"/>
  <c r="AF25" i="64"/>
  <c r="AE25" i="64"/>
  <c r="N25" i="64"/>
  <c r="N32" i="64"/>
  <c r="AF32" i="64"/>
  <c r="AE32" i="64"/>
  <c r="Q36" i="64"/>
  <c r="P36" i="64"/>
  <c r="AF45" i="64"/>
  <c r="AE45" i="64"/>
  <c r="N45" i="64"/>
  <c r="M59" i="64"/>
  <c r="N50" i="64"/>
  <c r="AF50" i="64"/>
  <c r="AE50" i="64"/>
  <c r="N30" i="64"/>
  <c r="AF30" i="64"/>
  <c r="AE30" i="64"/>
  <c r="N26" i="64"/>
  <c r="AF26" i="64"/>
  <c r="AE26" i="64"/>
  <c r="AF46" i="64"/>
  <c r="AE46" i="64"/>
  <c r="N46" i="64"/>
  <c r="N51" i="64"/>
  <c r="AF51" i="64"/>
  <c r="AE51" i="64"/>
  <c r="N11" i="64"/>
  <c r="M13" i="64"/>
  <c r="AF11" i="64"/>
  <c r="AE11" i="64"/>
  <c r="N16" i="64"/>
  <c r="AF16" i="64"/>
  <c r="AE16" i="64"/>
  <c r="N63" i="64"/>
  <c r="AF63" i="64"/>
  <c r="AE63" i="64"/>
  <c r="AF24" i="64"/>
  <c r="AE24" i="64"/>
  <c r="N24" i="64"/>
  <c r="N29" i="64"/>
  <c r="AF29" i="64"/>
  <c r="M34" i="64"/>
  <c r="AE29" i="64"/>
  <c r="N31" i="64"/>
  <c r="AF31" i="64"/>
  <c r="AE31" i="64"/>
  <c r="N14" i="64"/>
  <c r="AF14" i="64"/>
  <c r="AE14" i="64"/>
  <c r="M20" i="64"/>
  <c r="Q37" i="64"/>
  <c r="P37" i="64"/>
  <c r="Q17" i="64"/>
  <c r="P17" i="64"/>
  <c r="N47" i="64"/>
  <c r="AF47" i="64"/>
  <c r="AE47" i="64"/>
  <c r="F2" i="64"/>
  <c r="I3" i="63"/>
  <c r="N15" i="64"/>
  <c r="AF15" i="64"/>
  <c r="AE15" i="64"/>
  <c r="Q18" i="64"/>
  <c r="P18" i="64"/>
  <c r="N27" i="64"/>
  <c r="AF27" i="64"/>
  <c r="AE27" i="64"/>
  <c r="N12" i="64"/>
  <c r="AF12" i="64"/>
  <c r="AE12" i="64"/>
  <c r="N64" i="64"/>
  <c r="AF64" i="64"/>
  <c r="AE64" i="64"/>
  <c r="N68" i="64"/>
  <c r="AF68" i="64"/>
  <c r="AE68" i="64"/>
  <c r="N62" i="64"/>
  <c r="AF62" i="64"/>
  <c r="AE62" i="64"/>
  <c r="Q69" i="64"/>
  <c r="P69" i="64"/>
  <c r="N60" i="64"/>
  <c r="AF60" i="64"/>
  <c r="M65" i="64"/>
  <c r="AE60" i="64"/>
  <c r="Q33" i="64"/>
  <c r="P33" i="64"/>
  <c r="N48" i="64"/>
  <c r="AF48" i="64"/>
  <c r="AE48" i="64"/>
  <c r="Q35" i="64"/>
  <c r="P35" i="64"/>
  <c r="AF42" i="64"/>
  <c r="AE42" i="64"/>
  <c r="M49" i="64"/>
  <c r="N42" i="64"/>
  <c r="Q53" i="64"/>
  <c r="P53" i="64"/>
  <c r="D19" i="63"/>
  <c r="AE18" i="64"/>
  <c r="AF19" i="64"/>
  <c r="AE37" i="64"/>
  <c r="AF38" i="64"/>
  <c r="M41" i="64"/>
  <c r="AE53" i="64"/>
  <c r="AF54" i="64"/>
  <c r="AE69" i="64"/>
  <c r="AF70" i="64"/>
  <c r="AE35" i="64"/>
  <c r="E6" i="63"/>
  <c r="G6" i="63"/>
  <c r="N7" i="64"/>
  <c r="N21" i="64"/>
  <c r="N22" i="64"/>
  <c r="N40" i="64"/>
  <c r="N43" i="64"/>
  <c r="N56" i="64"/>
  <c r="P8" i="64"/>
  <c r="P23" i="64"/>
  <c r="P44" i="64"/>
  <c r="P57" i="64"/>
  <c r="N19" i="64"/>
  <c r="N38" i="64"/>
  <c r="N54" i="64"/>
  <c r="N70" i="64"/>
  <c r="P5" i="64"/>
  <c r="P6" i="64"/>
  <c r="P39" i="64"/>
  <c r="P55" i="64"/>
  <c r="AE9" i="64"/>
  <c r="M28" i="64"/>
  <c r="AE58" i="64"/>
  <c r="AE8" i="64"/>
  <c r="AE23" i="64"/>
  <c r="AE44" i="64"/>
  <c r="AE57" i="64"/>
  <c r="AE7" i="64"/>
  <c r="AE21" i="64"/>
  <c r="AE22" i="64"/>
  <c r="AE40" i="64"/>
  <c r="AE43" i="64"/>
  <c r="AE56" i="64"/>
  <c r="AE5" i="64"/>
  <c r="AE6" i="64"/>
  <c r="M10" i="64"/>
  <c r="AE39" i="64"/>
  <c r="AE55" i="64"/>
  <c r="AD72" i="62"/>
  <c r="Z72" i="62"/>
  <c r="Y72" i="62"/>
  <c r="O72" i="62"/>
  <c r="K72" i="62"/>
  <c r="V71" i="62"/>
  <c r="U71" i="62"/>
  <c r="O71" i="62"/>
  <c r="M71" i="62"/>
  <c r="AE71" i="62" s="1"/>
  <c r="K71" i="62"/>
  <c r="G71" i="62"/>
  <c r="AF70" i="62"/>
  <c r="AE70" i="62"/>
  <c r="V70" i="62"/>
  <c r="U70" i="62"/>
  <c r="O70" i="62"/>
  <c r="N70" i="62"/>
  <c r="Q70" i="62" s="1"/>
  <c r="M70" i="62"/>
  <c r="K70" i="62"/>
  <c r="P70" i="62" s="1"/>
  <c r="G70" i="62"/>
  <c r="AF69" i="62"/>
  <c r="AE69" i="62"/>
  <c r="V69" i="62"/>
  <c r="U69" i="62"/>
  <c r="O69" i="62"/>
  <c r="M69" i="62"/>
  <c r="N69" i="62" s="1"/>
  <c r="K69" i="62"/>
  <c r="G69" i="62"/>
  <c r="V68" i="62"/>
  <c r="M68" i="62" s="1"/>
  <c r="U68" i="62"/>
  <c r="O68" i="62"/>
  <c r="K68" i="62"/>
  <c r="G68" i="62"/>
  <c r="AF67" i="62"/>
  <c r="AE67" i="62"/>
  <c r="X67" i="62"/>
  <c r="W67" i="62"/>
  <c r="V67" i="62"/>
  <c r="O67" i="62"/>
  <c r="N67" i="62"/>
  <c r="Q67" i="62" s="1"/>
  <c r="M67" i="62"/>
  <c r="K67" i="62"/>
  <c r="P67" i="62" s="1"/>
  <c r="G67" i="62"/>
  <c r="AD66" i="62"/>
  <c r="Z66" i="62"/>
  <c r="Y66" i="62"/>
  <c r="O66" i="62"/>
  <c r="K66" i="62"/>
  <c r="V65" i="62"/>
  <c r="M65" i="62" s="1"/>
  <c r="U65" i="62"/>
  <c r="O65" i="62"/>
  <c r="K65" i="62"/>
  <c r="G65" i="62"/>
  <c r="AF64" i="62"/>
  <c r="AE64" i="62"/>
  <c r="V64" i="62"/>
  <c r="U64" i="62"/>
  <c r="O64" i="62"/>
  <c r="M64" i="62"/>
  <c r="N64" i="62" s="1"/>
  <c r="K64" i="62"/>
  <c r="G64" i="62"/>
  <c r="V63" i="62"/>
  <c r="M63" i="62" s="1"/>
  <c r="U63" i="62"/>
  <c r="O63" i="62"/>
  <c r="K63" i="62"/>
  <c r="G63" i="62"/>
  <c r="V62" i="62"/>
  <c r="M62" i="62" s="1"/>
  <c r="U62" i="62"/>
  <c r="O62" i="62"/>
  <c r="K62" i="62"/>
  <c r="G62" i="62"/>
  <c r="V61" i="62"/>
  <c r="M61" i="62" s="1"/>
  <c r="O61" i="62"/>
  <c r="K61" i="62"/>
  <c r="G61" i="62"/>
  <c r="AD60" i="62"/>
  <c r="Z60" i="62"/>
  <c r="Y60" i="62"/>
  <c r="I18" i="61" s="1"/>
  <c r="O60" i="62"/>
  <c r="K60" i="62"/>
  <c r="AF59" i="62"/>
  <c r="V59" i="62"/>
  <c r="U59" i="62"/>
  <c r="Q59" i="62"/>
  <c r="P59" i="62"/>
  <c r="O59" i="62"/>
  <c r="N59" i="62"/>
  <c r="M59" i="62"/>
  <c r="AE59" i="62" s="1"/>
  <c r="K59" i="62"/>
  <c r="G59" i="62"/>
  <c r="AE58" i="62"/>
  <c r="V58" i="62"/>
  <c r="U58" i="62"/>
  <c r="O58" i="62"/>
  <c r="M58" i="62"/>
  <c r="AF58" i="62" s="1"/>
  <c r="K58" i="62"/>
  <c r="G58" i="62"/>
  <c r="V57" i="62"/>
  <c r="M57" i="62" s="1"/>
  <c r="U57" i="62"/>
  <c r="O57" i="62"/>
  <c r="K57" i="62"/>
  <c r="G57" i="62"/>
  <c r="V56" i="62"/>
  <c r="U56" i="62"/>
  <c r="O56" i="62"/>
  <c r="M56" i="62"/>
  <c r="AF56" i="62" s="1"/>
  <c r="K56" i="62"/>
  <c r="G56" i="62"/>
  <c r="V55" i="62"/>
  <c r="U55" i="62"/>
  <c r="O55" i="62"/>
  <c r="M55" i="62"/>
  <c r="AE55" i="62" s="1"/>
  <c r="K55" i="62"/>
  <c r="G55" i="62"/>
  <c r="AF54" i="62"/>
  <c r="AE54" i="62"/>
  <c r="V54" i="62"/>
  <c r="U54" i="62"/>
  <c r="P54" i="62"/>
  <c r="O54" i="62"/>
  <c r="N54" i="62"/>
  <c r="Q54" i="62" s="1"/>
  <c r="M54" i="62"/>
  <c r="K54" i="62"/>
  <c r="G54" i="62"/>
  <c r="AF53" i="62"/>
  <c r="AE53" i="62"/>
  <c r="V53" i="62"/>
  <c r="U53" i="62"/>
  <c r="O53" i="62"/>
  <c r="M53" i="62"/>
  <c r="N53" i="62" s="1"/>
  <c r="K53" i="62"/>
  <c r="G53" i="62"/>
  <c r="V52" i="62"/>
  <c r="M52" i="62" s="1"/>
  <c r="U52" i="62"/>
  <c r="O52" i="62"/>
  <c r="K52" i="62"/>
  <c r="G52" i="62"/>
  <c r="V51" i="62"/>
  <c r="M51" i="62" s="1"/>
  <c r="O51" i="62"/>
  <c r="K51" i="62"/>
  <c r="G51" i="62"/>
  <c r="AD50" i="62"/>
  <c r="Z50" i="62"/>
  <c r="Y50" i="62"/>
  <c r="O50" i="62"/>
  <c r="K50" i="62"/>
  <c r="V49" i="62"/>
  <c r="M49" i="62" s="1"/>
  <c r="U49" i="62"/>
  <c r="O49" i="62"/>
  <c r="K49" i="62"/>
  <c r="G49" i="62"/>
  <c r="V48" i="62"/>
  <c r="M48" i="62" s="1"/>
  <c r="U48" i="62"/>
  <c r="O48" i="62"/>
  <c r="K48" i="62"/>
  <c r="G48" i="62"/>
  <c r="V47" i="62"/>
  <c r="M47" i="62" s="1"/>
  <c r="U47" i="62"/>
  <c r="O47" i="62"/>
  <c r="K47" i="62"/>
  <c r="G47" i="62"/>
  <c r="V46" i="62"/>
  <c r="M46" i="62" s="1"/>
  <c r="U46" i="62"/>
  <c r="O46" i="62"/>
  <c r="K46" i="62"/>
  <c r="G46" i="62"/>
  <c r="AE45" i="62"/>
  <c r="V45" i="62"/>
  <c r="U45" i="62"/>
  <c r="O45" i="62"/>
  <c r="M45" i="62"/>
  <c r="AF45" i="62" s="1"/>
  <c r="K45" i="62"/>
  <c r="G45" i="62"/>
  <c r="V44" i="62"/>
  <c r="M44" i="62" s="1"/>
  <c r="U44" i="62"/>
  <c r="O44" i="62"/>
  <c r="K44" i="62"/>
  <c r="G44" i="62"/>
  <c r="X43" i="62"/>
  <c r="W43" i="62"/>
  <c r="V43" i="62"/>
  <c r="M43" i="62" s="1"/>
  <c r="O43" i="62"/>
  <c r="K43" i="62"/>
  <c r="G43" i="62"/>
  <c r="AD42" i="62"/>
  <c r="Z42" i="62"/>
  <c r="Y42" i="62"/>
  <c r="O42" i="62"/>
  <c r="K42" i="62"/>
  <c r="V41" i="62"/>
  <c r="M41" i="62" s="1"/>
  <c r="U41" i="62"/>
  <c r="O41" i="62"/>
  <c r="K41" i="62"/>
  <c r="G41" i="62"/>
  <c r="X40" i="62"/>
  <c r="W40" i="62"/>
  <c r="V40" i="62"/>
  <c r="U40" i="62"/>
  <c r="O40" i="62"/>
  <c r="M40" i="62"/>
  <c r="AF40" i="62" s="1"/>
  <c r="K40" i="62"/>
  <c r="G40" i="62"/>
  <c r="V39" i="62"/>
  <c r="M39" i="62" s="1"/>
  <c r="U39" i="62"/>
  <c r="O39" i="62"/>
  <c r="K39" i="62"/>
  <c r="G39" i="62"/>
  <c r="V38" i="62"/>
  <c r="U38" i="62"/>
  <c r="O38" i="62"/>
  <c r="M38" i="62"/>
  <c r="AF38" i="62" s="1"/>
  <c r="K38" i="62"/>
  <c r="G38" i="62"/>
  <c r="V37" i="62"/>
  <c r="U37" i="62"/>
  <c r="O37" i="62"/>
  <c r="M37" i="62"/>
  <c r="AE37" i="62" s="1"/>
  <c r="K37" i="62"/>
  <c r="G37" i="62"/>
  <c r="AF36" i="62"/>
  <c r="AE36" i="62"/>
  <c r="V36" i="62"/>
  <c r="U36" i="62"/>
  <c r="P36" i="62"/>
  <c r="O36" i="62"/>
  <c r="N36" i="62"/>
  <c r="Q36" i="62" s="1"/>
  <c r="M36" i="62"/>
  <c r="K36" i="62"/>
  <c r="G36" i="62"/>
  <c r="X35" i="62"/>
  <c r="W35" i="62"/>
  <c r="V35" i="62"/>
  <c r="O35" i="62"/>
  <c r="M35" i="62"/>
  <c r="N35" i="62" s="1"/>
  <c r="K35" i="62"/>
  <c r="G35" i="62"/>
  <c r="AD34" i="62"/>
  <c r="Z34" i="62"/>
  <c r="Y34" i="62"/>
  <c r="O34" i="62"/>
  <c r="K34" i="62"/>
  <c r="AF33" i="62"/>
  <c r="AE33" i="62"/>
  <c r="V33" i="62"/>
  <c r="U33" i="62"/>
  <c r="P33" i="62"/>
  <c r="O33" i="62"/>
  <c r="N33" i="62"/>
  <c r="Q33" i="62" s="1"/>
  <c r="M33" i="62"/>
  <c r="K33" i="62"/>
  <c r="G33" i="62"/>
  <c r="AF32" i="62"/>
  <c r="AE32" i="62"/>
  <c r="V32" i="62"/>
  <c r="U32" i="62"/>
  <c r="O32" i="62"/>
  <c r="M32" i="62"/>
  <c r="N32" i="62" s="1"/>
  <c r="K32" i="62"/>
  <c r="G32" i="62"/>
  <c r="V31" i="62"/>
  <c r="M31" i="62" s="1"/>
  <c r="U31" i="62"/>
  <c r="O31" i="62"/>
  <c r="K31" i="62"/>
  <c r="G31" i="62"/>
  <c r="AE30" i="62"/>
  <c r="V30" i="62"/>
  <c r="U30" i="62"/>
  <c r="O30" i="62"/>
  <c r="M30" i="62"/>
  <c r="N30" i="62" s="1"/>
  <c r="K30" i="62"/>
  <c r="G30" i="62"/>
  <c r="AF29" i="62"/>
  <c r="AE29" i="62"/>
  <c r="X29" i="62"/>
  <c r="W29" i="62"/>
  <c r="V29" i="62"/>
  <c r="O29" i="62"/>
  <c r="M29" i="62"/>
  <c r="N29" i="62" s="1"/>
  <c r="K29" i="62"/>
  <c r="G29" i="62"/>
  <c r="AD28" i="62"/>
  <c r="G21" i="61" s="1"/>
  <c r="Z28" i="62"/>
  <c r="Y28" i="62"/>
  <c r="O28" i="62"/>
  <c r="K28" i="62"/>
  <c r="AE27" i="62"/>
  <c r="V27" i="62"/>
  <c r="U27" i="62"/>
  <c r="O27" i="62"/>
  <c r="M27" i="62"/>
  <c r="N27" i="62" s="1"/>
  <c r="K27" i="62"/>
  <c r="G27" i="62"/>
  <c r="V26" i="62"/>
  <c r="M26" i="62" s="1"/>
  <c r="U26" i="62"/>
  <c r="O26" i="62"/>
  <c r="K26" i="62"/>
  <c r="G26" i="62"/>
  <c r="V25" i="62"/>
  <c r="M25" i="62" s="1"/>
  <c r="U25" i="62"/>
  <c r="O25" i="62"/>
  <c r="K25" i="62"/>
  <c r="G25" i="62"/>
  <c r="V24" i="62"/>
  <c r="M24" i="62" s="1"/>
  <c r="U24" i="62"/>
  <c r="O24" i="62"/>
  <c r="K24" i="62"/>
  <c r="G24" i="62"/>
  <c r="V23" i="62"/>
  <c r="M23" i="62" s="1"/>
  <c r="U23" i="62"/>
  <c r="O23" i="62"/>
  <c r="K23" i="62"/>
  <c r="G23" i="62"/>
  <c r="AE22" i="62"/>
  <c r="V22" i="62"/>
  <c r="U22" i="62"/>
  <c r="O22" i="62"/>
  <c r="M22" i="62"/>
  <c r="AF22" i="62" s="1"/>
  <c r="K22" i="62"/>
  <c r="G22" i="62"/>
  <c r="AE21" i="62"/>
  <c r="V21" i="62"/>
  <c r="O21" i="62"/>
  <c r="M21" i="62"/>
  <c r="AF21" i="62" s="1"/>
  <c r="K21" i="62"/>
  <c r="G21" i="62"/>
  <c r="AD20" i="62"/>
  <c r="F21" i="61" s="1"/>
  <c r="Z20" i="62"/>
  <c r="Y20" i="62"/>
  <c r="O20" i="62"/>
  <c r="K20" i="62"/>
  <c r="V19" i="62"/>
  <c r="U19" i="62"/>
  <c r="O19" i="62"/>
  <c r="M19" i="62"/>
  <c r="AF19" i="62" s="1"/>
  <c r="K19" i="62"/>
  <c r="G19" i="62"/>
  <c r="V18" i="62"/>
  <c r="U18" i="62"/>
  <c r="O18" i="62"/>
  <c r="M18" i="62"/>
  <c r="AE18" i="62" s="1"/>
  <c r="K18" i="62"/>
  <c r="G18" i="62"/>
  <c r="AF17" i="62"/>
  <c r="AE17" i="62"/>
  <c r="V17" i="62"/>
  <c r="U17" i="62"/>
  <c r="O17" i="62"/>
  <c r="N17" i="62"/>
  <c r="Q17" i="62" s="1"/>
  <c r="M17" i="62"/>
  <c r="K17" i="62"/>
  <c r="P17" i="62" s="1"/>
  <c r="G17" i="62"/>
  <c r="F1" i="62" s="1"/>
  <c r="AF16" i="62"/>
  <c r="AE16" i="62"/>
  <c r="V16" i="62"/>
  <c r="U16" i="62"/>
  <c r="O16" i="62"/>
  <c r="M16" i="62"/>
  <c r="N16" i="62" s="1"/>
  <c r="K16" i="62"/>
  <c r="G16" i="62"/>
  <c r="V15" i="62"/>
  <c r="M15" i="62" s="1"/>
  <c r="U15" i="62"/>
  <c r="O15" i="62"/>
  <c r="K15" i="62"/>
  <c r="G15" i="62"/>
  <c r="V14" i="62"/>
  <c r="M14" i="62" s="1"/>
  <c r="O14" i="62"/>
  <c r="K14" i="62"/>
  <c r="G14" i="62"/>
  <c r="AD13" i="62"/>
  <c r="Z13" i="62"/>
  <c r="Y13" i="62"/>
  <c r="O13" i="62"/>
  <c r="K13" i="62"/>
  <c r="V12" i="62"/>
  <c r="M12" i="62" s="1"/>
  <c r="U12" i="62"/>
  <c r="O12" i="62"/>
  <c r="K12" i="62"/>
  <c r="G12" i="62"/>
  <c r="V11" i="62"/>
  <c r="M11" i="62" s="1"/>
  <c r="O11" i="62"/>
  <c r="K11" i="62"/>
  <c r="G11" i="62"/>
  <c r="AD10" i="62"/>
  <c r="AD2" i="62" s="1"/>
  <c r="N6" i="61" s="1"/>
  <c r="Z10" i="62"/>
  <c r="D19" i="61" s="1"/>
  <c r="Y10" i="62"/>
  <c r="Y2" i="62" s="1"/>
  <c r="K6" i="61" s="1"/>
  <c r="O10" i="62"/>
  <c r="K10" i="62"/>
  <c r="V9" i="62"/>
  <c r="M9" i="62" s="1"/>
  <c r="U9" i="62"/>
  <c r="O9" i="62"/>
  <c r="K9" i="62"/>
  <c r="G9" i="62"/>
  <c r="V8" i="62"/>
  <c r="M8" i="62" s="1"/>
  <c r="U8" i="62"/>
  <c r="O8" i="62"/>
  <c r="K8" i="62"/>
  <c r="G8" i="62"/>
  <c r="AE7" i="62"/>
  <c r="V7" i="62"/>
  <c r="U7" i="62"/>
  <c r="O7" i="62"/>
  <c r="M7" i="62"/>
  <c r="AF7" i="62" s="1"/>
  <c r="K7" i="62"/>
  <c r="G7" i="62"/>
  <c r="V6" i="62"/>
  <c r="M6" i="62" s="1"/>
  <c r="U6" i="62"/>
  <c r="O6" i="62"/>
  <c r="K6" i="62"/>
  <c r="G6" i="62"/>
  <c r="V5" i="62"/>
  <c r="M5" i="62" s="1"/>
  <c r="O5" i="62"/>
  <c r="K5" i="62"/>
  <c r="G5" i="62"/>
  <c r="H2" i="62"/>
  <c r="H1" i="62"/>
  <c r="D1" i="62"/>
  <c r="M22" i="61"/>
  <c r="L22" i="61"/>
  <c r="K22" i="61"/>
  <c r="J22" i="61"/>
  <c r="I22" i="61"/>
  <c r="H22" i="61"/>
  <c r="G22" i="61"/>
  <c r="F22" i="61"/>
  <c r="E22" i="61"/>
  <c r="D22" i="61"/>
  <c r="M21" i="61"/>
  <c r="L21" i="61"/>
  <c r="K21" i="61"/>
  <c r="J21" i="61"/>
  <c r="I21" i="61"/>
  <c r="H21" i="61"/>
  <c r="E21" i="61"/>
  <c r="M20" i="61"/>
  <c r="L20" i="61"/>
  <c r="K20" i="61"/>
  <c r="J20" i="61"/>
  <c r="I20" i="61"/>
  <c r="H20" i="61"/>
  <c r="G20" i="61"/>
  <c r="F20" i="61"/>
  <c r="E20" i="61"/>
  <c r="D20" i="61"/>
  <c r="M19" i="61"/>
  <c r="L19" i="61"/>
  <c r="K19" i="61"/>
  <c r="J19" i="61"/>
  <c r="I19" i="61"/>
  <c r="H19" i="61"/>
  <c r="G19" i="61"/>
  <c r="F19" i="61"/>
  <c r="E19" i="61"/>
  <c r="M18" i="61"/>
  <c r="L18" i="61"/>
  <c r="K18" i="61"/>
  <c r="J18" i="61"/>
  <c r="H18" i="61"/>
  <c r="G18" i="61"/>
  <c r="F18" i="61"/>
  <c r="E18" i="61"/>
  <c r="D18" i="61"/>
  <c r="M17" i="61"/>
  <c r="L17" i="61"/>
  <c r="K17" i="61"/>
  <c r="J17" i="61"/>
  <c r="I17" i="61"/>
  <c r="H17" i="61"/>
  <c r="G17" i="61"/>
  <c r="F17" i="61"/>
  <c r="E17" i="61"/>
  <c r="D17" i="61"/>
  <c r="M16" i="61"/>
  <c r="L16" i="61"/>
  <c r="K16" i="61"/>
  <c r="J16" i="61"/>
  <c r="I16" i="61"/>
  <c r="H16" i="61"/>
  <c r="G16" i="61"/>
  <c r="F16" i="61"/>
  <c r="E16" i="61"/>
  <c r="D16" i="61"/>
  <c r="M13" i="61"/>
  <c r="L13" i="61"/>
  <c r="K13" i="61"/>
  <c r="I6" i="61" s="1"/>
  <c r="J13" i="61"/>
  <c r="I13" i="61"/>
  <c r="H13" i="61"/>
  <c r="E6" i="61" s="1"/>
  <c r="G13" i="61"/>
  <c r="F13" i="61"/>
  <c r="E13" i="61"/>
  <c r="D13" i="61"/>
  <c r="M6" i="61"/>
  <c r="F3" i="61"/>
  <c r="C3" i="61"/>
  <c r="F8" i="69" l="1"/>
  <c r="G8" i="69"/>
  <c r="E8" i="69"/>
  <c r="K15" i="67"/>
  <c r="I8" i="67" s="1"/>
  <c r="I7" i="67"/>
  <c r="D15" i="67"/>
  <c r="E7" i="67"/>
  <c r="G7" i="67"/>
  <c r="F7" i="67"/>
  <c r="P34" i="66"/>
  <c r="K14" i="65"/>
  <c r="Q34" i="66"/>
  <c r="R29" i="66" s="1"/>
  <c r="H14" i="65"/>
  <c r="H15" i="65" s="1"/>
  <c r="Q49" i="66"/>
  <c r="R42" i="66" s="1"/>
  <c r="P49" i="66"/>
  <c r="Q20" i="66"/>
  <c r="R14" i="66" s="1"/>
  <c r="P20" i="66"/>
  <c r="F14" i="65"/>
  <c r="F15" i="65" s="1"/>
  <c r="D2" i="66"/>
  <c r="P10" i="66"/>
  <c r="D14" i="65"/>
  <c r="Q10" i="66"/>
  <c r="R5" i="66" s="1"/>
  <c r="P13" i="66"/>
  <c r="E14" i="65"/>
  <c r="E15" i="65" s="1"/>
  <c r="Q13" i="66"/>
  <c r="R11" i="66" s="1"/>
  <c r="M14" i="65"/>
  <c r="M15" i="65" s="1"/>
  <c r="Q71" i="66"/>
  <c r="R66" i="66" s="1"/>
  <c r="P71" i="66"/>
  <c r="P41" i="66"/>
  <c r="L14" i="65"/>
  <c r="L15" i="65" s="1"/>
  <c r="Q41" i="66"/>
  <c r="R35" i="66" s="1"/>
  <c r="J14" i="65"/>
  <c r="J15" i="65" s="1"/>
  <c r="Q65" i="66"/>
  <c r="R60" i="66" s="1"/>
  <c r="P65" i="66"/>
  <c r="Q59" i="66"/>
  <c r="R50" i="66" s="1"/>
  <c r="P59" i="66"/>
  <c r="I14" i="65"/>
  <c r="I15" i="65" s="1"/>
  <c r="G14" i="65"/>
  <c r="G15" i="65" s="1"/>
  <c r="Q28" i="66"/>
  <c r="R21" i="66" s="1"/>
  <c r="P28" i="66"/>
  <c r="Q38" i="64"/>
  <c r="P38" i="64"/>
  <c r="N10" i="64"/>
  <c r="AF10" i="64"/>
  <c r="AG5" i="64" s="1"/>
  <c r="AE10" i="64"/>
  <c r="Q67" i="64"/>
  <c r="P67" i="64"/>
  <c r="Q42" i="64"/>
  <c r="P42" i="64"/>
  <c r="N65" i="64"/>
  <c r="AF65" i="64"/>
  <c r="AG60" i="64" s="1"/>
  <c r="AE65" i="64"/>
  <c r="P15" i="64"/>
  <c r="Q15" i="64"/>
  <c r="Q51" i="64"/>
  <c r="P51" i="64"/>
  <c r="Q50" i="64"/>
  <c r="P50" i="64"/>
  <c r="N49" i="64"/>
  <c r="AF49" i="64"/>
  <c r="AG42" i="64" s="1"/>
  <c r="AE49" i="64"/>
  <c r="P14" i="64"/>
  <c r="Q14" i="64"/>
  <c r="Q46" i="64"/>
  <c r="P46" i="64"/>
  <c r="Q60" i="64"/>
  <c r="P60" i="64"/>
  <c r="P63" i="64"/>
  <c r="Q63" i="64"/>
  <c r="Q45" i="64"/>
  <c r="P45" i="64"/>
  <c r="Q54" i="64"/>
  <c r="P54" i="64"/>
  <c r="Q48" i="64"/>
  <c r="P48" i="64"/>
  <c r="N28" i="64"/>
  <c r="AF28" i="64"/>
  <c r="AG21" i="64" s="1"/>
  <c r="AE28" i="64"/>
  <c r="Q64" i="64"/>
  <c r="P64" i="64"/>
  <c r="N59" i="64"/>
  <c r="AF59" i="64"/>
  <c r="AG50" i="64" s="1"/>
  <c r="AE59" i="64"/>
  <c r="Q56" i="64"/>
  <c r="P56" i="64"/>
  <c r="Q61" i="64"/>
  <c r="P61" i="64"/>
  <c r="Q7" i="64"/>
  <c r="P7" i="64"/>
  <c r="Q43" i="64"/>
  <c r="P43" i="64"/>
  <c r="AF41" i="64"/>
  <c r="AG35" i="64" s="1"/>
  <c r="AE41" i="64"/>
  <c r="N41" i="64"/>
  <c r="Q12" i="64"/>
  <c r="P12" i="64"/>
  <c r="P31" i="64"/>
  <c r="Q31" i="64"/>
  <c r="Q29" i="64"/>
  <c r="P29" i="64"/>
  <c r="Q22" i="64"/>
  <c r="P22" i="64"/>
  <c r="N34" i="64"/>
  <c r="AF34" i="64"/>
  <c r="AG29" i="64" s="1"/>
  <c r="AE34" i="64"/>
  <c r="Q26" i="64"/>
  <c r="P26" i="64"/>
  <c r="Q40" i="64"/>
  <c r="P40" i="64"/>
  <c r="Q47" i="64"/>
  <c r="P47" i="64"/>
  <c r="Q16" i="64"/>
  <c r="P16" i="64"/>
  <c r="Q70" i="64"/>
  <c r="P70" i="64"/>
  <c r="Q21" i="64"/>
  <c r="P21" i="64"/>
  <c r="Q62" i="64"/>
  <c r="P62" i="64"/>
  <c r="Q27" i="64"/>
  <c r="P27" i="64"/>
  <c r="N13" i="64"/>
  <c r="AF13" i="64"/>
  <c r="AG11" i="64" s="1"/>
  <c r="AE13" i="64"/>
  <c r="Q24" i="64"/>
  <c r="P24" i="64"/>
  <c r="Q30" i="64"/>
  <c r="P30" i="64"/>
  <c r="Q32" i="64"/>
  <c r="P32" i="64"/>
  <c r="AF71" i="64"/>
  <c r="AG66" i="64" s="1"/>
  <c r="AE71" i="64"/>
  <c r="N71" i="64"/>
  <c r="Q11" i="64"/>
  <c r="P11" i="64"/>
  <c r="Q19" i="64"/>
  <c r="P19" i="64"/>
  <c r="Q68" i="64"/>
  <c r="P68" i="64"/>
  <c r="AF20" i="64"/>
  <c r="AG14" i="64" s="1"/>
  <c r="AE20" i="64"/>
  <c r="N20" i="64"/>
  <c r="Q25" i="64"/>
  <c r="P25" i="64"/>
  <c r="N61" i="62"/>
  <c r="AF61" i="62"/>
  <c r="M66" i="62"/>
  <c r="AE61" i="62"/>
  <c r="N15" i="62"/>
  <c r="AF15" i="62"/>
  <c r="AE15" i="62"/>
  <c r="AF39" i="62"/>
  <c r="AE39" i="62"/>
  <c r="N39" i="62"/>
  <c r="P64" i="62"/>
  <c r="Q64" i="62"/>
  <c r="AF43" i="62"/>
  <c r="AE43" i="62"/>
  <c r="M50" i="62"/>
  <c r="N43" i="62"/>
  <c r="AF47" i="62"/>
  <c r="AE47" i="62"/>
  <c r="N47" i="62"/>
  <c r="N52" i="62"/>
  <c r="AF52" i="62"/>
  <c r="AE52" i="62"/>
  <c r="N25" i="62"/>
  <c r="AF25" i="62"/>
  <c r="AE25" i="62"/>
  <c r="AF41" i="62"/>
  <c r="AE41" i="62"/>
  <c r="N41" i="62"/>
  <c r="Q53" i="62"/>
  <c r="P53" i="62"/>
  <c r="N14" i="62"/>
  <c r="AF14" i="62"/>
  <c r="AE14" i="62"/>
  <c r="M20" i="62"/>
  <c r="N26" i="62"/>
  <c r="AF26" i="62"/>
  <c r="AE26" i="62"/>
  <c r="AF5" i="62"/>
  <c r="M10" i="62"/>
  <c r="AE5" i="62"/>
  <c r="N5" i="62"/>
  <c r="N12" i="62"/>
  <c r="AF12" i="62"/>
  <c r="AE12" i="62"/>
  <c r="P27" i="62"/>
  <c r="Q27" i="62"/>
  <c r="Q29" i="62"/>
  <c r="P29" i="62"/>
  <c r="AF57" i="62"/>
  <c r="AE57" i="62"/>
  <c r="N57" i="62"/>
  <c r="N63" i="62"/>
  <c r="AF63" i="62"/>
  <c r="AE63" i="62"/>
  <c r="AF6" i="62"/>
  <c r="AE6" i="62"/>
  <c r="N6" i="62"/>
  <c r="AF8" i="62"/>
  <c r="AE8" i="62"/>
  <c r="N8" i="62"/>
  <c r="Q16" i="62"/>
  <c r="P16" i="62"/>
  <c r="N48" i="62"/>
  <c r="AF48" i="62"/>
  <c r="AE48" i="62"/>
  <c r="Q35" i="62"/>
  <c r="P35" i="62"/>
  <c r="AF44" i="62"/>
  <c r="AE44" i="62"/>
  <c r="N44" i="62"/>
  <c r="AF46" i="62"/>
  <c r="AE46" i="62"/>
  <c r="N46" i="62"/>
  <c r="M60" i="62"/>
  <c r="N51" i="62"/>
  <c r="AF51" i="62"/>
  <c r="AE51" i="62"/>
  <c r="AF23" i="62"/>
  <c r="AE23" i="62"/>
  <c r="N23" i="62"/>
  <c r="N31" i="62"/>
  <c r="M34" i="62"/>
  <c r="AF31" i="62"/>
  <c r="AE31" i="62"/>
  <c r="N11" i="62"/>
  <c r="M13" i="62"/>
  <c r="AF11" i="62"/>
  <c r="AE11" i="62"/>
  <c r="N62" i="62"/>
  <c r="AF62" i="62"/>
  <c r="AE62" i="62"/>
  <c r="P30" i="62"/>
  <c r="Q30" i="62"/>
  <c r="Q32" i="62"/>
  <c r="P32" i="62"/>
  <c r="N68" i="62"/>
  <c r="AF68" i="62"/>
  <c r="M72" i="62"/>
  <c r="AE68" i="62"/>
  <c r="AF9" i="62"/>
  <c r="AE9" i="62"/>
  <c r="N9" i="62"/>
  <c r="F2" i="62"/>
  <c r="I3" i="61"/>
  <c r="AF24" i="62"/>
  <c r="AE24" i="62"/>
  <c r="N24" i="62"/>
  <c r="N49" i="62"/>
  <c r="AF49" i="62"/>
  <c r="AE49" i="62"/>
  <c r="Q69" i="62"/>
  <c r="P69" i="62"/>
  <c r="N65" i="62"/>
  <c r="AF65" i="62"/>
  <c r="AE65" i="62"/>
  <c r="AF18" i="62"/>
  <c r="AE35" i="62"/>
  <c r="AF37" i="62"/>
  <c r="M42" i="62"/>
  <c r="AF55" i="62"/>
  <c r="AF71" i="62"/>
  <c r="F6" i="61"/>
  <c r="G6" i="61"/>
  <c r="AF35" i="62"/>
  <c r="N7" i="62"/>
  <c r="N21" i="62"/>
  <c r="N22" i="62"/>
  <c r="N40" i="62"/>
  <c r="N45" i="62"/>
  <c r="N58" i="62"/>
  <c r="N19" i="62"/>
  <c r="AF27" i="62"/>
  <c r="AF30" i="62"/>
  <c r="N38" i="62"/>
  <c r="N56" i="62"/>
  <c r="N18" i="62"/>
  <c r="N37" i="62"/>
  <c r="N55" i="62"/>
  <c r="N71" i="62"/>
  <c r="M28" i="62"/>
  <c r="D21" i="61"/>
  <c r="Z2" i="62"/>
  <c r="L6" i="61" s="1"/>
  <c r="AE19" i="62"/>
  <c r="AE38" i="62"/>
  <c r="AE40" i="62"/>
  <c r="AE56" i="62"/>
  <c r="AD84" i="60"/>
  <c r="Z84" i="60"/>
  <c r="Y84" i="60"/>
  <c r="O84" i="60"/>
  <c r="M84" i="60"/>
  <c r="N84" i="60" s="1"/>
  <c r="K84" i="60"/>
  <c r="AF83" i="60"/>
  <c r="V83" i="60"/>
  <c r="U83" i="60"/>
  <c r="O83" i="60"/>
  <c r="N83" i="60"/>
  <c r="M83" i="60"/>
  <c r="AE83" i="60" s="1"/>
  <c r="K83" i="60"/>
  <c r="G83" i="60"/>
  <c r="AE82" i="60"/>
  <c r="X82" i="60"/>
  <c r="W82" i="60"/>
  <c r="V82" i="60"/>
  <c r="U82" i="60"/>
  <c r="P82" i="60"/>
  <c r="O82" i="60"/>
  <c r="N82" i="60"/>
  <c r="Q82" i="60" s="1"/>
  <c r="M82" i="60"/>
  <c r="AF82" i="60" s="1"/>
  <c r="K82" i="60"/>
  <c r="G82" i="60"/>
  <c r="AF81" i="60"/>
  <c r="V81" i="60"/>
  <c r="U81" i="60"/>
  <c r="O81" i="60"/>
  <c r="N81" i="60"/>
  <c r="M81" i="60"/>
  <c r="AE81" i="60" s="1"/>
  <c r="K81" i="60"/>
  <c r="G81" i="60"/>
  <c r="AE80" i="60"/>
  <c r="V80" i="60"/>
  <c r="U80" i="60"/>
  <c r="O80" i="60"/>
  <c r="N80" i="60"/>
  <c r="M80" i="60"/>
  <c r="AF80" i="60" s="1"/>
  <c r="K80" i="60"/>
  <c r="G80" i="60"/>
  <c r="AF79" i="60"/>
  <c r="V79" i="60"/>
  <c r="U79" i="60"/>
  <c r="O79" i="60"/>
  <c r="M79" i="60"/>
  <c r="K79" i="60"/>
  <c r="G79" i="60"/>
  <c r="AF78" i="60"/>
  <c r="AE78" i="60"/>
  <c r="V78" i="60"/>
  <c r="M78" i="60" s="1"/>
  <c r="N78" i="60" s="1"/>
  <c r="U78" i="60"/>
  <c r="O78" i="60"/>
  <c r="K78" i="60"/>
  <c r="G78" i="60"/>
  <c r="AF77" i="60"/>
  <c r="AE77" i="60"/>
  <c r="X77" i="60"/>
  <c r="W77" i="60"/>
  <c r="V77" i="60"/>
  <c r="O77" i="60"/>
  <c r="N77" i="60"/>
  <c r="M77" i="60"/>
  <c r="K77" i="60"/>
  <c r="G77" i="60"/>
  <c r="AF76" i="60"/>
  <c r="AD76" i="60"/>
  <c r="J21" i="59" s="1"/>
  <c r="Z76" i="60"/>
  <c r="Y76" i="60"/>
  <c r="O76" i="60"/>
  <c r="M76" i="60"/>
  <c r="AE76" i="60" s="1"/>
  <c r="K76" i="60"/>
  <c r="AF75" i="60"/>
  <c r="AE75" i="60"/>
  <c r="V75" i="60"/>
  <c r="M75" i="60" s="1"/>
  <c r="N75" i="60" s="1"/>
  <c r="U75" i="60"/>
  <c r="O75" i="60"/>
  <c r="K75" i="60"/>
  <c r="G75" i="60"/>
  <c r="AF74" i="60"/>
  <c r="AE74" i="60"/>
  <c r="V74" i="60"/>
  <c r="U74" i="60"/>
  <c r="Q74" i="60"/>
  <c r="O74" i="60"/>
  <c r="N74" i="60"/>
  <c r="P74" i="60" s="1"/>
  <c r="M74" i="60"/>
  <c r="K74" i="60"/>
  <c r="G74" i="60"/>
  <c r="AG73" i="60"/>
  <c r="AF73" i="60"/>
  <c r="AE73" i="60"/>
  <c r="V73" i="60"/>
  <c r="Q73" i="60"/>
  <c r="O73" i="60"/>
  <c r="N73" i="60"/>
  <c r="P73" i="60" s="1"/>
  <c r="M73" i="60"/>
  <c r="K73" i="60"/>
  <c r="G73" i="60"/>
  <c r="AD72" i="60"/>
  <c r="I21" i="59" s="1"/>
  <c r="Z72" i="60"/>
  <c r="Y72" i="60"/>
  <c r="O72" i="60"/>
  <c r="K72" i="60"/>
  <c r="AF71" i="60"/>
  <c r="AE71" i="60"/>
  <c r="V71" i="60"/>
  <c r="M71" i="60" s="1"/>
  <c r="N71" i="60" s="1"/>
  <c r="P71" i="60" s="1"/>
  <c r="U71" i="60"/>
  <c r="Q71" i="60"/>
  <c r="O71" i="60"/>
  <c r="K71" i="60"/>
  <c r="G71" i="60"/>
  <c r="AE70" i="60"/>
  <c r="X70" i="60"/>
  <c r="W70" i="60"/>
  <c r="V70" i="60"/>
  <c r="M70" i="60" s="1"/>
  <c r="U70" i="60"/>
  <c r="O70" i="60"/>
  <c r="K70" i="60"/>
  <c r="G70" i="60"/>
  <c r="AF69" i="60"/>
  <c r="AE69" i="60"/>
  <c r="V69" i="60"/>
  <c r="M69" i="60" s="1"/>
  <c r="N69" i="60" s="1"/>
  <c r="P69" i="60" s="1"/>
  <c r="U69" i="60"/>
  <c r="Q69" i="60"/>
  <c r="O69" i="60"/>
  <c r="K69" i="60"/>
  <c r="G69" i="60"/>
  <c r="AE68" i="60"/>
  <c r="V68" i="60"/>
  <c r="M68" i="60" s="1"/>
  <c r="AF68" i="60" s="1"/>
  <c r="U68" i="60"/>
  <c r="Q68" i="60"/>
  <c r="P68" i="60"/>
  <c r="O68" i="60"/>
  <c r="N68" i="60"/>
  <c r="K68" i="60"/>
  <c r="G68" i="60"/>
  <c r="V67" i="60"/>
  <c r="U67" i="60"/>
  <c r="O67" i="60"/>
  <c r="M67" i="60"/>
  <c r="K67" i="60"/>
  <c r="G67" i="60"/>
  <c r="V66" i="60"/>
  <c r="U66" i="60"/>
  <c r="Q66" i="60"/>
  <c r="P66" i="60"/>
  <c r="O66" i="60"/>
  <c r="N66" i="60"/>
  <c r="M66" i="60"/>
  <c r="AF66" i="60" s="1"/>
  <c r="K66" i="60"/>
  <c r="G66" i="60"/>
  <c r="V65" i="60"/>
  <c r="U65" i="60"/>
  <c r="Q65" i="60"/>
  <c r="P65" i="60"/>
  <c r="O65" i="60"/>
  <c r="N65" i="60"/>
  <c r="M65" i="60"/>
  <c r="K65" i="60"/>
  <c r="G65" i="60"/>
  <c r="V64" i="60"/>
  <c r="U64" i="60"/>
  <c r="O64" i="60"/>
  <c r="N64" i="60"/>
  <c r="Q64" i="60" s="1"/>
  <c r="M64" i="60"/>
  <c r="K64" i="60"/>
  <c r="G64" i="60"/>
  <c r="V63" i="60"/>
  <c r="O63" i="60"/>
  <c r="N63" i="60"/>
  <c r="Q63" i="60" s="1"/>
  <c r="M63" i="60"/>
  <c r="K63" i="60"/>
  <c r="G63" i="60"/>
  <c r="AF62" i="60"/>
  <c r="AG53" i="60" s="1"/>
  <c r="AD62" i="60"/>
  <c r="Z62" i="60"/>
  <c r="Y62" i="60"/>
  <c r="O62" i="60"/>
  <c r="M62" i="60"/>
  <c r="AE62" i="60" s="1"/>
  <c r="K62" i="60"/>
  <c r="AE61" i="60"/>
  <c r="V61" i="60"/>
  <c r="U61" i="60"/>
  <c r="O61" i="60"/>
  <c r="N61" i="60"/>
  <c r="M61" i="60"/>
  <c r="AF61" i="60" s="1"/>
  <c r="K61" i="60"/>
  <c r="G61" i="60"/>
  <c r="AF60" i="60"/>
  <c r="V60" i="60"/>
  <c r="U60" i="60"/>
  <c r="O60" i="60"/>
  <c r="M60" i="60"/>
  <c r="K60" i="60"/>
  <c r="G60" i="60"/>
  <c r="AF59" i="60"/>
  <c r="AE59" i="60"/>
  <c r="X59" i="60"/>
  <c r="W59" i="60"/>
  <c r="V59" i="60"/>
  <c r="U59" i="60"/>
  <c r="O59" i="60"/>
  <c r="N59" i="60"/>
  <c r="M59" i="60"/>
  <c r="K59" i="60"/>
  <c r="G59" i="60"/>
  <c r="AF58" i="60"/>
  <c r="V58" i="60"/>
  <c r="U58" i="60"/>
  <c r="O58" i="60"/>
  <c r="M58" i="60"/>
  <c r="K58" i="60"/>
  <c r="G58" i="60"/>
  <c r="AF57" i="60"/>
  <c r="AE57" i="60"/>
  <c r="V57" i="60"/>
  <c r="M57" i="60" s="1"/>
  <c r="N57" i="60" s="1"/>
  <c r="U57" i="60"/>
  <c r="O57" i="60"/>
  <c r="K57" i="60"/>
  <c r="G57" i="60"/>
  <c r="AF56" i="60"/>
  <c r="AE56" i="60"/>
  <c r="V56" i="60"/>
  <c r="U56" i="60"/>
  <c r="Q56" i="60"/>
  <c r="O56" i="60"/>
  <c r="N56" i="60"/>
  <c r="P56" i="60" s="1"/>
  <c r="M56" i="60"/>
  <c r="K56" i="60"/>
  <c r="G56" i="60"/>
  <c r="AF55" i="60"/>
  <c r="AE55" i="60"/>
  <c r="V55" i="60"/>
  <c r="M55" i="60" s="1"/>
  <c r="N55" i="60" s="1"/>
  <c r="Q55" i="60" s="1"/>
  <c r="U55" i="60"/>
  <c r="P55" i="60"/>
  <c r="O55" i="60"/>
  <c r="K55" i="60"/>
  <c r="G55" i="60"/>
  <c r="AF54" i="60"/>
  <c r="AE54" i="60"/>
  <c r="V54" i="60"/>
  <c r="M54" i="60" s="1"/>
  <c r="N54" i="60" s="1"/>
  <c r="P54" i="60" s="1"/>
  <c r="U54" i="60"/>
  <c r="Q54" i="60"/>
  <c r="O54" i="60"/>
  <c r="K54" i="60"/>
  <c r="G54" i="60"/>
  <c r="AF53" i="60"/>
  <c r="AE53" i="60"/>
  <c r="X53" i="60"/>
  <c r="W53" i="60"/>
  <c r="V53" i="60"/>
  <c r="Q53" i="60"/>
  <c r="O53" i="60"/>
  <c r="N53" i="60"/>
  <c r="P53" i="60" s="1"/>
  <c r="M53" i="60"/>
  <c r="K53" i="60"/>
  <c r="G53" i="60"/>
  <c r="AD52" i="60"/>
  <c r="Z52" i="60"/>
  <c r="Y52" i="60"/>
  <c r="O52" i="60"/>
  <c r="K52" i="60"/>
  <c r="AF51" i="60"/>
  <c r="AE51" i="60"/>
  <c r="V51" i="60"/>
  <c r="M51" i="60" s="1"/>
  <c r="N51" i="60" s="1"/>
  <c r="P51" i="60" s="1"/>
  <c r="U51" i="60"/>
  <c r="Q51" i="60"/>
  <c r="O51" i="60"/>
  <c r="K51" i="60"/>
  <c r="G51" i="60"/>
  <c r="AE50" i="60"/>
  <c r="V50" i="60"/>
  <c r="M50" i="60" s="1"/>
  <c r="AF50" i="60" s="1"/>
  <c r="U50" i="60"/>
  <c r="Q50" i="60"/>
  <c r="P50" i="60"/>
  <c r="O50" i="60"/>
  <c r="N50" i="60"/>
  <c r="K50" i="60"/>
  <c r="G50" i="60"/>
  <c r="X49" i="60"/>
  <c r="W49" i="60"/>
  <c r="V49" i="60"/>
  <c r="M49" i="60" s="1"/>
  <c r="U49" i="60"/>
  <c r="O49" i="60"/>
  <c r="K49" i="60"/>
  <c r="G49" i="60"/>
  <c r="AE48" i="60"/>
  <c r="V48" i="60"/>
  <c r="M48" i="60" s="1"/>
  <c r="AF48" i="60" s="1"/>
  <c r="U48" i="60"/>
  <c r="Q48" i="60"/>
  <c r="P48" i="60"/>
  <c r="O48" i="60"/>
  <c r="N48" i="60"/>
  <c r="K48" i="60"/>
  <c r="G48" i="60"/>
  <c r="V47" i="60"/>
  <c r="U47" i="60"/>
  <c r="O47" i="60"/>
  <c r="M47" i="60"/>
  <c r="K47" i="60"/>
  <c r="G47" i="60"/>
  <c r="V46" i="60"/>
  <c r="U46" i="60"/>
  <c r="Q46" i="60"/>
  <c r="P46" i="60"/>
  <c r="O46" i="60"/>
  <c r="N46" i="60"/>
  <c r="M46" i="60"/>
  <c r="AF46" i="60" s="1"/>
  <c r="K46" i="60"/>
  <c r="G46" i="60"/>
  <c r="X45" i="60"/>
  <c r="W45" i="60"/>
  <c r="V45" i="60"/>
  <c r="M45" i="60" s="1"/>
  <c r="O45" i="60"/>
  <c r="N45" i="60"/>
  <c r="Q45" i="60" s="1"/>
  <c r="K45" i="60"/>
  <c r="G45" i="60"/>
  <c r="AD44" i="60"/>
  <c r="Z44" i="60"/>
  <c r="Y44" i="60"/>
  <c r="Y2" i="60" s="1"/>
  <c r="K6" i="59" s="1"/>
  <c r="O44" i="60"/>
  <c r="K44" i="60"/>
  <c r="V43" i="60"/>
  <c r="U43" i="60"/>
  <c r="Q43" i="60"/>
  <c r="P43" i="60"/>
  <c r="O43" i="60"/>
  <c r="N43" i="60"/>
  <c r="M43" i="60"/>
  <c r="AF43" i="60" s="1"/>
  <c r="K43" i="60"/>
  <c r="G43" i="60"/>
  <c r="V42" i="60"/>
  <c r="U42" i="60"/>
  <c r="Q42" i="60"/>
  <c r="P42" i="60"/>
  <c r="O42" i="60"/>
  <c r="N42" i="60"/>
  <c r="M42" i="60"/>
  <c r="K42" i="60"/>
  <c r="G42" i="60"/>
  <c r="X41" i="60"/>
  <c r="W41" i="60"/>
  <c r="V41" i="60"/>
  <c r="U41" i="60"/>
  <c r="Q41" i="60"/>
  <c r="P41" i="60"/>
  <c r="O41" i="60"/>
  <c r="N41" i="60"/>
  <c r="M41" i="60"/>
  <c r="AF41" i="60" s="1"/>
  <c r="K41" i="60"/>
  <c r="G41" i="60"/>
  <c r="V40" i="60"/>
  <c r="U40" i="60"/>
  <c r="Q40" i="60"/>
  <c r="P40" i="60"/>
  <c r="O40" i="60"/>
  <c r="N40" i="60"/>
  <c r="M40" i="60"/>
  <c r="K40" i="60"/>
  <c r="G40" i="60"/>
  <c r="V39" i="60"/>
  <c r="U39" i="60"/>
  <c r="P39" i="60"/>
  <c r="O39" i="60"/>
  <c r="N39" i="60"/>
  <c r="Q39" i="60" s="1"/>
  <c r="M39" i="60"/>
  <c r="K39" i="60"/>
  <c r="G39" i="60"/>
  <c r="AF38" i="60"/>
  <c r="V38" i="60"/>
  <c r="U38" i="60"/>
  <c r="O38" i="60"/>
  <c r="N38" i="60"/>
  <c r="M38" i="60"/>
  <c r="AE38" i="60" s="1"/>
  <c r="K38" i="60"/>
  <c r="G38" i="60"/>
  <c r="AF37" i="60"/>
  <c r="X37" i="60"/>
  <c r="W37" i="60"/>
  <c r="V37" i="60"/>
  <c r="O37" i="60"/>
  <c r="N37" i="60"/>
  <c r="Q37" i="60" s="1"/>
  <c r="M37" i="60"/>
  <c r="K37" i="60"/>
  <c r="G37" i="60"/>
  <c r="AD36" i="60"/>
  <c r="Z36" i="60"/>
  <c r="Y36" i="60"/>
  <c r="O36" i="60"/>
  <c r="M36" i="60"/>
  <c r="N36" i="60" s="1"/>
  <c r="K36" i="60"/>
  <c r="AF35" i="60"/>
  <c r="V35" i="60"/>
  <c r="U35" i="60"/>
  <c r="O35" i="60"/>
  <c r="N35" i="60"/>
  <c r="M35" i="60"/>
  <c r="AE35" i="60" s="1"/>
  <c r="K35" i="60"/>
  <c r="G35" i="60"/>
  <c r="AE34" i="60"/>
  <c r="V34" i="60"/>
  <c r="U34" i="60"/>
  <c r="O34" i="60"/>
  <c r="N34" i="60"/>
  <c r="M34" i="60"/>
  <c r="AF34" i="60" s="1"/>
  <c r="K34" i="60"/>
  <c r="G34" i="60"/>
  <c r="AF33" i="60"/>
  <c r="X33" i="60"/>
  <c r="W33" i="60"/>
  <c r="V33" i="60"/>
  <c r="U33" i="60"/>
  <c r="O33" i="60"/>
  <c r="N33" i="60"/>
  <c r="M33" i="60"/>
  <c r="AE33" i="60" s="1"/>
  <c r="K33" i="60"/>
  <c r="G33" i="60"/>
  <c r="AE32" i="60"/>
  <c r="V32" i="60"/>
  <c r="U32" i="60"/>
  <c r="O32" i="60"/>
  <c r="N32" i="60"/>
  <c r="M32" i="60"/>
  <c r="AF32" i="60" s="1"/>
  <c r="K32" i="60"/>
  <c r="G32" i="60"/>
  <c r="AF31" i="60"/>
  <c r="V31" i="60"/>
  <c r="U31" i="60"/>
  <c r="O31" i="60"/>
  <c r="M31" i="60"/>
  <c r="K31" i="60"/>
  <c r="G31" i="60"/>
  <c r="AF30" i="60"/>
  <c r="AE30" i="60"/>
  <c r="V30" i="60"/>
  <c r="M30" i="60" s="1"/>
  <c r="N30" i="60" s="1"/>
  <c r="U30" i="60"/>
  <c r="O30" i="60"/>
  <c r="K30" i="60"/>
  <c r="G30" i="60"/>
  <c r="AF29" i="60"/>
  <c r="AE29" i="60"/>
  <c r="V29" i="60"/>
  <c r="U29" i="60"/>
  <c r="Q29" i="60"/>
  <c r="O29" i="60"/>
  <c r="N29" i="60"/>
  <c r="P29" i="60" s="1"/>
  <c r="M29" i="60"/>
  <c r="K29" i="60"/>
  <c r="G29" i="60"/>
  <c r="AF28" i="60"/>
  <c r="AE28" i="60"/>
  <c r="V28" i="60"/>
  <c r="M28" i="60" s="1"/>
  <c r="N28" i="60" s="1"/>
  <c r="U28" i="60"/>
  <c r="Q28" i="60"/>
  <c r="P28" i="60"/>
  <c r="O28" i="60"/>
  <c r="K28" i="60"/>
  <c r="G28" i="60"/>
  <c r="AF27" i="60"/>
  <c r="AE27" i="60"/>
  <c r="V27" i="60"/>
  <c r="M27" i="60" s="1"/>
  <c r="N27" i="60" s="1"/>
  <c r="Q27" i="60"/>
  <c r="P27" i="60"/>
  <c r="O27" i="60"/>
  <c r="K27" i="60"/>
  <c r="G27" i="60"/>
  <c r="AD26" i="60"/>
  <c r="Z26" i="60"/>
  <c r="F19" i="59" s="1"/>
  <c r="Y26" i="60"/>
  <c r="O26" i="60"/>
  <c r="K26" i="60"/>
  <c r="AE25" i="60"/>
  <c r="V25" i="60"/>
  <c r="M25" i="60" s="1"/>
  <c r="AF25" i="60" s="1"/>
  <c r="U25" i="60"/>
  <c r="Q25" i="60"/>
  <c r="P25" i="60"/>
  <c r="O25" i="60"/>
  <c r="N25" i="60"/>
  <c r="K25" i="60"/>
  <c r="G25" i="60"/>
  <c r="V24" i="60"/>
  <c r="U24" i="60"/>
  <c r="Q24" i="60"/>
  <c r="P24" i="60"/>
  <c r="O24" i="60"/>
  <c r="N24" i="60"/>
  <c r="M24" i="60"/>
  <c r="K24" i="60"/>
  <c r="G24" i="60"/>
  <c r="X23" i="60"/>
  <c r="W23" i="60"/>
  <c r="V23" i="60"/>
  <c r="M23" i="60" s="1"/>
  <c r="U23" i="60"/>
  <c r="Q23" i="60"/>
  <c r="P23" i="60"/>
  <c r="O23" i="60"/>
  <c r="N23" i="60"/>
  <c r="K23" i="60"/>
  <c r="G23" i="60"/>
  <c r="V22" i="60"/>
  <c r="U22" i="60"/>
  <c r="O22" i="60"/>
  <c r="M22" i="60"/>
  <c r="N22" i="60" s="1"/>
  <c r="K22" i="60"/>
  <c r="G22" i="60"/>
  <c r="V21" i="60"/>
  <c r="U21" i="60"/>
  <c r="Q21" i="60"/>
  <c r="P21" i="60"/>
  <c r="O21" i="60"/>
  <c r="N21" i="60"/>
  <c r="M21" i="60"/>
  <c r="K21" i="60"/>
  <c r="G21" i="60"/>
  <c r="V20" i="60"/>
  <c r="U20" i="60"/>
  <c r="O20" i="60"/>
  <c r="N20" i="60"/>
  <c r="Q20" i="60" s="1"/>
  <c r="M20" i="60"/>
  <c r="K20" i="60"/>
  <c r="G20" i="60"/>
  <c r="V19" i="60"/>
  <c r="U19" i="60"/>
  <c r="P19" i="60"/>
  <c r="O19" i="60"/>
  <c r="N19" i="60"/>
  <c r="Q19" i="60" s="1"/>
  <c r="M19" i="60"/>
  <c r="K19" i="60"/>
  <c r="G19" i="60"/>
  <c r="AF18" i="60"/>
  <c r="V18" i="60"/>
  <c r="U18" i="60"/>
  <c r="O18" i="60"/>
  <c r="N18" i="60"/>
  <c r="M18" i="60"/>
  <c r="AE18" i="60" s="1"/>
  <c r="K18" i="60"/>
  <c r="G18" i="60"/>
  <c r="AF17" i="60"/>
  <c r="V17" i="60"/>
  <c r="O17" i="60"/>
  <c r="N17" i="60"/>
  <c r="M17" i="60"/>
  <c r="K17" i="60"/>
  <c r="G17" i="60"/>
  <c r="AD16" i="60"/>
  <c r="Z16" i="60"/>
  <c r="Y16" i="60"/>
  <c r="O16" i="60"/>
  <c r="M16" i="60"/>
  <c r="AE16" i="60" s="1"/>
  <c r="K16" i="60"/>
  <c r="E13" i="59" s="1"/>
  <c r="AF15" i="60"/>
  <c r="V15" i="60"/>
  <c r="U15" i="60"/>
  <c r="O15" i="60"/>
  <c r="M15" i="60"/>
  <c r="N15" i="60" s="1"/>
  <c r="K15" i="60"/>
  <c r="G15" i="60"/>
  <c r="AF14" i="60"/>
  <c r="AE14" i="60"/>
  <c r="V14" i="60"/>
  <c r="O14" i="60"/>
  <c r="M14" i="60"/>
  <c r="N14" i="60" s="1"/>
  <c r="K14" i="60"/>
  <c r="G14" i="60"/>
  <c r="AD13" i="60"/>
  <c r="AD2" i="60" s="1"/>
  <c r="Z13" i="60"/>
  <c r="D19" i="59" s="1"/>
  <c r="Y13" i="60"/>
  <c r="O13" i="60"/>
  <c r="M13" i="60"/>
  <c r="N13" i="60" s="1"/>
  <c r="K13" i="60"/>
  <c r="D13" i="59" s="1"/>
  <c r="AF12" i="60"/>
  <c r="AE12" i="60"/>
  <c r="V12" i="60"/>
  <c r="U12" i="60"/>
  <c r="Q12" i="60"/>
  <c r="O12" i="60"/>
  <c r="N12" i="60"/>
  <c r="P12" i="60" s="1"/>
  <c r="M12" i="60"/>
  <c r="K12" i="60"/>
  <c r="G12" i="60"/>
  <c r="AF11" i="60"/>
  <c r="AE11" i="60"/>
  <c r="V11" i="60"/>
  <c r="M11" i="60" s="1"/>
  <c r="N11" i="60" s="1"/>
  <c r="U11" i="60"/>
  <c r="Q11" i="60"/>
  <c r="P11" i="60"/>
  <c r="O11" i="60"/>
  <c r="K11" i="60"/>
  <c r="G11" i="60"/>
  <c r="AF10" i="60"/>
  <c r="AE10" i="60"/>
  <c r="X10" i="60"/>
  <c r="W10" i="60"/>
  <c r="V10" i="60"/>
  <c r="U10" i="60"/>
  <c r="Q10" i="60"/>
  <c r="O10" i="60"/>
  <c r="N10" i="60"/>
  <c r="P10" i="60" s="1"/>
  <c r="M10" i="60"/>
  <c r="K10" i="60"/>
  <c r="G10" i="60"/>
  <c r="AF9" i="60"/>
  <c r="AE9" i="60"/>
  <c r="V9" i="60"/>
  <c r="M9" i="60" s="1"/>
  <c r="N9" i="60" s="1"/>
  <c r="U9" i="60"/>
  <c r="Q9" i="60"/>
  <c r="P9" i="60"/>
  <c r="O9" i="60"/>
  <c r="K9" i="60"/>
  <c r="G9" i="60"/>
  <c r="AF8" i="60"/>
  <c r="AE8" i="60"/>
  <c r="V8" i="60"/>
  <c r="M8" i="60" s="1"/>
  <c r="N8" i="60" s="1"/>
  <c r="U8" i="60"/>
  <c r="Q8" i="60"/>
  <c r="P8" i="60"/>
  <c r="O8" i="60"/>
  <c r="K8" i="60"/>
  <c r="G8" i="60"/>
  <c r="AE7" i="60"/>
  <c r="V7" i="60"/>
  <c r="M7" i="60" s="1"/>
  <c r="AF7" i="60" s="1"/>
  <c r="U7" i="60"/>
  <c r="Q7" i="60"/>
  <c r="P7" i="60"/>
  <c r="O7" i="60"/>
  <c r="N7" i="60"/>
  <c r="K7" i="60"/>
  <c r="G7" i="60"/>
  <c r="V6" i="60"/>
  <c r="U6" i="60"/>
  <c r="O6" i="60"/>
  <c r="M6" i="60"/>
  <c r="N6" i="60" s="1"/>
  <c r="K6" i="60"/>
  <c r="G6" i="60"/>
  <c r="V5" i="60"/>
  <c r="Q5" i="60"/>
  <c r="P5" i="60"/>
  <c r="O5" i="60"/>
  <c r="N5" i="60"/>
  <c r="M5" i="60"/>
  <c r="K5" i="60"/>
  <c r="G5" i="60"/>
  <c r="Z2" i="60"/>
  <c r="L6" i="59" s="1"/>
  <c r="H2" i="60"/>
  <c r="H1" i="60"/>
  <c r="F1" i="60"/>
  <c r="I3" i="59" s="1"/>
  <c r="D1" i="60"/>
  <c r="M22" i="59"/>
  <c r="L22" i="59"/>
  <c r="K22" i="59"/>
  <c r="J22" i="59"/>
  <c r="I22" i="59"/>
  <c r="H22" i="59"/>
  <c r="G22" i="59"/>
  <c r="F22" i="59"/>
  <c r="E22" i="59"/>
  <c r="D22" i="59"/>
  <c r="M21" i="59"/>
  <c r="L21" i="59"/>
  <c r="K21" i="59"/>
  <c r="H21" i="59"/>
  <c r="G21" i="59"/>
  <c r="F21" i="59"/>
  <c r="E21" i="59"/>
  <c r="D21" i="59"/>
  <c r="M20" i="59"/>
  <c r="L20" i="59"/>
  <c r="K20" i="59"/>
  <c r="J20" i="59"/>
  <c r="I20" i="59"/>
  <c r="H20" i="59"/>
  <c r="G20" i="59"/>
  <c r="F20" i="59"/>
  <c r="E20" i="59"/>
  <c r="D20" i="59"/>
  <c r="M19" i="59"/>
  <c r="L19" i="59"/>
  <c r="K19" i="59"/>
  <c r="J19" i="59"/>
  <c r="I19" i="59"/>
  <c r="H19" i="59"/>
  <c r="G19" i="59"/>
  <c r="E19" i="59"/>
  <c r="M18" i="59"/>
  <c r="L18" i="59"/>
  <c r="K18" i="59"/>
  <c r="J18" i="59"/>
  <c r="I18" i="59"/>
  <c r="H18" i="59"/>
  <c r="G18" i="59"/>
  <c r="F18" i="59"/>
  <c r="E18" i="59"/>
  <c r="D18" i="59"/>
  <c r="M17" i="59"/>
  <c r="L17" i="59"/>
  <c r="K17" i="59"/>
  <c r="J17" i="59"/>
  <c r="I17" i="59"/>
  <c r="H17" i="59"/>
  <c r="G17" i="59"/>
  <c r="F17" i="59"/>
  <c r="E17" i="59"/>
  <c r="D17" i="59"/>
  <c r="M16" i="59"/>
  <c r="L16" i="59"/>
  <c r="K16" i="59"/>
  <c r="J16" i="59"/>
  <c r="I16" i="59"/>
  <c r="H16" i="59"/>
  <c r="G16" i="59"/>
  <c r="F16" i="59"/>
  <c r="E16" i="59"/>
  <c r="D16" i="59"/>
  <c r="D14" i="59"/>
  <c r="M13" i="59"/>
  <c r="L13" i="59"/>
  <c r="K13" i="59"/>
  <c r="J13" i="59"/>
  <c r="I13" i="59"/>
  <c r="H13" i="59"/>
  <c r="G13" i="59"/>
  <c r="F13" i="59"/>
  <c r="N6" i="59"/>
  <c r="M6" i="59"/>
  <c r="I6" i="59"/>
  <c r="G6" i="59"/>
  <c r="F6" i="59"/>
  <c r="E6" i="59"/>
  <c r="F3" i="59"/>
  <c r="C3" i="59"/>
  <c r="F8" i="67" l="1"/>
  <c r="G8" i="67"/>
  <c r="E8" i="67"/>
  <c r="D15" i="65"/>
  <c r="G7" i="65"/>
  <c r="F7" i="65"/>
  <c r="E7" i="65"/>
  <c r="I7" i="65"/>
  <c r="K15" i="65"/>
  <c r="I8" i="65" s="1"/>
  <c r="Q28" i="64"/>
  <c r="R21" i="64" s="1"/>
  <c r="P28" i="64"/>
  <c r="G14" i="63"/>
  <c r="G15" i="63" s="1"/>
  <c r="P13" i="64"/>
  <c r="E14" i="63"/>
  <c r="E15" i="63" s="1"/>
  <c r="Q13" i="64"/>
  <c r="R11" i="64" s="1"/>
  <c r="Q65" i="64"/>
  <c r="R60" i="64" s="1"/>
  <c r="P65" i="64"/>
  <c r="J14" i="63"/>
  <c r="J15" i="63" s="1"/>
  <c r="Q71" i="64"/>
  <c r="R66" i="64" s="1"/>
  <c r="P71" i="64"/>
  <c r="M14" i="63"/>
  <c r="M15" i="63" s="1"/>
  <c r="Q20" i="64"/>
  <c r="R14" i="64" s="1"/>
  <c r="P20" i="64"/>
  <c r="F14" i="63"/>
  <c r="F15" i="63" s="1"/>
  <c r="Q41" i="64"/>
  <c r="R35" i="64" s="1"/>
  <c r="P41" i="64"/>
  <c r="L14" i="63"/>
  <c r="L15" i="63" s="1"/>
  <c r="I14" i="63"/>
  <c r="I15" i="63" s="1"/>
  <c r="Q59" i="64"/>
  <c r="R50" i="64" s="1"/>
  <c r="P59" i="64"/>
  <c r="Q49" i="64"/>
  <c r="R42" i="64" s="1"/>
  <c r="P49" i="64"/>
  <c r="H14" i="63"/>
  <c r="H15" i="63" s="1"/>
  <c r="Q34" i="64"/>
  <c r="R29" i="64" s="1"/>
  <c r="P34" i="64"/>
  <c r="K14" i="63"/>
  <c r="D2" i="64"/>
  <c r="D14" i="63"/>
  <c r="Q10" i="64"/>
  <c r="R5" i="64" s="1"/>
  <c r="P10" i="64"/>
  <c r="AF42" i="62"/>
  <c r="AG35" i="62" s="1"/>
  <c r="AE42" i="62"/>
  <c r="N42" i="62"/>
  <c r="Q58" i="62"/>
  <c r="P58" i="62"/>
  <c r="AE34" i="62"/>
  <c r="N34" i="62"/>
  <c r="AF34" i="62"/>
  <c r="AG29" i="62" s="1"/>
  <c r="Q44" i="62"/>
  <c r="P44" i="62"/>
  <c r="AF20" i="62"/>
  <c r="AG14" i="62" s="1"/>
  <c r="AE20" i="62"/>
  <c r="N20" i="62"/>
  <c r="Q39" i="62"/>
  <c r="P39" i="62"/>
  <c r="Q45" i="62"/>
  <c r="P45" i="62"/>
  <c r="Q31" i="62"/>
  <c r="P31" i="62"/>
  <c r="Q6" i="62"/>
  <c r="P6" i="62"/>
  <c r="Q68" i="62"/>
  <c r="P68" i="62"/>
  <c r="Q25" i="62"/>
  <c r="P25" i="62"/>
  <c r="N28" i="62"/>
  <c r="AF28" i="62"/>
  <c r="AG21" i="62" s="1"/>
  <c r="AE28" i="62"/>
  <c r="Q40" i="62"/>
  <c r="P40" i="62"/>
  <c r="Q23" i="62"/>
  <c r="P23" i="62"/>
  <c r="Q52" i="62"/>
  <c r="P52" i="62"/>
  <c r="Q71" i="62"/>
  <c r="P71" i="62"/>
  <c r="Q22" i="62"/>
  <c r="P22" i="62"/>
  <c r="Q14" i="62"/>
  <c r="P14" i="62"/>
  <c r="Q47" i="62"/>
  <c r="P47" i="62"/>
  <c r="Q49" i="62"/>
  <c r="P49" i="62"/>
  <c r="Q26" i="62"/>
  <c r="P26" i="62"/>
  <c r="Q55" i="62"/>
  <c r="P55" i="62"/>
  <c r="Q21" i="62"/>
  <c r="P21" i="62"/>
  <c r="Q9" i="62"/>
  <c r="P9" i="62"/>
  <c r="Q12" i="62"/>
  <c r="P12" i="62"/>
  <c r="Q37" i="62"/>
  <c r="P37" i="62"/>
  <c r="Q7" i="62"/>
  <c r="P7" i="62"/>
  <c r="Q65" i="62"/>
  <c r="P65" i="62"/>
  <c r="Q62" i="62"/>
  <c r="P62" i="62"/>
  <c r="Q5" i="62"/>
  <c r="P5" i="62"/>
  <c r="Q15" i="62"/>
  <c r="P15" i="62"/>
  <c r="Q18" i="62"/>
  <c r="P18" i="62"/>
  <c r="Q63" i="62"/>
  <c r="P63" i="62"/>
  <c r="Q41" i="62"/>
  <c r="P41" i="62"/>
  <c r="Q43" i="62"/>
  <c r="P43" i="62"/>
  <c r="Q56" i="62"/>
  <c r="P56" i="62"/>
  <c r="Q51" i="62"/>
  <c r="P51" i="62"/>
  <c r="Q48" i="62"/>
  <c r="P48" i="62"/>
  <c r="Q57" i="62"/>
  <c r="P57" i="62"/>
  <c r="N10" i="62"/>
  <c r="AF10" i="62"/>
  <c r="AG5" i="62" s="1"/>
  <c r="AE10" i="62"/>
  <c r="N50" i="62"/>
  <c r="AF50" i="62"/>
  <c r="AG43" i="62" s="1"/>
  <c r="AE50" i="62"/>
  <c r="N66" i="62"/>
  <c r="AF66" i="62"/>
  <c r="AG61" i="62" s="1"/>
  <c r="AE66" i="62"/>
  <c r="Q8" i="62"/>
  <c r="P8" i="62"/>
  <c r="Q38" i="62"/>
  <c r="P38" i="62"/>
  <c r="AF72" i="62"/>
  <c r="AG67" i="62" s="1"/>
  <c r="AE72" i="62"/>
  <c r="N72" i="62"/>
  <c r="N13" i="62"/>
  <c r="AF13" i="62"/>
  <c r="AG11" i="62" s="1"/>
  <c r="AE13" i="62"/>
  <c r="N60" i="62"/>
  <c r="AF60" i="62"/>
  <c r="AG51" i="62" s="1"/>
  <c r="AE60" i="62"/>
  <c r="Q19" i="62"/>
  <c r="P19" i="62"/>
  <c r="Q24" i="62"/>
  <c r="P24" i="62"/>
  <c r="Q11" i="62"/>
  <c r="P11" i="62"/>
  <c r="Q46" i="62"/>
  <c r="P46" i="62"/>
  <c r="Q61" i="62"/>
  <c r="P61" i="62"/>
  <c r="Q22" i="60"/>
  <c r="P22" i="60"/>
  <c r="P6" i="60"/>
  <c r="Q6" i="60"/>
  <c r="G14" i="59"/>
  <c r="G15" i="59" s="1"/>
  <c r="P36" i="60"/>
  <c r="Q36" i="60"/>
  <c r="R27" i="60" s="1"/>
  <c r="Q84" i="60"/>
  <c r="R77" i="60" s="1"/>
  <c r="P84" i="60"/>
  <c r="M14" i="59"/>
  <c r="M15" i="59" s="1"/>
  <c r="D15" i="59"/>
  <c r="N16" i="60"/>
  <c r="E14" i="59" s="1"/>
  <c r="E15" i="59" s="1"/>
  <c r="P20" i="60"/>
  <c r="P64" i="60"/>
  <c r="F2" i="60"/>
  <c r="AE13" i="60"/>
  <c r="AF16" i="60"/>
  <c r="AG14" i="60" s="1"/>
  <c r="P37" i="60"/>
  <c r="P45" i="60"/>
  <c r="N62" i="60"/>
  <c r="P62" i="60" s="1"/>
  <c r="P63" i="60"/>
  <c r="N76" i="60"/>
  <c r="J14" i="59" s="1"/>
  <c r="J15" i="59" s="1"/>
  <c r="AF13" i="60"/>
  <c r="AG5" i="60" s="1"/>
  <c r="AE15" i="60"/>
  <c r="AF5" i="60"/>
  <c r="AE5" i="60"/>
  <c r="AF6" i="60"/>
  <c r="AE6" i="60"/>
  <c r="Q13" i="60"/>
  <c r="R5" i="60" s="1"/>
  <c r="P13" i="60"/>
  <c r="Q14" i="60"/>
  <c r="P14" i="60"/>
  <c r="Q15" i="60"/>
  <c r="P15" i="60"/>
  <c r="Q16" i="60"/>
  <c r="R14" i="60" s="1"/>
  <c r="P16" i="60"/>
  <c r="AE17" i="60"/>
  <c r="M26" i="60"/>
  <c r="Q17" i="60"/>
  <c r="P17" i="60"/>
  <c r="Q18" i="60"/>
  <c r="P18" i="60"/>
  <c r="AF19" i="60"/>
  <c r="AE19" i="60"/>
  <c r="AF20" i="60"/>
  <c r="AE20" i="60"/>
  <c r="AF21" i="60"/>
  <c r="AE21" i="60"/>
  <c r="AF22" i="60"/>
  <c r="AE22" i="60"/>
  <c r="AF23" i="60"/>
  <c r="AE23" i="60"/>
  <c r="AF24" i="60"/>
  <c r="AE24" i="60"/>
  <c r="Q30" i="60"/>
  <c r="P30" i="60"/>
  <c r="N31" i="60"/>
  <c r="AE31" i="60"/>
  <c r="Q32" i="60"/>
  <c r="P32" i="60"/>
  <c r="Q33" i="60"/>
  <c r="P33" i="60"/>
  <c r="Q34" i="60"/>
  <c r="P34" i="60"/>
  <c r="Q35" i="60"/>
  <c r="P35" i="60"/>
  <c r="AF36" i="60"/>
  <c r="AG27" i="60" s="1"/>
  <c r="AE36" i="60"/>
  <c r="M44" i="60"/>
  <c r="N44" i="60" s="1"/>
  <c r="AE37" i="60"/>
  <c r="Q38" i="60"/>
  <c r="P38" i="60"/>
  <c r="AF39" i="60"/>
  <c r="AE39" i="60"/>
  <c r="AF40" i="60"/>
  <c r="AE40" i="60"/>
  <c r="AF42" i="60"/>
  <c r="AE42" i="60"/>
  <c r="AF45" i="60"/>
  <c r="M52" i="60"/>
  <c r="AE45" i="60"/>
  <c r="AF47" i="60"/>
  <c r="AE47" i="60"/>
  <c r="N47" i="60"/>
  <c r="N49" i="60"/>
  <c r="AF49" i="60"/>
  <c r="AE49" i="60"/>
  <c r="Q57" i="60"/>
  <c r="P57" i="60"/>
  <c r="N58" i="60"/>
  <c r="AE58" i="60"/>
  <c r="Q59" i="60"/>
  <c r="P59" i="60"/>
  <c r="N60" i="60"/>
  <c r="AE60" i="60"/>
  <c r="Q61" i="60"/>
  <c r="P61" i="60"/>
  <c r="H14" i="59"/>
  <c r="H15" i="59" s="1"/>
  <c r="AF63" i="60"/>
  <c r="AE63" i="60"/>
  <c r="M72" i="60"/>
  <c r="AF64" i="60"/>
  <c r="AE64" i="60"/>
  <c r="AF65" i="60"/>
  <c r="AE65" i="60"/>
  <c r="AF67" i="60"/>
  <c r="AE67" i="60"/>
  <c r="N67" i="60"/>
  <c r="N70" i="60"/>
  <c r="AF70" i="60"/>
  <c r="Q75" i="60"/>
  <c r="P75" i="60"/>
  <c r="Q76" i="60"/>
  <c r="R73" i="60" s="1"/>
  <c r="P76" i="60"/>
  <c r="Q77" i="60"/>
  <c r="P77" i="60"/>
  <c r="Q78" i="60"/>
  <c r="P78" i="60"/>
  <c r="N79" i="60"/>
  <c r="AE79" i="60"/>
  <c r="Q80" i="60"/>
  <c r="P80" i="60"/>
  <c r="Q81" i="60"/>
  <c r="P81" i="60"/>
  <c r="Q83" i="60"/>
  <c r="P83" i="60"/>
  <c r="AF84" i="60"/>
  <c r="AG77" i="60" s="1"/>
  <c r="AE84" i="60"/>
  <c r="AE43" i="60"/>
  <c r="AE46" i="60"/>
  <c r="AE66" i="60"/>
  <c r="AE41" i="60"/>
  <c r="M22" i="58"/>
  <c r="L22" i="58"/>
  <c r="K22" i="58"/>
  <c r="J22" i="58"/>
  <c r="I22" i="58"/>
  <c r="H22" i="58"/>
  <c r="G22" i="58"/>
  <c r="F22" i="58"/>
  <c r="E22" i="58"/>
  <c r="D22" i="58"/>
  <c r="M21" i="58"/>
  <c r="L21" i="58"/>
  <c r="K21" i="58"/>
  <c r="J21" i="58"/>
  <c r="I21" i="58"/>
  <c r="H21" i="58"/>
  <c r="G21" i="58"/>
  <c r="F21" i="58"/>
  <c r="E21" i="58"/>
  <c r="D21" i="58"/>
  <c r="M20" i="58"/>
  <c r="L20" i="58"/>
  <c r="K20" i="58"/>
  <c r="J20" i="58"/>
  <c r="I20" i="58"/>
  <c r="H20" i="58"/>
  <c r="G20" i="58"/>
  <c r="F20" i="58"/>
  <c r="E20" i="58"/>
  <c r="D20" i="58"/>
  <c r="M19" i="58"/>
  <c r="L19" i="58"/>
  <c r="K19" i="58"/>
  <c r="J19" i="58"/>
  <c r="I19" i="58"/>
  <c r="H19" i="58"/>
  <c r="G19" i="58"/>
  <c r="F19" i="58"/>
  <c r="E19" i="58"/>
  <c r="D19" i="58"/>
  <c r="M18" i="58"/>
  <c r="L18" i="58"/>
  <c r="K18" i="58"/>
  <c r="J18" i="58"/>
  <c r="I18" i="58"/>
  <c r="H18" i="58"/>
  <c r="G18" i="58"/>
  <c r="F18" i="58"/>
  <c r="E18" i="58"/>
  <c r="D18" i="58"/>
  <c r="M17" i="58"/>
  <c r="L17" i="58"/>
  <c r="K17" i="58"/>
  <c r="J17" i="58"/>
  <c r="I17" i="58"/>
  <c r="H17" i="58"/>
  <c r="G17" i="58"/>
  <c r="F17" i="58"/>
  <c r="E17" i="58"/>
  <c r="D17" i="58"/>
  <c r="M16" i="58"/>
  <c r="L16" i="58"/>
  <c r="K16" i="58"/>
  <c r="J16" i="58"/>
  <c r="I16" i="58"/>
  <c r="H16" i="58"/>
  <c r="G16" i="58"/>
  <c r="F16" i="58"/>
  <c r="E16" i="58"/>
  <c r="D16" i="58"/>
  <c r="M14" i="58"/>
  <c r="M15" i="58" s="1"/>
  <c r="L14" i="58"/>
  <c r="L15" i="58" s="1"/>
  <c r="K14" i="58"/>
  <c r="J14" i="58"/>
  <c r="I14" i="58"/>
  <c r="H14" i="58"/>
  <c r="G14" i="58"/>
  <c r="F14" i="58"/>
  <c r="E14" i="58"/>
  <c r="D14" i="58"/>
  <c r="F7" i="58" s="1"/>
  <c r="M13" i="58"/>
  <c r="L13" i="58"/>
  <c r="K13" i="58"/>
  <c r="K15" i="58" s="1"/>
  <c r="J13" i="58"/>
  <c r="J15" i="58" s="1"/>
  <c r="I13" i="58"/>
  <c r="H13" i="58"/>
  <c r="G13" i="58"/>
  <c r="F13" i="58"/>
  <c r="E13" i="58"/>
  <c r="D13" i="58"/>
  <c r="N6" i="58"/>
  <c r="M6" i="58"/>
  <c r="L6" i="58"/>
  <c r="K6" i="58"/>
  <c r="I3" i="58"/>
  <c r="F3" i="58"/>
  <c r="C3" i="58"/>
  <c r="I15" i="58"/>
  <c r="H15" i="58"/>
  <c r="G15" i="58"/>
  <c r="F15" i="58"/>
  <c r="E15" i="58"/>
  <c r="D15" i="58"/>
  <c r="G8" i="65" l="1"/>
  <c r="F8" i="65"/>
  <c r="E8" i="65"/>
  <c r="K15" i="63"/>
  <c r="I8" i="63" s="1"/>
  <c r="I7" i="63"/>
  <c r="D15" i="63"/>
  <c r="G7" i="63"/>
  <c r="F7" i="63"/>
  <c r="E7" i="63"/>
  <c r="D2" i="62"/>
  <c r="D14" i="61"/>
  <c r="Q10" i="62"/>
  <c r="R5" i="62" s="1"/>
  <c r="P10" i="62"/>
  <c r="Q34" i="62"/>
  <c r="R29" i="62" s="1"/>
  <c r="P34" i="62"/>
  <c r="K14" i="61"/>
  <c r="Q60" i="62"/>
  <c r="R51" i="62" s="1"/>
  <c r="I14" i="61"/>
  <c r="I15" i="61" s="1"/>
  <c r="P60" i="62"/>
  <c r="Q13" i="62"/>
  <c r="R11" i="62" s="1"/>
  <c r="P13" i="62"/>
  <c r="E14" i="61"/>
  <c r="E15" i="61" s="1"/>
  <c r="Q42" i="62"/>
  <c r="R35" i="62" s="1"/>
  <c r="P42" i="62"/>
  <c r="L14" i="61"/>
  <c r="L15" i="61" s="1"/>
  <c r="Q66" i="62"/>
  <c r="R61" i="62" s="1"/>
  <c r="P66" i="62"/>
  <c r="J14" i="61"/>
  <c r="J15" i="61" s="1"/>
  <c r="Q72" i="62"/>
  <c r="R67" i="62" s="1"/>
  <c r="P72" i="62"/>
  <c r="M14" i="61"/>
  <c r="M15" i="61" s="1"/>
  <c r="Q50" i="62"/>
  <c r="R43" i="62" s="1"/>
  <c r="P50" i="62"/>
  <c r="H14" i="61"/>
  <c r="H15" i="61" s="1"/>
  <c r="Q28" i="62"/>
  <c r="R21" i="62" s="1"/>
  <c r="P28" i="62"/>
  <c r="G14" i="61"/>
  <c r="G15" i="61" s="1"/>
  <c r="Q20" i="62"/>
  <c r="R14" i="62" s="1"/>
  <c r="P20" i="62"/>
  <c r="F14" i="61"/>
  <c r="F15" i="61" s="1"/>
  <c r="N26" i="60"/>
  <c r="AF26" i="60"/>
  <c r="AG17" i="60" s="1"/>
  <c r="AE26" i="60"/>
  <c r="N52" i="60"/>
  <c r="AF52" i="60"/>
  <c r="AG45" i="60" s="1"/>
  <c r="AE52" i="60"/>
  <c r="Q67" i="60"/>
  <c r="P67" i="60"/>
  <c r="P49" i="60"/>
  <c r="Q49" i="60"/>
  <c r="N72" i="60"/>
  <c r="AE72" i="60"/>
  <c r="AF72" i="60"/>
  <c r="AG63" i="60" s="1"/>
  <c r="D2" i="60"/>
  <c r="Q62" i="60"/>
  <c r="R53" i="60" s="1"/>
  <c r="Q70" i="60"/>
  <c r="P70" i="60"/>
  <c r="Q47" i="60"/>
  <c r="P47" i="60"/>
  <c r="K14" i="59"/>
  <c r="Q44" i="60"/>
  <c r="R37" i="60" s="1"/>
  <c r="P44" i="60"/>
  <c r="Q79" i="60"/>
  <c r="P79" i="60"/>
  <c r="Q60" i="60"/>
  <c r="P60" i="60"/>
  <c r="Q58" i="60"/>
  <c r="P58" i="60"/>
  <c r="AF44" i="60"/>
  <c r="AG37" i="60" s="1"/>
  <c r="AE44" i="60"/>
  <c r="Q31" i="60"/>
  <c r="P31" i="60"/>
  <c r="I8" i="58"/>
  <c r="G8" i="58"/>
  <c r="F6" i="58"/>
  <c r="G6" i="58"/>
  <c r="I6" i="58"/>
  <c r="E6" i="58"/>
  <c r="E7" i="58"/>
  <c r="G7" i="58"/>
  <c r="I7" i="58"/>
  <c r="E8" i="58"/>
  <c r="F8" i="58"/>
  <c r="AD83" i="57"/>
  <c r="Z83" i="57"/>
  <c r="Y83" i="57"/>
  <c r="O83" i="57"/>
  <c r="K83" i="57"/>
  <c r="V82" i="57"/>
  <c r="U82" i="57"/>
  <c r="O82" i="57"/>
  <c r="M82" i="57"/>
  <c r="AE82" i="57" s="1"/>
  <c r="K82" i="57"/>
  <c r="G82" i="57"/>
  <c r="X81" i="57"/>
  <c r="W81" i="57"/>
  <c r="V81" i="57"/>
  <c r="U81" i="57"/>
  <c r="O81" i="57"/>
  <c r="N81" i="57"/>
  <c r="Q81" i="57" s="1"/>
  <c r="M81" i="57"/>
  <c r="AF81" i="57" s="1"/>
  <c r="K81" i="57"/>
  <c r="G81" i="57"/>
  <c r="V80" i="57"/>
  <c r="U80" i="57"/>
  <c r="O80" i="57"/>
  <c r="M80" i="57"/>
  <c r="AE80" i="57" s="1"/>
  <c r="K80" i="57"/>
  <c r="G80" i="57"/>
  <c r="AF79" i="57"/>
  <c r="AE79" i="57"/>
  <c r="V79" i="57"/>
  <c r="U79" i="57"/>
  <c r="O79" i="57"/>
  <c r="N79" i="57"/>
  <c r="Q79" i="57" s="1"/>
  <c r="M79" i="57"/>
  <c r="K79" i="57"/>
  <c r="P79" i="57" s="1"/>
  <c r="G79" i="57"/>
  <c r="AF78" i="57"/>
  <c r="AE78" i="57"/>
  <c r="V78" i="57"/>
  <c r="U78" i="57"/>
  <c r="O78" i="57"/>
  <c r="M78" i="57"/>
  <c r="N78" i="57" s="1"/>
  <c r="K78" i="57"/>
  <c r="G78" i="57"/>
  <c r="X77" i="57"/>
  <c r="W77" i="57"/>
  <c r="V77" i="57"/>
  <c r="O77" i="57"/>
  <c r="M77" i="57"/>
  <c r="N77" i="57" s="1"/>
  <c r="K77" i="57"/>
  <c r="G77" i="57"/>
  <c r="AD76" i="57"/>
  <c r="Z76" i="57"/>
  <c r="Y76" i="57"/>
  <c r="O76" i="57"/>
  <c r="K76" i="57"/>
  <c r="V75" i="57"/>
  <c r="M75" i="57" s="1"/>
  <c r="U75" i="57"/>
  <c r="O75" i="57"/>
  <c r="K75" i="57"/>
  <c r="G75" i="57"/>
  <c r="V74" i="57"/>
  <c r="M74" i="57" s="1"/>
  <c r="U74" i="57"/>
  <c r="O74" i="57"/>
  <c r="K74" i="57"/>
  <c r="G74" i="57"/>
  <c r="AF73" i="57"/>
  <c r="AE73" i="57"/>
  <c r="V73" i="57"/>
  <c r="U73" i="57"/>
  <c r="O73" i="57"/>
  <c r="M73" i="57"/>
  <c r="N73" i="57" s="1"/>
  <c r="K73" i="57"/>
  <c r="G73" i="57"/>
  <c r="V72" i="57"/>
  <c r="M72" i="57" s="1"/>
  <c r="U72" i="57"/>
  <c r="O72" i="57"/>
  <c r="K72" i="57"/>
  <c r="G72" i="57"/>
  <c r="V71" i="57"/>
  <c r="M71" i="57" s="1"/>
  <c r="O71" i="57"/>
  <c r="K71" i="57"/>
  <c r="G71" i="57"/>
  <c r="AD70" i="57"/>
  <c r="Z70" i="57"/>
  <c r="Y70" i="57"/>
  <c r="O70" i="57"/>
  <c r="K70" i="57"/>
  <c r="V69" i="57"/>
  <c r="M69" i="57" s="1"/>
  <c r="U69" i="57"/>
  <c r="O69" i="57"/>
  <c r="K69" i="57"/>
  <c r="G69" i="57"/>
  <c r="X68" i="57"/>
  <c r="W68" i="57"/>
  <c r="V68" i="57"/>
  <c r="M68" i="57" s="1"/>
  <c r="U68" i="57"/>
  <c r="O68" i="57"/>
  <c r="K68" i="57"/>
  <c r="G68" i="57"/>
  <c r="V67" i="57"/>
  <c r="M67" i="57" s="1"/>
  <c r="U67" i="57"/>
  <c r="O67" i="57"/>
  <c r="K67" i="57"/>
  <c r="G67" i="57"/>
  <c r="V66" i="57"/>
  <c r="M66" i="57" s="1"/>
  <c r="U66" i="57"/>
  <c r="O66" i="57"/>
  <c r="K66" i="57"/>
  <c r="G66" i="57"/>
  <c r="AE65" i="57"/>
  <c r="V65" i="57"/>
  <c r="U65" i="57"/>
  <c r="O65" i="57"/>
  <c r="M65" i="57"/>
  <c r="AF65" i="57" s="1"/>
  <c r="K65" i="57"/>
  <c r="G65" i="57"/>
  <c r="V64" i="57"/>
  <c r="M64" i="57" s="1"/>
  <c r="U64" i="57"/>
  <c r="O64" i="57"/>
  <c r="K64" i="57"/>
  <c r="G64" i="57"/>
  <c r="V63" i="57"/>
  <c r="U63" i="57"/>
  <c r="O63" i="57"/>
  <c r="N63" i="57"/>
  <c r="Q63" i="57" s="1"/>
  <c r="M63" i="57"/>
  <c r="AF63" i="57" s="1"/>
  <c r="K63" i="57"/>
  <c r="G63" i="57"/>
  <c r="V62" i="57"/>
  <c r="U62" i="57"/>
  <c r="O62" i="57"/>
  <c r="M62" i="57"/>
  <c r="AE62" i="57" s="1"/>
  <c r="K62" i="57"/>
  <c r="G62" i="57"/>
  <c r="V61" i="57"/>
  <c r="O61" i="57"/>
  <c r="M61" i="57"/>
  <c r="AE61" i="57" s="1"/>
  <c r="K61" i="57"/>
  <c r="G61" i="57"/>
  <c r="AD60" i="57"/>
  <c r="Z60" i="57"/>
  <c r="Y60" i="57"/>
  <c r="O60" i="57"/>
  <c r="K60" i="57"/>
  <c r="AF59" i="57"/>
  <c r="AE59" i="57"/>
  <c r="V59" i="57"/>
  <c r="U59" i="57"/>
  <c r="O59" i="57"/>
  <c r="M59" i="57"/>
  <c r="N59" i="57" s="1"/>
  <c r="K59" i="57"/>
  <c r="G59" i="57"/>
  <c r="V58" i="57"/>
  <c r="M58" i="57" s="1"/>
  <c r="U58" i="57"/>
  <c r="O58" i="57"/>
  <c r="K58" i="57"/>
  <c r="G58" i="57"/>
  <c r="AF57" i="57"/>
  <c r="AE57" i="57"/>
  <c r="X57" i="57"/>
  <c r="W57" i="57"/>
  <c r="V57" i="57"/>
  <c r="U57" i="57"/>
  <c r="O57" i="57"/>
  <c r="M57" i="57"/>
  <c r="N57" i="57" s="1"/>
  <c r="K57" i="57"/>
  <c r="G57" i="57"/>
  <c r="V56" i="57"/>
  <c r="M56" i="57" s="1"/>
  <c r="U56" i="57"/>
  <c r="O56" i="57"/>
  <c r="K56" i="57"/>
  <c r="G56" i="57"/>
  <c r="AF55" i="57"/>
  <c r="AE55" i="57"/>
  <c r="V55" i="57"/>
  <c r="U55" i="57"/>
  <c r="O55" i="57"/>
  <c r="M55" i="57"/>
  <c r="N55" i="57" s="1"/>
  <c r="K55" i="57"/>
  <c r="G55" i="57"/>
  <c r="V54" i="57"/>
  <c r="M54" i="57" s="1"/>
  <c r="U54" i="57"/>
  <c r="O54" i="57"/>
  <c r="K54" i="57"/>
  <c r="G54" i="57"/>
  <c r="V53" i="57"/>
  <c r="M53" i="57" s="1"/>
  <c r="U53" i="57"/>
  <c r="O53" i="57"/>
  <c r="K53" i="57"/>
  <c r="G53" i="57"/>
  <c r="V52" i="57"/>
  <c r="M52" i="57" s="1"/>
  <c r="U52" i="57"/>
  <c r="O52" i="57"/>
  <c r="K52" i="57"/>
  <c r="G52" i="57"/>
  <c r="X51" i="57"/>
  <c r="W51" i="57"/>
  <c r="V51" i="57"/>
  <c r="M51" i="57" s="1"/>
  <c r="O51" i="57"/>
  <c r="K51" i="57"/>
  <c r="G51" i="57"/>
  <c r="AD50" i="57"/>
  <c r="Z50" i="57"/>
  <c r="Y50" i="57"/>
  <c r="O50" i="57"/>
  <c r="K50" i="57"/>
  <c r="V49" i="57"/>
  <c r="M49" i="57" s="1"/>
  <c r="U49" i="57"/>
  <c r="O49" i="57"/>
  <c r="K49" i="57"/>
  <c r="G49" i="57"/>
  <c r="V48" i="57"/>
  <c r="M48" i="57" s="1"/>
  <c r="U48" i="57"/>
  <c r="O48" i="57"/>
  <c r="K48" i="57"/>
  <c r="G48" i="57"/>
  <c r="X47" i="57"/>
  <c r="W47" i="57"/>
  <c r="V47" i="57"/>
  <c r="M47" i="57" s="1"/>
  <c r="U47" i="57"/>
  <c r="O47" i="57"/>
  <c r="K47" i="57"/>
  <c r="G47" i="57"/>
  <c r="V46" i="57"/>
  <c r="M46" i="57" s="1"/>
  <c r="U46" i="57"/>
  <c r="O46" i="57"/>
  <c r="K46" i="57"/>
  <c r="G46" i="57"/>
  <c r="AE45" i="57"/>
  <c r="V45" i="57"/>
  <c r="U45" i="57"/>
  <c r="O45" i="57"/>
  <c r="M45" i="57"/>
  <c r="AF45" i="57" s="1"/>
  <c r="K45" i="57"/>
  <c r="G45" i="57"/>
  <c r="V44" i="57"/>
  <c r="M44" i="57" s="1"/>
  <c r="U44" i="57"/>
  <c r="O44" i="57"/>
  <c r="K44" i="57"/>
  <c r="G44" i="57"/>
  <c r="V43" i="57"/>
  <c r="U43" i="57"/>
  <c r="O43" i="57"/>
  <c r="N43" i="57"/>
  <c r="Q43" i="57" s="1"/>
  <c r="M43" i="57"/>
  <c r="AF43" i="57" s="1"/>
  <c r="K43" i="57"/>
  <c r="G43" i="57"/>
  <c r="X42" i="57"/>
  <c r="W42" i="57"/>
  <c r="V42" i="57"/>
  <c r="O42" i="57"/>
  <c r="M42" i="57"/>
  <c r="AF42" i="57" s="1"/>
  <c r="K42" i="57"/>
  <c r="G42" i="57"/>
  <c r="AD41" i="57"/>
  <c r="Z41" i="57"/>
  <c r="Y41" i="57"/>
  <c r="O41" i="57"/>
  <c r="K41" i="57"/>
  <c r="V40" i="57"/>
  <c r="U40" i="57"/>
  <c r="O40" i="57"/>
  <c r="N40" i="57"/>
  <c r="Q40" i="57" s="1"/>
  <c r="M40" i="57"/>
  <c r="AF40" i="57" s="1"/>
  <c r="K40" i="57"/>
  <c r="G40" i="57"/>
  <c r="X39" i="57"/>
  <c r="W39" i="57"/>
  <c r="V39" i="57"/>
  <c r="M39" i="57" s="1"/>
  <c r="U39" i="57"/>
  <c r="O39" i="57"/>
  <c r="K39" i="57"/>
  <c r="G39" i="57"/>
  <c r="V38" i="57"/>
  <c r="U38" i="57"/>
  <c r="O38" i="57"/>
  <c r="N38" i="57"/>
  <c r="Q38" i="57" s="1"/>
  <c r="M38" i="57"/>
  <c r="AF38" i="57" s="1"/>
  <c r="K38" i="57"/>
  <c r="G38" i="57"/>
  <c r="V37" i="57"/>
  <c r="U37" i="57"/>
  <c r="O37" i="57"/>
  <c r="M37" i="57"/>
  <c r="AE37" i="57" s="1"/>
  <c r="K37" i="57"/>
  <c r="G37" i="57"/>
  <c r="AF36" i="57"/>
  <c r="AE36" i="57"/>
  <c r="V36" i="57"/>
  <c r="U36" i="57"/>
  <c r="O36" i="57"/>
  <c r="N36" i="57"/>
  <c r="Q36" i="57" s="1"/>
  <c r="M36" i="57"/>
  <c r="K36" i="57"/>
  <c r="P36" i="57" s="1"/>
  <c r="G36" i="57"/>
  <c r="X35" i="57"/>
  <c r="W35" i="57"/>
  <c r="V35" i="57"/>
  <c r="O35" i="57"/>
  <c r="N35" i="57"/>
  <c r="Q35" i="57" s="1"/>
  <c r="M35" i="57"/>
  <c r="K35" i="57"/>
  <c r="G35" i="57"/>
  <c r="AD34" i="57"/>
  <c r="Z34" i="57"/>
  <c r="Y34" i="57"/>
  <c r="O34" i="57"/>
  <c r="K34" i="57"/>
  <c r="AF33" i="57"/>
  <c r="AE33" i="57"/>
  <c r="V33" i="57"/>
  <c r="U33" i="57"/>
  <c r="O33" i="57"/>
  <c r="N33" i="57"/>
  <c r="Q33" i="57" s="1"/>
  <c r="M33" i="57"/>
  <c r="K33" i="57"/>
  <c r="P33" i="57" s="1"/>
  <c r="G33" i="57"/>
  <c r="AF32" i="57"/>
  <c r="AE32" i="57"/>
  <c r="V32" i="57"/>
  <c r="U32" i="57"/>
  <c r="O32" i="57"/>
  <c r="M32" i="57"/>
  <c r="N32" i="57" s="1"/>
  <c r="K32" i="57"/>
  <c r="G32" i="57"/>
  <c r="AF31" i="57"/>
  <c r="AE31" i="57"/>
  <c r="X31" i="57"/>
  <c r="W31" i="57"/>
  <c r="V31" i="57"/>
  <c r="U31" i="57"/>
  <c r="O31" i="57"/>
  <c r="N31" i="57"/>
  <c r="Q31" i="57" s="1"/>
  <c r="M31" i="57"/>
  <c r="K31" i="57"/>
  <c r="P31" i="57" s="1"/>
  <c r="G31" i="57"/>
  <c r="AF30" i="57"/>
  <c r="AE30" i="57"/>
  <c r="V30" i="57"/>
  <c r="U30" i="57"/>
  <c r="O30" i="57"/>
  <c r="M30" i="57"/>
  <c r="N30" i="57" s="1"/>
  <c r="K30" i="57"/>
  <c r="G30" i="57"/>
  <c r="V29" i="57"/>
  <c r="M29" i="57" s="1"/>
  <c r="U29" i="57"/>
  <c r="O29" i="57"/>
  <c r="K29" i="57"/>
  <c r="G29" i="57"/>
  <c r="AF28" i="57"/>
  <c r="AE28" i="57"/>
  <c r="V28" i="57"/>
  <c r="U28" i="57"/>
  <c r="O28" i="57"/>
  <c r="M28" i="57"/>
  <c r="N28" i="57" s="1"/>
  <c r="K28" i="57"/>
  <c r="G28" i="57"/>
  <c r="V27" i="57"/>
  <c r="M27" i="57" s="1"/>
  <c r="U27" i="57"/>
  <c r="O27" i="57"/>
  <c r="K27" i="57"/>
  <c r="G27" i="57"/>
  <c r="V26" i="57"/>
  <c r="M26" i="57" s="1"/>
  <c r="U26" i="57"/>
  <c r="O26" i="57"/>
  <c r="K26" i="57"/>
  <c r="G26" i="57"/>
  <c r="V25" i="57"/>
  <c r="M25" i="57" s="1"/>
  <c r="O25" i="57"/>
  <c r="K25" i="57"/>
  <c r="G25" i="57"/>
  <c r="AD24" i="57"/>
  <c r="Z24" i="57"/>
  <c r="Y24" i="57"/>
  <c r="O24" i="57"/>
  <c r="K24" i="57"/>
  <c r="V23" i="57"/>
  <c r="M23" i="57" s="1"/>
  <c r="U23" i="57"/>
  <c r="O23" i="57"/>
  <c r="K23" i="57"/>
  <c r="G23" i="57"/>
  <c r="AE22" i="57"/>
  <c r="V22" i="57"/>
  <c r="U22" i="57"/>
  <c r="O22" i="57"/>
  <c r="M22" i="57"/>
  <c r="AF22" i="57" s="1"/>
  <c r="K22" i="57"/>
  <c r="G22" i="57"/>
  <c r="X21" i="57"/>
  <c r="W21" i="57"/>
  <c r="V21" i="57"/>
  <c r="M21" i="57" s="1"/>
  <c r="U21" i="57"/>
  <c r="O21" i="57"/>
  <c r="K21" i="57"/>
  <c r="G21" i="57"/>
  <c r="AE20" i="57"/>
  <c r="V20" i="57"/>
  <c r="U20" i="57"/>
  <c r="O20" i="57"/>
  <c r="M20" i="57"/>
  <c r="AF20" i="57" s="1"/>
  <c r="K20" i="57"/>
  <c r="G20" i="57"/>
  <c r="V19" i="57"/>
  <c r="M19" i="57" s="1"/>
  <c r="U19" i="57"/>
  <c r="O19" i="57"/>
  <c r="K19" i="57"/>
  <c r="G19" i="57"/>
  <c r="V18" i="57"/>
  <c r="U18" i="57"/>
  <c r="O18" i="57"/>
  <c r="N18" i="57"/>
  <c r="Q18" i="57" s="1"/>
  <c r="M18" i="57"/>
  <c r="AF18" i="57" s="1"/>
  <c r="K18" i="57"/>
  <c r="G18" i="57"/>
  <c r="V17" i="57"/>
  <c r="U17" i="57"/>
  <c r="O17" i="57"/>
  <c r="M17" i="57"/>
  <c r="AE17" i="57" s="1"/>
  <c r="K17" i="57"/>
  <c r="G17" i="57"/>
  <c r="AF16" i="57"/>
  <c r="AE16" i="57"/>
  <c r="V16" i="57"/>
  <c r="U16" i="57"/>
  <c r="O16" i="57"/>
  <c r="N16" i="57"/>
  <c r="Q16" i="57" s="1"/>
  <c r="M16" i="57"/>
  <c r="K16" i="57"/>
  <c r="P16" i="57" s="1"/>
  <c r="G16" i="57"/>
  <c r="AF15" i="57"/>
  <c r="AE15" i="57"/>
  <c r="V15" i="57"/>
  <c r="O15" i="57"/>
  <c r="N15" i="57"/>
  <c r="Q15" i="57" s="1"/>
  <c r="M15" i="57"/>
  <c r="K15" i="57"/>
  <c r="P15" i="57" s="1"/>
  <c r="G15" i="57"/>
  <c r="AD14" i="57"/>
  <c r="Z14" i="57"/>
  <c r="Y14" i="57"/>
  <c r="O14" i="57"/>
  <c r="K14" i="57"/>
  <c r="V13" i="57"/>
  <c r="M13" i="57" s="1"/>
  <c r="U13" i="57"/>
  <c r="O13" i="57"/>
  <c r="K13" i="57"/>
  <c r="G13" i="57"/>
  <c r="AF12" i="57"/>
  <c r="AE12" i="57"/>
  <c r="X12" i="57"/>
  <c r="W12" i="57"/>
  <c r="V12" i="57"/>
  <c r="O12" i="57"/>
  <c r="N12" i="57"/>
  <c r="Q12" i="57" s="1"/>
  <c r="M12" i="57"/>
  <c r="M14" i="57" s="1"/>
  <c r="K12" i="57"/>
  <c r="P12" i="57" s="1"/>
  <c r="G12" i="57"/>
  <c r="AD11" i="57"/>
  <c r="Z11" i="57"/>
  <c r="Y11" i="57"/>
  <c r="O11" i="57"/>
  <c r="K11" i="57"/>
  <c r="V10" i="57"/>
  <c r="M10" i="57" s="1"/>
  <c r="U10" i="57"/>
  <c r="O10" i="57"/>
  <c r="K10" i="57"/>
  <c r="G10" i="57"/>
  <c r="AF9" i="57"/>
  <c r="AE9" i="57"/>
  <c r="V9" i="57"/>
  <c r="U9" i="57"/>
  <c r="O9" i="57"/>
  <c r="M9" i="57"/>
  <c r="N9" i="57" s="1"/>
  <c r="K9" i="57"/>
  <c r="G9" i="57"/>
  <c r="X8" i="57"/>
  <c r="W8" i="57"/>
  <c r="V8" i="57"/>
  <c r="M8" i="57" s="1"/>
  <c r="U8" i="57"/>
  <c r="O8" i="57"/>
  <c r="K8" i="57"/>
  <c r="G8" i="57"/>
  <c r="AF7" i="57"/>
  <c r="AE7" i="57"/>
  <c r="V7" i="57"/>
  <c r="U7" i="57"/>
  <c r="O7" i="57"/>
  <c r="M7" i="57"/>
  <c r="N7" i="57" s="1"/>
  <c r="K7" i="57"/>
  <c r="G7" i="57"/>
  <c r="V6" i="57"/>
  <c r="M6" i="57" s="1"/>
  <c r="U6" i="57"/>
  <c r="O6" i="57"/>
  <c r="K6" i="57"/>
  <c r="G6" i="57"/>
  <c r="V5" i="57"/>
  <c r="M5" i="57" s="1"/>
  <c r="O5" i="57"/>
  <c r="K5" i="57"/>
  <c r="G5" i="57"/>
  <c r="F1" i="57" s="1"/>
  <c r="Y2" i="57"/>
  <c r="H2" i="57"/>
  <c r="H1" i="57"/>
  <c r="D1" i="57"/>
  <c r="F8" i="63" l="1"/>
  <c r="G8" i="63"/>
  <c r="E8" i="63"/>
  <c r="K15" i="61"/>
  <c r="I8" i="61" s="1"/>
  <c r="I7" i="61"/>
  <c r="D15" i="61"/>
  <c r="G7" i="61"/>
  <c r="F7" i="61"/>
  <c r="E7" i="61"/>
  <c r="K15" i="59"/>
  <c r="P52" i="60"/>
  <c r="L14" i="59"/>
  <c r="L15" i="59" s="1"/>
  <c r="Q52" i="60"/>
  <c r="R45" i="60" s="1"/>
  <c r="P72" i="60"/>
  <c r="I14" i="59"/>
  <c r="I15" i="59" s="1"/>
  <c r="Q72" i="60"/>
  <c r="R63" i="60" s="1"/>
  <c r="F14" i="59"/>
  <c r="Q26" i="60"/>
  <c r="R17" i="60" s="1"/>
  <c r="P26" i="60"/>
  <c r="M24" i="57"/>
  <c r="AE24" i="57" s="1"/>
  <c r="N14" i="57"/>
  <c r="AF14" i="57"/>
  <c r="AG12" i="57" s="1"/>
  <c r="AE14" i="57"/>
  <c r="P73" i="57"/>
  <c r="Q73" i="57"/>
  <c r="N5" i="57"/>
  <c r="M11" i="57"/>
  <c r="AF5" i="57"/>
  <c r="AE5" i="57"/>
  <c r="N24" i="57"/>
  <c r="AF47" i="57"/>
  <c r="AE47" i="57"/>
  <c r="N47" i="57"/>
  <c r="N6" i="57"/>
  <c r="AE6" i="57"/>
  <c r="AF6" i="57"/>
  <c r="N13" i="57"/>
  <c r="AF13" i="57"/>
  <c r="AE13" i="57"/>
  <c r="Q32" i="57"/>
  <c r="P32" i="57"/>
  <c r="P55" i="57"/>
  <c r="Q55" i="57"/>
  <c r="N29" i="57"/>
  <c r="AF29" i="57"/>
  <c r="AE29" i="57"/>
  <c r="Q57" i="57"/>
  <c r="P57" i="57"/>
  <c r="N58" i="57"/>
  <c r="AF58" i="57"/>
  <c r="AE58" i="57"/>
  <c r="AF64" i="57"/>
  <c r="AE64" i="57"/>
  <c r="N64" i="57"/>
  <c r="AF66" i="57"/>
  <c r="AE66" i="57"/>
  <c r="N66" i="57"/>
  <c r="AF67" i="57"/>
  <c r="AE67" i="57"/>
  <c r="N67" i="57"/>
  <c r="N26" i="57"/>
  <c r="AF26" i="57"/>
  <c r="AE26" i="57"/>
  <c r="Q77" i="57"/>
  <c r="P77" i="57"/>
  <c r="N27" i="57"/>
  <c r="AF27" i="57"/>
  <c r="AE27" i="57"/>
  <c r="P7" i="57"/>
  <c r="Q7" i="57"/>
  <c r="N25" i="57"/>
  <c r="AF25" i="57"/>
  <c r="AE25" i="57"/>
  <c r="M34" i="57"/>
  <c r="AF44" i="57"/>
  <c r="AE44" i="57"/>
  <c r="N44" i="57"/>
  <c r="AF46" i="57"/>
  <c r="AE46" i="57"/>
  <c r="N46" i="57"/>
  <c r="AF48" i="57"/>
  <c r="AE48" i="57"/>
  <c r="N48" i="57"/>
  <c r="N75" i="57"/>
  <c r="AF75" i="57"/>
  <c r="AE75" i="57"/>
  <c r="AF52" i="57"/>
  <c r="AE52" i="57"/>
  <c r="N52" i="57"/>
  <c r="N68" i="57"/>
  <c r="AF68" i="57"/>
  <c r="AE68" i="57"/>
  <c r="N8" i="57"/>
  <c r="AF8" i="57"/>
  <c r="AE8" i="57"/>
  <c r="F2" i="57"/>
  <c r="N10" i="57"/>
  <c r="AF10" i="57"/>
  <c r="AE10" i="57"/>
  <c r="AF19" i="57"/>
  <c r="AE19" i="57"/>
  <c r="N19" i="57"/>
  <c r="AF21" i="57"/>
  <c r="AE21" i="57"/>
  <c r="N21" i="57"/>
  <c r="P28" i="57"/>
  <c r="Q28" i="57"/>
  <c r="N71" i="57"/>
  <c r="AF71" i="57"/>
  <c r="M76" i="57"/>
  <c r="AE71" i="57"/>
  <c r="Q30" i="57"/>
  <c r="P30" i="57"/>
  <c r="N56" i="57"/>
  <c r="AF56" i="57"/>
  <c r="AE56" i="57"/>
  <c r="N51" i="57"/>
  <c r="AF51" i="57"/>
  <c r="AE51" i="57"/>
  <c r="M60" i="57"/>
  <c r="N53" i="57"/>
  <c r="AF53" i="57"/>
  <c r="AE53" i="57"/>
  <c r="Q59" i="57"/>
  <c r="P59" i="57"/>
  <c r="P9" i="57"/>
  <c r="Q9" i="57"/>
  <c r="AF23" i="57"/>
  <c r="AE23" i="57"/>
  <c r="N23" i="57"/>
  <c r="AE39" i="57"/>
  <c r="N39" i="57"/>
  <c r="AF39" i="57"/>
  <c r="Q78" i="57"/>
  <c r="P78" i="57"/>
  <c r="AF69" i="57"/>
  <c r="AE69" i="57"/>
  <c r="N69" i="57"/>
  <c r="AF49" i="57"/>
  <c r="AE49" i="57"/>
  <c r="N49" i="57"/>
  <c r="N72" i="57"/>
  <c r="AF72" i="57"/>
  <c r="AE72" i="57"/>
  <c r="M41" i="57"/>
  <c r="N54" i="57"/>
  <c r="AF54" i="57"/>
  <c r="AE54" i="57"/>
  <c r="N74" i="57"/>
  <c r="AF74" i="57"/>
  <c r="AE74" i="57"/>
  <c r="AF17" i="57"/>
  <c r="AE35" i="57"/>
  <c r="AF37" i="57"/>
  <c r="AF61" i="57"/>
  <c r="AF62" i="57"/>
  <c r="AF80" i="57"/>
  <c r="AE81" i="57"/>
  <c r="AF82" i="57"/>
  <c r="AF35" i="57"/>
  <c r="AE77" i="57"/>
  <c r="N20" i="57"/>
  <c r="N22" i="57"/>
  <c r="N42" i="57"/>
  <c r="N45" i="57"/>
  <c r="N65" i="57"/>
  <c r="AF77" i="57"/>
  <c r="M83" i="57"/>
  <c r="Z2" i="57"/>
  <c r="N17" i="57"/>
  <c r="N37" i="57"/>
  <c r="N61" i="57"/>
  <c r="N62" i="57"/>
  <c r="N80" i="57"/>
  <c r="N82" i="57"/>
  <c r="AD2" i="57"/>
  <c r="P18" i="57"/>
  <c r="P35" i="57"/>
  <c r="P38" i="57"/>
  <c r="P40" i="57"/>
  <c r="P43" i="57"/>
  <c r="P63" i="57"/>
  <c r="P81" i="57"/>
  <c r="M50" i="57"/>
  <c r="M70" i="57"/>
  <c r="AE18" i="57"/>
  <c r="AE38" i="57"/>
  <c r="AE40" i="57"/>
  <c r="AE42" i="57"/>
  <c r="AE43" i="57"/>
  <c r="AE63" i="57"/>
  <c r="AF80" i="55"/>
  <c r="AG74" i="55" s="1"/>
  <c r="AE80" i="55"/>
  <c r="AD80" i="55"/>
  <c r="Z80" i="55"/>
  <c r="Y80" i="55"/>
  <c r="O80" i="55"/>
  <c r="M80" i="55"/>
  <c r="N80" i="55" s="1"/>
  <c r="K80" i="55"/>
  <c r="AF79" i="55"/>
  <c r="AE79" i="55"/>
  <c r="V79" i="55"/>
  <c r="U79" i="55"/>
  <c r="P79" i="55"/>
  <c r="O79" i="55"/>
  <c r="N79" i="55"/>
  <c r="Q79" i="55" s="1"/>
  <c r="M79" i="55"/>
  <c r="K79" i="55"/>
  <c r="G79" i="55"/>
  <c r="AF78" i="55"/>
  <c r="AE78" i="55"/>
  <c r="X78" i="55"/>
  <c r="W78" i="55"/>
  <c r="V78" i="55"/>
  <c r="U78" i="55"/>
  <c r="Q78" i="55"/>
  <c r="O78" i="55"/>
  <c r="N78" i="55"/>
  <c r="P78" i="55" s="1"/>
  <c r="M78" i="55"/>
  <c r="K78" i="55"/>
  <c r="G78" i="55"/>
  <c r="AF77" i="55"/>
  <c r="AE77" i="55"/>
  <c r="V77" i="55"/>
  <c r="U77" i="55"/>
  <c r="P77" i="55"/>
  <c r="O77" i="55"/>
  <c r="N77" i="55"/>
  <c r="Q77" i="55" s="1"/>
  <c r="M77" i="55"/>
  <c r="K77" i="55"/>
  <c r="G77" i="55"/>
  <c r="AF76" i="55"/>
  <c r="AE76" i="55"/>
  <c r="V76" i="55"/>
  <c r="U76" i="55"/>
  <c r="Q76" i="55"/>
  <c r="O76" i="55"/>
  <c r="N76" i="55"/>
  <c r="P76" i="55" s="1"/>
  <c r="M76" i="55"/>
  <c r="K76" i="55"/>
  <c r="G76" i="55"/>
  <c r="AF75" i="55"/>
  <c r="AE75" i="55"/>
  <c r="V75" i="55"/>
  <c r="U75" i="55"/>
  <c r="Q75" i="55"/>
  <c r="P75" i="55"/>
  <c r="O75" i="55"/>
  <c r="N75" i="55"/>
  <c r="M75" i="55"/>
  <c r="K75" i="55"/>
  <c r="G75" i="55"/>
  <c r="AF74" i="55"/>
  <c r="AE74" i="55"/>
  <c r="X74" i="55"/>
  <c r="W74" i="55"/>
  <c r="V74" i="55"/>
  <c r="P74" i="55"/>
  <c r="O74" i="55"/>
  <c r="N74" i="55"/>
  <c r="Q74" i="55" s="1"/>
  <c r="M74" i="55"/>
  <c r="K74" i="55"/>
  <c r="G74" i="55"/>
  <c r="AD73" i="55"/>
  <c r="Z73" i="55"/>
  <c r="Y73" i="55"/>
  <c r="O73" i="55"/>
  <c r="K73" i="55"/>
  <c r="AF72" i="55"/>
  <c r="AE72" i="55"/>
  <c r="V72" i="55"/>
  <c r="U72" i="55"/>
  <c r="Q72" i="55"/>
  <c r="P72" i="55"/>
  <c r="O72" i="55"/>
  <c r="N72" i="55"/>
  <c r="M72" i="55"/>
  <c r="K72" i="55"/>
  <c r="G72" i="55"/>
  <c r="V71" i="55"/>
  <c r="U71" i="55"/>
  <c r="O71" i="55"/>
  <c r="M71" i="55"/>
  <c r="N71" i="55" s="1"/>
  <c r="K71" i="55"/>
  <c r="G71" i="55"/>
  <c r="AF70" i="55"/>
  <c r="AE70" i="55"/>
  <c r="V70" i="55"/>
  <c r="U70" i="55"/>
  <c r="O70" i="55"/>
  <c r="N70" i="55"/>
  <c r="P70" i="55" s="1"/>
  <c r="M70" i="55"/>
  <c r="K70" i="55"/>
  <c r="G70" i="55"/>
  <c r="AF69" i="55"/>
  <c r="AE69" i="55"/>
  <c r="V69" i="55"/>
  <c r="O69" i="55"/>
  <c r="N69" i="55"/>
  <c r="P69" i="55" s="1"/>
  <c r="M69" i="55"/>
  <c r="K69" i="55"/>
  <c r="G69" i="55"/>
  <c r="AD68" i="55"/>
  <c r="Z68" i="55"/>
  <c r="Y68" i="55"/>
  <c r="O68" i="55"/>
  <c r="K68" i="55"/>
  <c r="V67" i="55"/>
  <c r="U67" i="55"/>
  <c r="O67" i="55"/>
  <c r="M67" i="55"/>
  <c r="N67" i="55" s="1"/>
  <c r="K67" i="55"/>
  <c r="G67" i="55"/>
  <c r="X66" i="55"/>
  <c r="W66" i="55"/>
  <c r="V66" i="55"/>
  <c r="U66" i="55"/>
  <c r="O66" i="55"/>
  <c r="M66" i="55"/>
  <c r="N66" i="55" s="1"/>
  <c r="K66" i="55"/>
  <c r="G66" i="55"/>
  <c r="V65" i="55"/>
  <c r="U65" i="55"/>
  <c r="O65" i="55"/>
  <c r="M65" i="55"/>
  <c r="N65" i="55" s="1"/>
  <c r="K65" i="55"/>
  <c r="G65" i="55"/>
  <c r="V64" i="55"/>
  <c r="U64" i="55"/>
  <c r="O64" i="55"/>
  <c r="N64" i="55"/>
  <c r="Q64" i="55" s="1"/>
  <c r="M64" i="55"/>
  <c r="AF64" i="55" s="1"/>
  <c r="K64" i="55"/>
  <c r="G64" i="55"/>
  <c r="V63" i="55"/>
  <c r="U63" i="55"/>
  <c r="O63" i="55"/>
  <c r="M63" i="55"/>
  <c r="AF63" i="55" s="1"/>
  <c r="K63" i="55"/>
  <c r="G63" i="55"/>
  <c r="AF62" i="55"/>
  <c r="AE62" i="55"/>
  <c r="V62" i="55"/>
  <c r="U62" i="55"/>
  <c r="P62" i="55"/>
  <c r="O62" i="55"/>
  <c r="N62" i="55"/>
  <c r="Q62" i="55" s="1"/>
  <c r="M62" i="55"/>
  <c r="K62" i="55"/>
  <c r="G62" i="55"/>
  <c r="AF61" i="55"/>
  <c r="AE61" i="55"/>
  <c r="V61" i="55"/>
  <c r="U61" i="55"/>
  <c r="O61" i="55"/>
  <c r="M61" i="55"/>
  <c r="N61" i="55" s="1"/>
  <c r="K61" i="55"/>
  <c r="G61" i="55"/>
  <c r="AF60" i="55"/>
  <c r="AE60" i="55"/>
  <c r="V60" i="55"/>
  <c r="O60" i="55"/>
  <c r="M60" i="55"/>
  <c r="M68" i="55" s="1"/>
  <c r="K60" i="55"/>
  <c r="G60" i="55"/>
  <c r="AD59" i="55"/>
  <c r="Z59" i="55"/>
  <c r="Y59" i="55"/>
  <c r="O59" i="55"/>
  <c r="K59" i="55"/>
  <c r="AF58" i="55"/>
  <c r="AE58" i="55"/>
  <c r="V58" i="55"/>
  <c r="U58" i="55"/>
  <c r="P58" i="55"/>
  <c r="O58" i="55"/>
  <c r="N58" i="55"/>
  <c r="Q58" i="55" s="1"/>
  <c r="M58" i="55"/>
  <c r="K58" i="55"/>
  <c r="G58" i="55"/>
  <c r="AF57" i="55"/>
  <c r="AE57" i="55"/>
  <c r="X57" i="55"/>
  <c r="W57" i="55"/>
  <c r="V57" i="55"/>
  <c r="U57" i="55"/>
  <c r="Q57" i="55"/>
  <c r="O57" i="55"/>
  <c r="N57" i="55"/>
  <c r="P57" i="55" s="1"/>
  <c r="M57" i="55"/>
  <c r="K57" i="55"/>
  <c r="G57" i="55"/>
  <c r="AF56" i="55"/>
  <c r="AE56" i="55"/>
  <c r="V56" i="55"/>
  <c r="U56" i="55"/>
  <c r="P56" i="55"/>
  <c r="O56" i="55"/>
  <c r="N56" i="55"/>
  <c r="Q56" i="55" s="1"/>
  <c r="M56" i="55"/>
  <c r="K56" i="55"/>
  <c r="G56" i="55"/>
  <c r="AF55" i="55"/>
  <c r="AE55" i="55"/>
  <c r="V55" i="55"/>
  <c r="U55" i="55"/>
  <c r="Q55" i="55"/>
  <c r="O55" i="55"/>
  <c r="N55" i="55"/>
  <c r="P55" i="55" s="1"/>
  <c r="M55" i="55"/>
  <c r="K55" i="55"/>
  <c r="G55" i="55"/>
  <c r="AF54" i="55"/>
  <c r="AE54" i="55"/>
  <c r="V54" i="55"/>
  <c r="U54" i="55"/>
  <c r="Q54" i="55"/>
  <c r="P54" i="55"/>
  <c r="O54" i="55"/>
  <c r="N54" i="55"/>
  <c r="M54" i="55"/>
  <c r="K54" i="55"/>
  <c r="G54" i="55"/>
  <c r="V53" i="55"/>
  <c r="U53" i="55"/>
  <c r="O53" i="55"/>
  <c r="M53" i="55"/>
  <c r="N53" i="55" s="1"/>
  <c r="K53" i="55"/>
  <c r="G53" i="55"/>
  <c r="AF52" i="55"/>
  <c r="AE52" i="55"/>
  <c r="V52" i="55"/>
  <c r="U52" i="55"/>
  <c r="O52" i="55"/>
  <c r="N52" i="55"/>
  <c r="P52" i="55" s="1"/>
  <c r="M52" i="55"/>
  <c r="K52" i="55"/>
  <c r="G52" i="55"/>
  <c r="AF51" i="55"/>
  <c r="AE51" i="55"/>
  <c r="X51" i="55"/>
  <c r="W51" i="55"/>
  <c r="V51" i="55"/>
  <c r="Q51" i="55"/>
  <c r="P51" i="55"/>
  <c r="O51" i="55"/>
  <c r="N51" i="55"/>
  <c r="M51" i="55"/>
  <c r="K51" i="55"/>
  <c r="G51" i="55"/>
  <c r="AD50" i="55"/>
  <c r="Z50" i="55"/>
  <c r="Y50" i="55"/>
  <c r="O50" i="55"/>
  <c r="K50" i="55"/>
  <c r="AF49" i="55"/>
  <c r="AE49" i="55"/>
  <c r="V49" i="55"/>
  <c r="U49" i="55"/>
  <c r="O49" i="55"/>
  <c r="N49" i="55"/>
  <c r="P49" i="55" s="1"/>
  <c r="M49" i="55"/>
  <c r="K49" i="55"/>
  <c r="G49" i="55"/>
  <c r="X48" i="55"/>
  <c r="W48" i="55"/>
  <c r="V48" i="55"/>
  <c r="U48" i="55"/>
  <c r="O48" i="55"/>
  <c r="M48" i="55"/>
  <c r="N48" i="55" s="1"/>
  <c r="K48" i="55"/>
  <c r="G48" i="55"/>
  <c r="AF47" i="55"/>
  <c r="AE47" i="55"/>
  <c r="V47" i="55"/>
  <c r="U47" i="55"/>
  <c r="O47" i="55"/>
  <c r="N47" i="55"/>
  <c r="P47" i="55" s="1"/>
  <c r="M47" i="55"/>
  <c r="K47" i="55"/>
  <c r="G47" i="55"/>
  <c r="V46" i="55"/>
  <c r="U46" i="55"/>
  <c r="O46" i="55"/>
  <c r="M46" i="55"/>
  <c r="AF46" i="55" s="1"/>
  <c r="K46" i="55"/>
  <c r="G46" i="55"/>
  <c r="V45" i="55"/>
  <c r="U45" i="55"/>
  <c r="O45" i="55"/>
  <c r="M45" i="55"/>
  <c r="N45" i="55" s="1"/>
  <c r="K45" i="55"/>
  <c r="G45" i="55"/>
  <c r="V44" i="55"/>
  <c r="U44" i="55"/>
  <c r="O44" i="55"/>
  <c r="N44" i="55"/>
  <c r="Q44" i="55" s="1"/>
  <c r="M44" i="55"/>
  <c r="AF44" i="55" s="1"/>
  <c r="K44" i="55"/>
  <c r="G44" i="55"/>
  <c r="X43" i="55"/>
  <c r="W43" i="55"/>
  <c r="V43" i="55"/>
  <c r="O43" i="55"/>
  <c r="M43" i="55"/>
  <c r="AF43" i="55" s="1"/>
  <c r="K43" i="55"/>
  <c r="G43" i="55"/>
  <c r="AD42" i="55"/>
  <c r="Z42" i="55"/>
  <c r="Y42" i="55"/>
  <c r="O42" i="55"/>
  <c r="M42" i="55"/>
  <c r="N42" i="55" s="1"/>
  <c r="K42" i="55"/>
  <c r="V41" i="55"/>
  <c r="U41" i="55"/>
  <c r="O41" i="55"/>
  <c r="N41" i="55"/>
  <c r="Q41" i="55" s="1"/>
  <c r="M41" i="55"/>
  <c r="AF41" i="55" s="1"/>
  <c r="K41" i="55"/>
  <c r="G41" i="55"/>
  <c r="X40" i="55"/>
  <c r="W40" i="55"/>
  <c r="V40" i="55"/>
  <c r="U40" i="55"/>
  <c r="O40" i="55"/>
  <c r="M40" i="55"/>
  <c r="N40" i="55" s="1"/>
  <c r="K40" i="55"/>
  <c r="G40" i="55"/>
  <c r="V39" i="55"/>
  <c r="U39" i="55"/>
  <c r="O39" i="55"/>
  <c r="N39" i="55"/>
  <c r="Q39" i="55" s="1"/>
  <c r="M39" i="55"/>
  <c r="AF39" i="55" s="1"/>
  <c r="K39" i="55"/>
  <c r="G39" i="55"/>
  <c r="V38" i="55"/>
  <c r="U38" i="55"/>
  <c r="O38" i="55"/>
  <c r="M38" i="55"/>
  <c r="AF38" i="55" s="1"/>
  <c r="K38" i="55"/>
  <c r="G38" i="55"/>
  <c r="AF37" i="55"/>
  <c r="AE37" i="55"/>
  <c r="V37" i="55"/>
  <c r="U37" i="55"/>
  <c r="P37" i="55"/>
  <c r="O37" i="55"/>
  <c r="N37" i="55"/>
  <c r="Q37" i="55" s="1"/>
  <c r="M37" i="55"/>
  <c r="K37" i="55"/>
  <c r="G37" i="55"/>
  <c r="AF36" i="55"/>
  <c r="X36" i="55"/>
  <c r="W36" i="55"/>
  <c r="V36" i="55"/>
  <c r="O36" i="55"/>
  <c r="N36" i="55"/>
  <c r="Q36" i="55" s="1"/>
  <c r="M36" i="55"/>
  <c r="AE36" i="55" s="1"/>
  <c r="K36" i="55"/>
  <c r="G36" i="55"/>
  <c r="AD35" i="55"/>
  <c r="Z35" i="55"/>
  <c r="Y35" i="55"/>
  <c r="O35" i="55"/>
  <c r="N35" i="55"/>
  <c r="G14" i="54" s="1"/>
  <c r="G15" i="54" s="1"/>
  <c r="M35" i="55"/>
  <c r="AF35" i="55" s="1"/>
  <c r="AG26" i="55" s="1"/>
  <c r="K35" i="55"/>
  <c r="AF34" i="55"/>
  <c r="AE34" i="55"/>
  <c r="V34" i="55"/>
  <c r="U34" i="55"/>
  <c r="P34" i="55"/>
  <c r="O34" i="55"/>
  <c r="N34" i="55"/>
  <c r="Q34" i="55" s="1"/>
  <c r="M34" i="55"/>
  <c r="K34" i="55"/>
  <c r="G34" i="55"/>
  <c r="AF33" i="55"/>
  <c r="AE33" i="55"/>
  <c r="V33" i="55"/>
  <c r="U33" i="55"/>
  <c r="O33" i="55"/>
  <c r="M33" i="55"/>
  <c r="N33" i="55" s="1"/>
  <c r="K33" i="55"/>
  <c r="G33" i="55"/>
  <c r="AF32" i="55"/>
  <c r="AE32" i="55"/>
  <c r="X32" i="55"/>
  <c r="W32" i="55"/>
  <c r="V32" i="55"/>
  <c r="U32" i="55"/>
  <c r="P32" i="55"/>
  <c r="O32" i="55"/>
  <c r="N32" i="55"/>
  <c r="Q32" i="55" s="1"/>
  <c r="M32" i="55"/>
  <c r="K32" i="55"/>
  <c r="G32" i="55"/>
  <c r="AF31" i="55"/>
  <c r="AE31" i="55"/>
  <c r="V31" i="55"/>
  <c r="U31" i="55"/>
  <c r="O31" i="55"/>
  <c r="M31" i="55"/>
  <c r="N31" i="55" s="1"/>
  <c r="K31" i="55"/>
  <c r="G31" i="55"/>
  <c r="AF30" i="55"/>
  <c r="AE30" i="55"/>
  <c r="V30" i="55"/>
  <c r="U30" i="55"/>
  <c r="Q30" i="55"/>
  <c r="O30" i="55"/>
  <c r="N30" i="55"/>
  <c r="P30" i="55" s="1"/>
  <c r="M30" i="55"/>
  <c r="K30" i="55"/>
  <c r="G30" i="55"/>
  <c r="AF29" i="55"/>
  <c r="AE29" i="55"/>
  <c r="V29" i="55"/>
  <c r="U29" i="55"/>
  <c r="P29" i="55"/>
  <c r="O29" i="55"/>
  <c r="N29" i="55"/>
  <c r="Q29" i="55" s="1"/>
  <c r="M29" i="55"/>
  <c r="K29" i="55"/>
  <c r="G29" i="55"/>
  <c r="AF28" i="55"/>
  <c r="AE28" i="55"/>
  <c r="V28" i="55"/>
  <c r="U28" i="55"/>
  <c r="Q28" i="55"/>
  <c r="P28" i="55"/>
  <c r="O28" i="55"/>
  <c r="N28" i="55"/>
  <c r="M28" i="55"/>
  <c r="K28" i="55"/>
  <c r="G28" i="55"/>
  <c r="AF27" i="55"/>
  <c r="AE27" i="55"/>
  <c r="V27" i="55"/>
  <c r="U27" i="55"/>
  <c r="Q27" i="55"/>
  <c r="P27" i="55"/>
  <c r="O27" i="55"/>
  <c r="N27" i="55"/>
  <c r="M27" i="55"/>
  <c r="K27" i="55"/>
  <c r="G27" i="55"/>
  <c r="AF26" i="55"/>
  <c r="AE26" i="55"/>
  <c r="V26" i="55"/>
  <c r="Q26" i="55"/>
  <c r="P26" i="55"/>
  <c r="O26" i="55"/>
  <c r="N26" i="55"/>
  <c r="M26" i="55"/>
  <c r="K26" i="55"/>
  <c r="G26" i="55"/>
  <c r="AD25" i="55"/>
  <c r="Z25" i="55"/>
  <c r="Y25" i="55"/>
  <c r="O25" i="55"/>
  <c r="K25" i="55"/>
  <c r="AF24" i="55"/>
  <c r="AE24" i="55"/>
  <c r="V24" i="55"/>
  <c r="U24" i="55"/>
  <c r="O24" i="55"/>
  <c r="N24" i="55"/>
  <c r="P24" i="55" s="1"/>
  <c r="M24" i="55"/>
  <c r="K24" i="55"/>
  <c r="G24" i="55"/>
  <c r="V23" i="55"/>
  <c r="U23" i="55"/>
  <c r="O23" i="55"/>
  <c r="M23" i="55"/>
  <c r="N23" i="55" s="1"/>
  <c r="K23" i="55"/>
  <c r="G23" i="55"/>
  <c r="AF22" i="55"/>
  <c r="AE22" i="55"/>
  <c r="X22" i="55"/>
  <c r="W22" i="55"/>
  <c r="V22" i="55"/>
  <c r="U22" i="55"/>
  <c r="O22" i="55"/>
  <c r="N22" i="55"/>
  <c r="P22" i="55" s="1"/>
  <c r="M22" i="55"/>
  <c r="K22" i="55"/>
  <c r="G22" i="55"/>
  <c r="V21" i="55"/>
  <c r="U21" i="55"/>
  <c r="O21" i="55"/>
  <c r="M21" i="55"/>
  <c r="AF21" i="55" s="1"/>
  <c r="K21" i="55"/>
  <c r="G21" i="55"/>
  <c r="V20" i="55"/>
  <c r="U20" i="55"/>
  <c r="O20" i="55"/>
  <c r="M20" i="55"/>
  <c r="N20" i="55" s="1"/>
  <c r="K20" i="55"/>
  <c r="G20" i="55"/>
  <c r="V19" i="55"/>
  <c r="U19" i="55"/>
  <c r="O19" i="55"/>
  <c r="N19" i="55"/>
  <c r="Q19" i="55" s="1"/>
  <c r="M19" i="55"/>
  <c r="AF19" i="55" s="1"/>
  <c r="K19" i="55"/>
  <c r="G19" i="55"/>
  <c r="V18" i="55"/>
  <c r="U18" i="55"/>
  <c r="O18" i="55"/>
  <c r="M18" i="55"/>
  <c r="AF18" i="55" s="1"/>
  <c r="K18" i="55"/>
  <c r="G18" i="55"/>
  <c r="AF17" i="55"/>
  <c r="AE17" i="55"/>
  <c r="V17" i="55"/>
  <c r="U17" i="55"/>
  <c r="P17" i="55"/>
  <c r="O17" i="55"/>
  <c r="N17" i="55"/>
  <c r="Q17" i="55" s="1"/>
  <c r="M17" i="55"/>
  <c r="K17" i="55"/>
  <c r="G17" i="55"/>
  <c r="AF16" i="55"/>
  <c r="AE16" i="55"/>
  <c r="V16" i="55"/>
  <c r="U16" i="55"/>
  <c r="O16" i="55"/>
  <c r="M16" i="55"/>
  <c r="N16" i="55" s="1"/>
  <c r="K16" i="55"/>
  <c r="G16" i="55"/>
  <c r="AF15" i="55"/>
  <c r="AE15" i="55"/>
  <c r="V15" i="55"/>
  <c r="O15" i="55"/>
  <c r="M15" i="55"/>
  <c r="M25" i="55" s="1"/>
  <c r="K15" i="55"/>
  <c r="G15" i="55"/>
  <c r="AF14" i="55"/>
  <c r="AG12" i="55" s="1"/>
  <c r="AE14" i="55"/>
  <c r="AD14" i="55"/>
  <c r="Z14" i="55"/>
  <c r="Y14" i="55"/>
  <c r="O14" i="55"/>
  <c r="M14" i="55"/>
  <c r="N14" i="55" s="1"/>
  <c r="K14" i="55"/>
  <c r="AF13" i="55"/>
  <c r="AE13" i="55"/>
  <c r="V13" i="55"/>
  <c r="U13" i="55"/>
  <c r="P13" i="55"/>
  <c r="O13" i="55"/>
  <c r="N13" i="55"/>
  <c r="Q13" i="55" s="1"/>
  <c r="M13" i="55"/>
  <c r="K13" i="55"/>
  <c r="G13" i="55"/>
  <c r="AF12" i="55"/>
  <c r="AE12" i="55"/>
  <c r="X12" i="55"/>
  <c r="W12" i="55"/>
  <c r="V12" i="55"/>
  <c r="O12" i="55"/>
  <c r="M12" i="55"/>
  <c r="N12" i="55" s="1"/>
  <c r="K12" i="55"/>
  <c r="G12" i="55"/>
  <c r="AF11" i="55"/>
  <c r="AG5" i="55" s="1"/>
  <c r="AE11" i="55"/>
  <c r="AD11" i="55"/>
  <c r="Z11" i="55"/>
  <c r="Y11" i="55"/>
  <c r="O11" i="55"/>
  <c r="M11" i="55"/>
  <c r="N11" i="55" s="1"/>
  <c r="K11" i="55"/>
  <c r="AF10" i="55"/>
  <c r="AE10" i="55"/>
  <c r="V10" i="55"/>
  <c r="U10" i="55"/>
  <c r="P10" i="55"/>
  <c r="O10" i="55"/>
  <c r="N10" i="55"/>
  <c r="Q10" i="55" s="1"/>
  <c r="M10" i="55"/>
  <c r="K10" i="55"/>
  <c r="G10" i="55"/>
  <c r="AF9" i="55"/>
  <c r="AE9" i="55"/>
  <c r="V9" i="55"/>
  <c r="U9" i="55"/>
  <c r="Q9" i="55"/>
  <c r="O9" i="55"/>
  <c r="N9" i="55"/>
  <c r="P9" i="55" s="1"/>
  <c r="M9" i="55"/>
  <c r="K9" i="55"/>
  <c r="G9" i="55"/>
  <c r="AF8" i="55"/>
  <c r="AE8" i="55"/>
  <c r="X8" i="55"/>
  <c r="W8" i="55"/>
  <c r="V8" i="55"/>
  <c r="U8" i="55"/>
  <c r="P8" i="55"/>
  <c r="O8" i="55"/>
  <c r="N8" i="55"/>
  <c r="Q8" i="55" s="1"/>
  <c r="M8" i="55"/>
  <c r="K8" i="55"/>
  <c r="G8" i="55"/>
  <c r="AF7" i="55"/>
  <c r="AE7" i="55"/>
  <c r="V7" i="55"/>
  <c r="U7" i="55"/>
  <c r="Q7" i="55"/>
  <c r="O7" i="55"/>
  <c r="N7" i="55"/>
  <c r="P7" i="55" s="1"/>
  <c r="M7" i="55"/>
  <c r="K7" i="55"/>
  <c r="G7" i="55"/>
  <c r="AF6" i="55"/>
  <c r="AE6" i="55"/>
  <c r="V6" i="55"/>
  <c r="U6" i="55"/>
  <c r="Q6" i="55"/>
  <c r="P6" i="55"/>
  <c r="O6" i="55"/>
  <c r="N6" i="55"/>
  <c r="M6" i="55"/>
  <c r="K6" i="55"/>
  <c r="G6" i="55"/>
  <c r="AF5" i="55"/>
  <c r="AE5" i="55"/>
  <c r="V5" i="55"/>
  <c r="Q5" i="55"/>
  <c r="P5" i="55"/>
  <c r="O5" i="55"/>
  <c r="N5" i="55"/>
  <c r="M5" i="55"/>
  <c r="K5" i="55"/>
  <c r="G5" i="55"/>
  <c r="AD2" i="55"/>
  <c r="Z2" i="55"/>
  <c r="Y2" i="55"/>
  <c r="K6" i="54" s="1"/>
  <c r="H2" i="55"/>
  <c r="F2" i="55"/>
  <c r="H1" i="55"/>
  <c r="F1" i="55"/>
  <c r="D1" i="55"/>
  <c r="M22" i="54"/>
  <c r="L22" i="54"/>
  <c r="K22" i="54"/>
  <c r="J22" i="54"/>
  <c r="I22" i="54"/>
  <c r="H22" i="54"/>
  <c r="G22" i="54"/>
  <c r="F22" i="54"/>
  <c r="E22" i="54"/>
  <c r="D22" i="54"/>
  <c r="M21" i="54"/>
  <c r="L21" i="54"/>
  <c r="K21" i="54"/>
  <c r="J21" i="54"/>
  <c r="I21" i="54"/>
  <c r="H21" i="54"/>
  <c r="G21" i="54"/>
  <c r="F21" i="54"/>
  <c r="E21" i="54"/>
  <c r="D21" i="54"/>
  <c r="M20" i="54"/>
  <c r="L20" i="54"/>
  <c r="K20" i="54"/>
  <c r="J20" i="54"/>
  <c r="I20" i="54"/>
  <c r="H20" i="54"/>
  <c r="G20" i="54"/>
  <c r="F20" i="54"/>
  <c r="E20" i="54"/>
  <c r="D20" i="54"/>
  <c r="M19" i="54"/>
  <c r="L19" i="54"/>
  <c r="K19" i="54"/>
  <c r="J19" i="54"/>
  <c r="I19" i="54"/>
  <c r="H19" i="54"/>
  <c r="G19" i="54"/>
  <c r="F19" i="54"/>
  <c r="E19" i="54"/>
  <c r="D19" i="54"/>
  <c r="M18" i="54"/>
  <c r="L18" i="54"/>
  <c r="K18" i="54"/>
  <c r="J18" i="54"/>
  <c r="I18" i="54"/>
  <c r="H18" i="54"/>
  <c r="G18" i="54"/>
  <c r="F18" i="54"/>
  <c r="E18" i="54"/>
  <c r="D18" i="54"/>
  <c r="M17" i="54"/>
  <c r="L17" i="54"/>
  <c r="K17" i="54"/>
  <c r="J17" i="54"/>
  <c r="I17" i="54"/>
  <c r="H17" i="54"/>
  <c r="G17" i="54"/>
  <c r="F17" i="54"/>
  <c r="E17" i="54"/>
  <c r="D17" i="54"/>
  <c r="M16" i="54"/>
  <c r="L16" i="54"/>
  <c r="K16" i="54"/>
  <c r="J16" i="54"/>
  <c r="I16" i="54"/>
  <c r="H16" i="54"/>
  <c r="G16" i="54"/>
  <c r="F16" i="54"/>
  <c r="E16" i="54"/>
  <c r="D16" i="54"/>
  <c r="M13" i="54"/>
  <c r="L13" i="54"/>
  <c r="K13" i="54"/>
  <c r="J13" i="54"/>
  <c r="I13" i="54"/>
  <c r="H13" i="54"/>
  <c r="G13" i="54"/>
  <c r="F13" i="54"/>
  <c r="E13" i="54"/>
  <c r="D13" i="54"/>
  <c r="N6" i="54"/>
  <c r="M6" i="54"/>
  <c r="L6" i="54"/>
  <c r="I6" i="54"/>
  <c r="G6" i="54"/>
  <c r="F6" i="54"/>
  <c r="E6" i="54"/>
  <c r="I3" i="54"/>
  <c r="F3" i="54"/>
  <c r="C3" i="54"/>
  <c r="E8" i="61" l="1"/>
  <c r="G8" i="61"/>
  <c r="F8" i="61"/>
  <c r="F15" i="59"/>
  <c r="F7" i="59"/>
  <c r="E7" i="59"/>
  <c r="G7" i="59"/>
  <c r="I7" i="59"/>
  <c r="I8" i="59"/>
  <c r="AF24" i="57"/>
  <c r="AG15" i="57" s="1"/>
  <c r="Q64" i="57"/>
  <c r="P64" i="57"/>
  <c r="AF41" i="57"/>
  <c r="AG35" i="57" s="1"/>
  <c r="AE41" i="57"/>
  <c r="N41" i="57"/>
  <c r="Q53" i="57"/>
  <c r="P53" i="57"/>
  <c r="Q52" i="57"/>
  <c r="P52" i="57"/>
  <c r="Q44" i="57"/>
  <c r="P44" i="57"/>
  <c r="AF83" i="57"/>
  <c r="AG77" i="57" s="1"/>
  <c r="AE83" i="57"/>
  <c r="N83" i="57"/>
  <c r="Q39" i="57"/>
  <c r="P39" i="57"/>
  <c r="N60" i="57"/>
  <c r="AF60" i="57"/>
  <c r="AG51" i="57" s="1"/>
  <c r="AE60" i="57"/>
  <c r="Q24" i="57"/>
  <c r="R15" i="57" s="1"/>
  <c r="P24" i="57"/>
  <c r="N76" i="57"/>
  <c r="AF76" i="57"/>
  <c r="AG71" i="57" s="1"/>
  <c r="AE76" i="57"/>
  <c r="Q23" i="57"/>
  <c r="P23" i="57"/>
  <c r="Q45" i="57"/>
  <c r="P45" i="57"/>
  <c r="Q49" i="57"/>
  <c r="P49" i="57"/>
  <c r="Q51" i="57"/>
  <c r="P51" i="57"/>
  <c r="Q71" i="57"/>
  <c r="P71" i="57"/>
  <c r="Q26" i="57"/>
  <c r="P26" i="57"/>
  <c r="Q58" i="57"/>
  <c r="P58" i="57"/>
  <c r="Q13" i="57"/>
  <c r="P13" i="57"/>
  <c r="N11" i="57"/>
  <c r="AF11" i="57"/>
  <c r="AG5" i="57" s="1"/>
  <c r="AE11" i="57"/>
  <c r="Q42" i="57"/>
  <c r="P42" i="57"/>
  <c r="Q75" i="57"/>
  <c r="P75" i="57"/>
  <c r="Q67" i="57"/>
  <c r="P67" i="57"/>
  <c r="Q5" i="57"/>
  <c r="P5" i="57"/>
  <c r="Q17" i="57"/>
  <c r="P17" i="57"/>
  <c r="Q68" i="57"/>
  <c r="P68" i="57"/>
  <c r="Q80" i="57"/>
  <c r="P80" i="57"/>
  <c r="Q20" i="57"/>
  <c r="P20" i="57"/>
  <c r="Q69" i="57"/>
  <c r="P69" i="57"/>
  <c r="Q56" i="57"/>
  <c r="P56" i="57"/>
  <c r="Q21" i="57"/>
  <c r="P21" i="57"/>
  <c r="Q6" i="57"/>
  <c r="P6" i="57"/>
  <c r="Q54" i="57"/>
  <c r="P54" i="57"/>
  <c r="Q27" i="57"/>
  <c r="P27" i="57"/>
  <c r="N70" i="57"/>
  <c r="AF70" i="57"/>
  <c r="AG61" i="57" s="1"/>
  <c r="AE70" i="57"/>
  <c r="Q62" i="57"/>
  <c r="P62" i="57"/>
  <c r="Q74" i="57"/>
  <c r="P74" i="57"/>
  <c r="Q8" i="57"/>
  <c r="P8" i="57"/>
  <c r="Q66" i="57"/>
  <c r="P66" i="57"/>
  <c r="Q47" i="57"/>
  <c r="P47" i="57"/>
  <c r="Q65" i="57"/>
  <c r="P65" i="57"/>
  <c r="Q72" i="57"/>
  <c r="P72" i="57"/>
  <c r="Q10" i="57"/>
  <c r="P10" i="57"/>
  <c r="Q82" i="57"/>
  <c r="P82" i="57"/>
  <c r="Q48" i="57"/>
  <c r="P48" i="57"/>
  <c r="Q25" i="57"/>
  <c r="P25" i="57"/>
  <c r="N50" i="57"/>
  <c r="AF50" i="57"/>
  <c r="AG42" i="57" s="1"/>
  <c r="AE50" i="57"/>
  <c r="Q61" i="57"/>
  <c r="P61" i="57"/>
  <c r="Q46" i="57"/>
  <c r="P46" i="57"/>
  <c r="Q29" i="57"/>
  <c r="P29" i="57"/>
  <c r="AE34" i="57"/>
  <c r="N34" i="57"/>
  <c r="AF34" i="57"/>
  <c r="AG25" i="57" s="1"/>
  <c r="Q22" i="57"/>
  <c r="P22" i="57"/>
  <c r="Q37" i="57"/>
  <c r="P37" i="57"/>
  <c r="Q19" i="57"/>
  <c r="P19" i="57"/>
  <c r="Q14" i="57"/>
  <c r="R12" i="57" s="1"/>
  <c r="P14" i="57"/>
  <c r="Q11" i="55"/>
  <c r="R5" i="55" s="1"/>
  <c r="P11" i="55"/>
  <c r="D14" i="54"/>
  <c r="Q23" i="55"/>
  <c r="P23" i="55"/>
  <c r="Q31" i="55"/>
  <c r="P31" i="55"/>
  <c r="P20" i="55"/>
  <c r="Q20" i="55"/>
  <c r="P45" i="55"/>
  <c r="Q45" i="55"/>
  <c r="P67" i="55"/>
  <c r="Q67" i="55"/>
  <c r="P40" i="55"/>
  <c r="Q40" i="55"/>
  <c r="K14" i="54"/>
  <c r="Q42" i="55"/>
  <c r="R36" i="55" s="1"/>
  <c r="P42" i="55"/>
  <c r="Q61" i="55"/>
  <c r="P61" i="55"/>
  <c r="Q12" i="55"/>
  <c r="P12" i="55"/>
  <c r="Q33" i="55"/>
  <c r="P33" i="55"/>
  <c r="Q53" i="55"/>
  <c r="P53" i="55"/>
  <c r="Q66" i="55"/>
  <c r="P66" i="55"/>
  <c r="Q71" i="55"/>
  <c r="P71" i="55"/>
  <c r="Q80" i="55"/>
  <c r="R74" i="55" s="1"/>
  <c r="P80" i="55"/>
  <c r="M14" i="54"/>
  <c r="M15" i="54" s="1"/>
  <c r="N25" i="55"/>
  <c r="AF25" i="55"/>
  <c r="AG15" i="55" s="1"/>
  <c r="AE25" i="55"/>
  <c r="Q16" i="55"/>
  <c r="P16" i="55"/>
  <c r="AF68" i="55"/>
  <c r="AG60" i="55" s="1"/>
  <c r="N68" i="55"/>
  <c r="AE68" i="55"/>
  <c r="Q48" i="55"/>
  <c r="P48" i="55"/>
  <c r="Q14" i="55"/>
  <c r="R12" i="55" s="1"/>
  <c r="P14" i="55"/>
  <c r="E14" i="54"/>
  <c r="E15" i="54" s="1"/>
  <c r="P65" i="55"/>
  <c r="Q65" i="55"/>
  <c r="P35" i="55"/>
  <c r="P36" i="55"/>
  <c r="P41" i="55"/>
  <c r="P44" i="55"/>
  <c r="AE53" i="55"/>
  <c r="M59" i="55"/>
  <c r="P64" i="55"/>
  <c r="AE71" i="55"/>
  <c r="N43" i="55"/>
  <c r="N46" i="55"/>
  <c r="Q24" i="55"/>
  <c r="Q49" i="55"/>
  <c r="Q52" i="55"/>
  <c r="Q69" i="55"/>
  <c r="Q70" i="55"/>
  <c r="N18" i="55"/>
  <c r="N38" i="55"/>
  <c r="N63" i="55"/>
  <c r="P19" i="55"/>
  <c r="P39" i="55"/>
  <c r="N15" i="55"/>
  <c r="Q35" i="55"/>
  <c r="R26" i="55" s="1"/>
  <c r="AF53" i="55"/>
  <c r="N60" i="55"/>
  <c r="AF71" i="55"/>
  <c r="AE21" i="55"/>
  <c r="AE23" i="55"/>
  <c r="AE46" i="55"/>
  <c r="AE48" i="55"/>
  <c r="M73" i="55"/>
  <c r="N21" i="55"/>
  <c r="Q22" i="55"/>
  <c r="Q47" i="55"/>
  <c r="AE20" i="55"/>
  <c r="AF23" i="55"/>
  <c r="AE42" i="55"/>
  <c r="AE45" i="55"/>
  <c r="AF48" i="55"/>
  <c r="AE65" i="55"/>
  <c r="AE67" i="55"/>
  <c r="AE19" i="55"/>
  <c r="AF20" i="55"/>
  <c r="AE39" i="55"/>
  <c r="AE41" i="55"/>
  <c r="AF42" i="55"/>
  <c r="AG36" i="55" s="1"/>
  <c r="AE43" i="55"/>
  <c r="AE44" i="55"/>
  <c r="AF45" i="55"/>
  <c r="M50" i="55"/>
  <c r="AE64" i="55"/>
  <c r="AF65" i="55"/>
  <c r="AE66" i="55"/>
  <c r="AF67" i="55"/>
  <c r="AE18" i="55"/>
  <c r="AE35" i="55"/>
  <c r="AE38" i="55"/>
  <c r="AE40" i="55"/>
  <c r="AE63" i="55"/>
  <c r="AF66" i="55"/>
  <c r="AF40" i="55"/>
  <c r="F8" i="59" l="1"/>
  <c r="E8" i="59"/>
  <c r="G8" i="59"/>
  <c r="Q11" i="57"/>
  <c r="R5" i="57" s="1"/>
  <c r="P11" i="57"/>
  <c r="D2" i="57"/>
  <c r="Q60" i="57"/>
  <c r="R51" i="57" s="1"/>
  <c r="P60" i="57"/>
  <c r="Q41" i="57"/>
  <c r="R35" i="57" s="1"/>
  <c r="P41" i="57"/>
  <c r="Q50" i="57"/>
  <c r="R42" i="57" s="1"/>
  <c r="P50" i="57"/>
  <c r="Q83" i="57"/>
  <c r="R77" i="57" s="1"/>
  <c r="P83" i="57"/>
  <c r="Q34" i="57"/>
  <c r="R25" i="57" s="1"/>
  <c r="P34" i="57"/>
  <c r="Q76" i="57"/>
  <c r="R71" i="57" s="1"/>
  <c r="P76" i="57"/>
  <c r="Q70" i="57"/>
  <c r="R61" i="57" s="1"/>
  <c r="P70" i="57"/>
  <c r="Q46" i="55"/>
  <c r="P46" i="55"/>
  <c r="P25" i="55"/>
  <c r="Q25" i="55"/>
  <c r="R15" i="55" s="1"/>
  <c r="F14" i="54"/>
  <c r="F15" i="54" s="1"/>
  <c r="P43" i="55"/>
  <c r="Q43" i="55"/>
  <c r="K15" i="54"/>
  <c r="Q15" i="55"/>
  <c r="P15" i="55"/>
  <c r="D15" i="54"/>
  <c r="Q21" i="55"/>
  <c r="P21" i="55"/>
  <c r="N73" i="55"/>
  <c r="AF73" i="55"/>
  <c r="AG69" i="55" s="1"/>
  <c r="AE73" i="55"/>
  <c r="Q63" i="55"/>
  <c r="P63" i="55"/>
  <c r="AF59" i="55"/>
  <c r="AG51" i="55" s="1"/>
  <c r="AE59" i="55"/>
  <c r="N59" i="55"/>
  <c r="Q38" i="55"/>
  <c r="P38" i="55"/>
  <c r="Q18" i="55"/>
  <c r="P18" i="55"/>
  <c r="P68" i="55"/>
  <c r="I14" i="54"/>
  <c r="I15" i="54" s="1"/>
  <c r="Q68" i="55"/>
  <c r="R60" i="55" s="1"/>
  <c r="N50" i="55"/>
  <c r="AF50" i="55"/>
  <c r="AG43" i="55" s="1"/>
  <c r="AE50" i="55"/>
  <c r="Q60" i="55"/>
  <c r="P60" i="55"/>
  <c r="Q73" i="55" l="1"/>
  <c r="R69" i="55" s="1"/>
  <c r="J14" i="54"/>
  <c r="J15" i="54" s="1"/>
  <c r="P73" i="55"/>
  <c r="L14" i="54"/>
  <c r="P50" i="55"/>
  <c r="Q50" i="55"/>
  <c r="R43" i="55" s="1"/>
  <c r="Q59" i="55"/>
  <c r="R51" i="55" s="1"/>
  <c r="P59" i="55"/>
  <c r="H14" i="54"/>
  <c r="H15" i="54" s="1"/>
  <c r="D2" i="55"/>
  <c r="E7" i="54" l="1"/>
  <c r="G7" i="54"/>
  <c r="L15" i="54"/>
  <c r="I8" i="54" s="1"/>
  <c r="I7" i="54"/>
  <c r="F8" i="54"/>
  <c r="F7" i="54"/>
  <c r="G8" i="54"/>
  <c r="E8" i="54" l="1"/>
  <c r="AD81" i="53" l="1"/>
  <c r="Z81" i="53"/>
  <c r="Y81" i="53"/>
  <c r="O81" i="53"/>
  <c r="K81" i="53"/>
  <c r="AF80" i="53"/>
  <c r="V80" i="53"/>
  <c r="U80" i="53"/>
  <c r="O80" i="53"/>
  <c r="M80" i="53"/>
  <c r="AE80" i="53" s="1"/>
  <c r="K80" i="53"/>
  <c r="G80" i="53"/>
  <c r="AF79" i="53"/>
  <c r="X79" i="53"/>
  <c r="W79" i="53"/>
  <c r="V79" i="53"/>
  <c r="U79" i="53"/>
  <c r="O79" i="53"/>
  <c r="M79" i="53"/>
  <c r="N79" i="53" s="1"/>
  <c r="K79" i="53"/>
  <c r="G79" i="53"/>
  <c r="AF78" i="53"/>
  <c r="V78" i="53"/>
  <c r="U78" i="53"/>
  <c r="O78" i="53"/>
  <c r="M78" i="53"/>
  <c r="AE78" i="53" s="1"/>
  <c r="K78" i="53"/>
  <c r="G78" i="53"/>
  <c r="AF77" i="53"/>
  <c r="AE77" i="53"/>
  <c r="V77" i="53"/>
  <c r="U77" i="53"/>
  <c r="O77" i="53"/>
  <c r="N77" i="53"/>
  <c r="Q77" i="53" s="1"/>
  <c r="M77" i="53"/>
  <c r="K77" i="53"/>
  <c r="G77" i="53"/>
  <c r="V76" i="53"/>
  <c r="M76" i="53" s="1"/>
  <c r="U76" i="53"/>
  <c r="O76" i="53"/>
  <c r="K76" i="53"/>
  <c r="G76" i="53"/>
  <c r="AF75" i="53"/>
  <c r="AE75" i="53"/>
  <c r="X75" i="53"/>
  <c r="W75" i="53"/>
  <c r="V75" i="53"/>
  <c r="O75" i="53"/>
  <c r="M75" i="53"/>
  <c r="N75" i="53" s="1"/>
  <c r="K75" i="53"/>
  <c r="G75" i="53"/>
  <c r="AD74" i="53"/>
  <c r="Z74" i="53"/>
  <c r="Y74" i="53"/>
  <c r="O74" i="53"/>
  <c r="K74" i="53"/>
  <c r="V73" i="53"/>
  <c r="M73" i="53" s="1"/>
  <c r="U73" i="53"/>
  <c r="O73" i="53"/>
  <c r="K73" i="53"/>
  <c r="G73" i="53"/>
  <c r="AF72" i="53"/>
  <c r="AE72" i="53"/>
  <c r="X72" i="53"/>
  <c r="W72" i="53"/>
  <c r="V72" i="53"/>
  <c r="U72" i="53"/>
  <c r="O72" i="53"/>
  <c r="N72" i="53"/>
  <c r="Q72" i="53" s="1"/>
  <c r="M72" i="53"/>
  <c r="K72" i="53"/>
  <c r="G72" i="53"/>
  <c r="V71" i="53"/>
  <c r="M71" i="53" s="1"/>
  <c r="U71" i="53"/>
  <c r="O71" i="53"/>
  <c r="K71" i="53"/>
  <c r="G71" i="53"/>
  <c r="V70" i="53"/>
  <c r="M70" i="53" s="1"/>
  <c r="U70" i="53"/>
  <c r="O70" i="53"/>
  <c r="K70" i="53"/>
  <c r="G70" i="53"/>
  <c r="V69" i="53"/>
  <c r="M69" i="53" s="1"/>
  <c r="O69" i="53"/>
  <c r="K69" i="53"/>
  <c r="G69" i="53"/>
  <c r="AD68" i="53"/>
  <c r="I21" i="52" s="1"/>
  <c r="Z68" i="53"/>
  <c r="I19" i="52" s="1"/>
  <c r="Y68" i="53"/>
  <c r="O68" i="53"/>
  <c r="K68" i="53"/>
  <c r="V67" i="53"/>
  <c r="M67" i="53" s="1"/>
  <c r="U67" i="53"/>
  <c r="O67" i="53"/>
  <c r="K67" i="53"/>
  <c r="G67" i="53"/>
  <c r="X66" i="53"/>
  <c r="W66" i="53"/>
  <c r="V66" i="53"/>
  <c r="M66" i="53" s="1"/>
  <c r="U66" i="53"/>
  <c r="O66" i="53"/>
  <c r="K66" i="53"/>
  <c r="G66" i="53"/>
  <c r="V65" i="53"/>
  <c r="M65" i="53" s="1"/>
  <c r="U65" i="53"/>
  <c r="O65" i="53"/>
  <c r="K65" i="53"/>
  <c r="G65" i="53"/>
  <c r="V64" i="53"/>
  <c r="M64" i="53" s="1"/>
  <c r="U64" i="53"/>
  <c r="O64" i="53"/>
  <c r="K64" i="53"/>
  <c r="G64" i="53"/>
  <c r="V63" i="53"/>
  <c r="M63" i="53" s="1"/>
  <c r="U63" i="53"/>
  <c r="O63" i="53"/>
  <c r="K63" i="53"/>
  <c r="G63" i="53"/>
  <c r="V62" i="53"/>
  <c r="U62" i="53"/>
  <c r="O62" i="53"/>
  <c r="N62" i="53"/>
  <c r="Q62" i="53" s="1"/>
  <c r="M62" i="53"/>
  <c r="AF62" i="53" s="1"/>
  <c r="K62" i="53"/>
  <c r="G62" i="53"/>
  <c r="V61" i="53"/>
  <c r="U61" i="53"/>
  <c r="O61" i="53"/>
  <c r="M61" i="53"/>
  <c r="AF61" i="53" s="1"/>
  <c r="K61" i="53"/>
  <c r="G61" i="53"/>
  <c r="V60" i="53"/>
  <c r="O60" i="53"/>
  <c r="M60" i="53"/>
  <c r="AF60" i="53" s="1"/>
  <c r="K60" i="53"/>
  <c r="G60" i="53"/>
  <c r="AD59" i="53"/>
  <c r="Z59" i="53"/>
  <c r="Y59" i="53"/>
  <c r="O59" i="53"/>
  <c r="K59" i="53"/>
  <c r="V58" i="53"/>
  <c r="U58" i="53"/>
  <c r="O58" i="53"/>
  <c r="M58" i="53"/>
  <c r="AF58" i="53" s="1"/>
  <c r="K58" i="53"/>
  <c r="G58" i="53"/>
  <c r="AF57" i="53"/>
  <c r="V57" i="53"/>
  <c r="U57" i="53"/>
  <c r="O57" i="53"/>
  <c r="M57" i="53"/>
  <c r="AE57" i="53" s="1"/>
  <c r="K57" i="53"/>
  <c r="G57" i="53"/>
  <c r="AF56" i="53"/>
  <c r="X56" i="53"/>
  <c r="W56" i="53"/>
  <c r="V56" i="53"/>
  <c r="U56" i="53"/>
  <c r="O56" i="53"/>
  <c r="M56" i="53"/>
  <c r="N56" i="53" s="1"/>
  <c r="K56" i="53"/>
  <c r="G56" i="53"/>
  <c r="AF55" i="53"/>
  <c r="V55" i="53"/>
  <c r="U55" i="53"/>
  <c r="O55" i="53"/>
  <c r="M55" i="53"/>
  <c r="AE55" i="53" s="1"/>
  <c r="K55" i="53"/>
  <c r="G55" i="53"/>
  <c r="AF54" i="53"/>
  <c r="AE54" i="53"/>
  <c r="V54" i="53"/>
  <c r="U54" i="53"/>
  <c r="O54" i="53"/>
  <c r="M54" i="53"/>
  <c r="N54" i="53" s="1"/>
  <c r="K54" i="53"/>
  <c r="G54" i="53"/>
  <c r="V53" i="53"/>
  <c r="M53" i="53" s="1"/>
  <c r="U53" i="53"/>
  <c r="O53" i="53"/>
  <c r="K53" i="53"/>
  <c r="G53" i="53"/>
  <c r="V52" i="53"/>
  <c r="M52" i="53" s="1"/>
  <c r="U52" i="53"/>
  <c r="O52" i="53"/>
  <c r="K52" i="53"/>
  <c r="G52" i="53"/>
  <c r="V51" i="53"/>
  <c r="M51" i="53" s="1"/>
  <c r="U51" i="53"/>
  <c r="O51" i="53"/>
  <c r="K51" i="53"/>
  <c r="G51" i="53"/>
  <c r="X50" i="53"/>
  <c r="W50" i="53"/>
  <c r="V50" i="53"/>
  <c r="M50" i="53" s="1"/>
  <c r="O50" i="53"/>
  <c r="K50" i="53"/>
  <c r="G50" i="53"/>
  <c r="AD49" i="53"/>
  <c r="L21" i="52" s="1"/>
  <c r="Z49" i="53"/>
  <c r="Y49" i="53"/>
  <c r="O49" i="53"/>
  <c r="K49" i="53"/>
  <c r="V48" i="53"/>
  <c r="M48" i="53" s="1"/>
  <c r="U48" i="53"/>
  <c r="O48" i="53"/>
  <c r="K48" i="53"/>
  <c r="G48" i="53"/>
  <c r="V47" i="53"/>
  <c r="M47" i="53" s="1"/>
  <c r="U47" i="53"/>
  <c r="O47" i="53"/>
  <c r="K47" i="53"/>
  <c r="G47" i="53"/>
  <c r="X46" i="53"/>
  <c r="W46" i="53"/>
  <c r="V46" i="53"/>
  <c r="M46" i="53" s="1"/>
  <c r="U46" i="53"/>
  <c r="O46" i="53"/>
  <c r="K46" i="53"/>
  <c r="G46" i="53"/>
  <c r="V45" i="53"/>
  <c r="M45" i="53" s="1"/>
  <c r="U45" i="53"/>
  <c r="O45" i="53"/>
  <c r="K45" i="53"/>
  <c r="G45" i="53"/>
  <c r="V44" i="53"/>
  <c r="M44" i="53" s="1"/>
  <c r="U44" i="53"/>
  <c r="O44" i="53"/>
  <c r="K44" i="53"/>
  <c r="G44" i="53"/>
  <c r="V43" i="53"/>
  <c r="M43" i="53" s="1"/>
  <c r="U43" i="53"/>
  <c r="O43" i="53"/>
  <c r="K43" i="53"/>
  <c r="G43" i="53"/>
  <c r="V42" i="53"/>
  <c r="M42" i="53" s="1"/>
  <c r="U42" i="53"/>
  <c r="O42" i="53"/>
  <c r="K42" i="53"/>
  <c r="G42" i="53"/>
  <c r="X41" i="53"/>
  <c r="W41" i="53"/>
  <c r="V41" i="53"/>
  <c r="M41" i="53" s="1"/>
  <c r="O41" i="53"/>
  <c r="K41" i="53"/>
  <c r="G41" i="53"/>
  <c r="AD40" i="53"/>
  <c r="Z40" i="53"/>
  <c r="Y40" i="53"/>
  <c r="O40" i="53"/>
  <c r="K40" i="53"/>
  <c r="V39" i="53"/>
  <c r="M39" i="53" s="1"/>
  <c r="N39" i="53" s="1"/>
  <c r="U39" i="53"/>
  <c r="O39" i="53"/>
  <c r="K39" i="53"/>
  <c r="G39" i="53"/>
  <c r="V38" i="53"/>
  <c r="U38" i="53"/>
  <c r="O38" i="53"/>
  <c r="M38" i="53"/>
  <c r="K38" i="53"/>
  <c r="G38" i="53"/>
  <c r="V37" i="53"/>
  <c r="U37" i="53"/>
  <c r="O37" i="53"/>
  <c r="M37" i="53"/>
  <c r="AF37" i="53" s="1"/>
  <c r="K37" i="53"/>
  <c r="G37" i="53"/>
  <c r="X36" i="53"/>
  <c r="W36" i="53"/>
  <c r="V36" i="53"/>
  <c r="U36" i="53"/>
  <c r="O36" i="53"/>
  <c r="M36" i="53"/>
  <c r="K36" i="53"/>
  <c r="G36" i="53"/>
  <c r="V35" i="53"/>
  <c r="U35" i="53"/>
  <c r="O35" i="53"/>
  <c r="M35" i="53"/>
  <c r="AF35" i="53" s="1"/>
  <c r="K35" i="53"/>
  <c r="G35" i="53"/>
  <c r="V34" i="53"/>
  <c r="U34" i="53"/>
  <c r="O34" i="53"/>
  <c r="M34" i="53"/>
  <c r="AF34" i="53" s="1"/>
  <c r="K34" i="53"/>
  <c r="G34" i="53"/>
  <c r="V33" i="53"/>
  <c r="U33" i="53"/>
  <c r="O33" i="53"/>
  <c r="M33" i="53"/>
  <c r="AE33" i="53" s="1"/>
  <c r="K33" i="53"/>
  <c r="G33" i="53"/>
  <c r="X32" i="53"/>
  <c r="W32" i="53"/>
  <c r="V32" i="53"/>
  <c r="O32" i="53"/>
  <c r="M32" i="53"/>
  <c r="AE32" i="53" s="1"/>
  <c r="K32" i="53"/>
  <c r="G32" i="53"/>
  <c r="AD31" i="53"/>
  <c r="Z31" i="53"/>
  <c r="Y31" i="53"/>
  <c r="O31" i="53"/>
  <c r="K31" i="53"/>
  <c r="G13" i="52" s="1"/>
  <c r="E6" i="52" s="1"/>
  <c r="V30" i="53"/>
  <c r="U30" i="53"/>
  <c r="O30" i="53"/>
  <c r="M30" i="53"/>
  <c r="AE30" i="53" s="1"/>
  <c r="K30" i="53"/>
  <c r="G30" i="53"/>
  <c r="AF29" i="53"/>
  <c r="X29" i="53"/>
  <c r="W29" i="53"/>
  <c r="V29" i="53"/>
  <c r="U29" i="53"/>
  <c r="O29" i="53"/>
  <c r="M29" i="53"/>
  <c r="N29" i="53" s="1"/>
  <c r="K29" i="53"/>
  <c r="G29" i="53"/>
  <c r="V28" i="53"/>
  <c r="U28" i="53"/>
  <c r="O28" i="53"/>
  <c r="M28" i="53"/>
  <c r="AE28" i="53" s="1"/>
  <c r="K28" i="53"/>
  <c r="G28" i="53"/>
  <c r="AF27" i="53"/>
  <c r="V27" i="53"/>
  <c r="U27" i="53"/>
  <c r="O27" i="53"/>
  <c r="M27" i="53"/>
  <c r="N27" i="53" s="1"/>
  <c r="K27" i="53"/>
  <c r="G27" i="53"/>
  <c r="AF26" i="53"/>
  <c r="AE26" i="53"/>
  <c r="V26" i="53"/>
  <c r="U26" i="53"/>
  <c r="O26" i="53"/>
  <c r="M26" i="53"/>
  <c r="N26" i="53" s="1"/>
  <c r="K26" i="53"/>
  <c r="G26" i="53"/>
  <c r="V25" i="53"/>
  <c r="M25" i="53" s="1"/>
  <c r="U25" i="53"/>
  <c r="O25" i="53"/>
  <c r="K25" i="53"/>
  <c r="G25" i="53"/>
  <c r="V24" i="53"/>
  <c r="M24" i="53" s="1"/>
  <c r="U24" i="53"/>
  <c r="O24" i="53"/>
  <c r="K24" i="53"/>
  <c r="G24" i="53"/>
  <c r="V23" i="53"/>
  <c r="M23" i="53" s="1"/>
  <c r="O23" i="53"/>
  <c r="K23" i="53"/>
  <c r="G23" i="53"/>
  <c r="AD22" i="53"/>
  <c r="Z22" i="53"/>
  <c r="F19" i="52" s="1"/>
  <c r="Y22" i="53"/>
  <c r="O22" i="53"/>
  <c r="K22" i="53"/>
  <c r="V21" i="53"/>
  <c r="M21" i="53" s="1"/>
  <c r="U21" i="53"/>
  <c r="O21" i="53"/>
  <c r="K21" i="53"/>
  <c r="G21" i="53"/>
  <c r="X20" i="53"/>
  <c r="W20" i="53"/>
  <c r="V20" i="53"/>
  <c r="M20" i="53" s="1"/>
  <c r="U20" i="53"/>
  <c r="O20" i="53"/>
  <c r="K20" i="53"/>
  <c r="G20" i="53"/>
  <c r="V19" i="53"/>
  <c r="M19" i="53" s="1"/>
  <c r="U19" i="53"/>
  <c r="O19" i="53"/>
  <c r="K19" i="53"/>
  <c r="G19" i="53"/>
  <c r="V18" i="53"/>
  <c r="M18" i="53" s="1"/>
  <c r="U18" i="53"/>
  <c r="O18" i="53"/>
  <c r="K18" i="53"/>
  <c r="G18" i="53"/>
  <c r="V17" i="53"/>
  <c r="U17" i="53"/>
  <c r="O17" i="53"/>
  <c r="N17" i="53"/>
  <c r="M17" i="53"/>
  <c r="AF17" i="53" s="1"/>
  <c r="K17" i="53"/>
  <c r="G17" i="53"/>
  <c r="V16" i="53"/>
  <c r="U16" i="53"/>
  <c r="O16" i="53"/>
  <c r="M16" i="53"/>
  <c r="K16" i="53"/>
  <c r="G16" i="53"/>
  <c r="V15" i="53"/>
  <c r="U15" i="53"/>
  <c r="O15" i="53"/>
  <c r="M15" i="53"/>
  <c r="AF15" i="53" s="1"/>
  <c r="K15" i="53"/>
  <c r="G15" i="53"/>
  <c r="V14" i="53"/>
  <c r="O14" i="53"/>
  <c r="M14" i="53"/>
  <c r="AF14" i="53" s="1"/>
  <c r="K14" i="53"/>
  <c r="G14" i="53"/>
  <c r="AD13" i="53"/>
  <c r="Z13" i="53"/>
  <c r="Y13" i="53"/>
  <c r="O13" i="53"/>
  <c r="K13" i="53"/>
  <c r="E13" i="52" s="1"/>
  <c r="V12" i="53"/>
  <c r="U12" i="53"/>
  <c r="O12" i="53"/>
  <c r="N12" i="53"/>
  <c r="Q12" i="53" s="1"/>
  <c r="M12" i="53"/>
  <c r="AE12" i="53" s="1"/>
  <c r="K12" i="53"/>
  <c r="G12" i="53"/>
  <c r="X11" i="53"/>
  <c r="W11" i="53"/>
  <c r="V11" i="53"/>
  <c r="O11" i="53"/>
  <c r="M11" i="53"/>
  <c r="AE11" i="53" s="1"/>
  <c r="K11" i="53"/>
  <c r="G11" i="53"/>
  <c r="AD10" i="53"/>
  <c r="Z10" i="53"/>
  <c r="Y10" i="53"/>
  <c r="O10" i="53"/>
  <c r="M10" i="53"/>
  <c r="AF10" i="53" s="1"/>
  <c r="AG5" i="53" s="1"/>
  <c r="K10" i="53"/>
  <c r="D13" i="52" s="1"/>
  <c r="V9" i="53"/>
  <c r="U9" i="53"/>
  <c r="O9" i="53"/>
  <c r="N9" i="53"/>
  <c r="Q9" i="53" s="1"/>
  <c r="M9" i="53"/>
  <c r="AE9" i="53" s="1"/>
  <c r="K9" i="53"/>
  <c r="G9" i="53"/>
  <c r="AF8" i="53"/>
  <c r="X8" i="53"/>
  <c r="W8" i="53"/>
  <c r="V8" i="53"/>
  <c r="U8" i="53"/>
  <c r="O8" i="53"/>
  <c r="M8" i="53"/>
  <c r="N8" i="53" s="1"/>
  <c r="K8" i="53"/>
  <c r="G8" i="53"/>
  <c r="V7" i="53"/>
  <c r="U7" i="53"/>
  <c r="O7" i="53"/>
  <c r="N7" i="53"/>
  <c r="Q7" i="53" s="1"/>
  <c r="M7" i="53"/>
  <c r="AE7" i="53" s="1"/>
  <c r="K7" i="53"/>
  <c r="G7" i="53"/>
  <c r="AF6" i="53"/>
  <c r="V6" i="53"/>
  <c r="U6" i="53"/>
  <c r="O6" i="53"/>
  <c r="M6" i="53"/>
  <c r="N6" i="53" s="1"/>
  <c r="K6" i="53"/>
  <c r="G6" i="53"/>
  <c r="AF5" i="53"/>
  <c r="V5" i="53"/>
  <c r="O5" i="53"/>
  <c r="M5" i="53"/>
  <c r="N5" i="53" s="1"/>
  <c r="K5" i="53"/>
  <c r="G5" i="53"/>
  <c r="Z2" i="53"/>
  <c r="L6" i="52" s="1"/>
  <c r="D1" i="53"/>
  <c r="M22" i="52"/>
  <c r="L22" i="52"/>
  <c r="K22" i="52"/>
  <c r="J22" i="52"/>
  <c r="I22" i="52"/>
  <c r="H22" i="52"/>
  <c r="G22" i="52"/>
  <c r="F22" i="52"/>
  <c r="E22" i="52"/>
  <c r="D22" i="52"/>
  <c r="M21" i="52"/>
  <c r="K21" i="52"/>
  <c r="J21" i="52"/>
  <c r="H21" i="52"/>
  <c r="G21" i="52"/>
  <c r="F21" i="52"/>
  <c r="E21" i="52"/>
  <c r="D21" i="52"/>
  <c r="M20" i="52"/>
  <c r="L20" i="52"/>
  <c r="K20" i="52"/>
  <c r="J20" i="52"/>
  <c r="I20" i="52"/>
  <c r="H20" i="52"/>
  <c r="G20" i="52"/>
  <c r="F20" i="52"/>
  <c r="E20" i="52"/>
  <c r="D20" i="52"/>
  <c r="M19" i="52"/>
  <c r="L19" i="52"/>
  <c r="K19" i="52"/>
  <c r="J19" i="52"/>
  <c r="H19" i="52"/>
  <c r="G19" i="52"/>
  <c r="E19" i="52"/>
  <c r="D19" i="52"/>
  <c r="M18" i="52"/>
  <c r="L18" i="52"/>
  <c r="K18" i="52"/>
  <c r="J18" i="52"/>
  <c r="I18" i="52"/>
  <c r="H18" i="52"/>
  <c r="G18" i="52"/>
  <c r="E18" i="52"/>
  <c r="D18" i="52"/>
  <c r="M17" i="52"/>
  <c r="L17" i="52"/>
  <c r="K17" i="52"/>
  <c r="J17" i="52"/>
  <c r="I17" i="52"/>
  <c r="H17" i="52"/>
  <c r="G17" i="52"/>
  <c r="F17" i="52"/>
  <c r="E17" i="52"/>
  <c r="D17" i="52"/>
  <c r="M16" i="52"/>
  <c r="L16" i="52"/>
  <c r="K16" i="52"/>
  <c r="J16" i="52"/>
  <c r="I16" i="52"/>
  <c r="H16" i="52"/>
  <c r="G16" i="52"/>
  <c r="F16" i="52"/>
  <c r="E16" i="52"/>
  <c r="D16" i="52"/>
  <c r="M13" i="52"/>
  <c r="L13" i="52"/>
  <c r="K13" i="52"/>
  <c r="I6" i="52" s="1"/>
  <c r="J13" i="52"/>
  <c r="I13" i="52"/>
  <c r="H13" i="52"/>
  <c r="F13" i="52"/>
  <c r="M6" i="52"/>
  <c r="F3" i="52"/>
  <c r="C3" i="52"/>
  <c r="Q39" i="53" l="1"/>
  <c r="P39" i="53"/>
  <c r="N20" i="53"/>
  <c r="AF20" i="53"/>
  <c r="AE20" i="53"/>
  <c r="Q8" i="53"/>
  <c r="P8" i="53"/>
  <c r="Q17" i="53"/>
  <c r="P17" i="53"/>
  <c r="N25" i="53"/>
  <c r="AE25" i="53"/>
  <c r="AF25" i="53"/>
  <c r="Q29" i="53"/>
  <c r="P29" i="53"/>
  <c r="AF38" i="53"/>
  <c r="AE38" i="53"/>
  <c r="N38" i="53"/>
  <c r="N44" i="53"/>
  <c r="AF44" i="53"/>
  <c r="AE44" i="53"/>
  <c r="N53" i="53"/>
  <c r="AF53" i="53"/>
  <c r="AE53" i="53"/>
  <c r="G6" i="52"/>
  <c r="N19" i="53"/>
  <c r="AF19" i="53"/>
  <c r="AE19" i="53"/>
  <c r="N23" i="53"/>
  <c r="M31" i="53"/>
  <c r="AF23" i="53"/>
  <c r="AE23" i="53"/>
  <c r="N69" i="53"/>
  <c r="AE69" i="53"/>
  <c r="M74" i="53"/>
  <c r="AF69" i="53"/>
  <c r="F1" i="53"/>
  <c r="Q26" i="53"/>
  <c r="P26" i="53"/>
  <c r="AF42" i="53"/>
  <c r="AE42" i="53"/>
  <c r="N42" i="53"/>
  <c r="N51" i="53"/>
  <c r="AF51" i="53"/>
  <c r="AE51" i="53"/>
  <c r="N73" i="53"/>
  <c r="AF73" i="53"/>
  <c r="AE73" i="53"/>
  <c r="AF18" i="53"/>
  <c r="AE18" i="53"/>
  <c r="N18" i="53"/>
  <c r="Q5" i="53"/>
  <c r="P5" i="53"/>
  <c r="N21" i="53"/>
  <c r="AF21" i="53"/>
  <c r="AE21" i="53"/>
  <c r="Q54" i="53"/>
  <c r="P54" i="53"/>
  <c r="N65" i="53"/>
  <c r="AF65" i="53"/>
  <c r="AE65" i="53"/>
  <c r="N67" i="53"/>
  <c r="AF67" i="53"/>
  <c r="AE67" i="53"/>
  <c r="F6" i="52"/>
  <c r="AF16" i="53"/>
  <c r="AE16" i="53"/>
  <c r="N16" i="53"/>
  <c r="Q79" i="53"/>
  <c r="P79" i="53"/>
  <c r="N45" i="53"/>
  <c r="AF45" i="53"/>
  <c r="AE45" i="53"/>
  <c r="N47" i="53"/>
  <c r="AF47" i="53"/>
  <c r="AE47" i="53"/>
  <c r="AF63" i="53"/>
  <c r="AE63" i="53"/>
  <c r="N63" i="53"/>
  <c r="N70" i="53"/>
  <c r="AE70" i="53"/>
  <c r="AF70" i="53"/>
  <c r="F18" i="52"/>
  <c r="Y2" i="53"/>
  <c r="K6" i="52" s="1"/>
  <c r="N24" i="53"/>
  <c r="AF24" i="53"/>
  <c r="AE24" i="53"/>
  <c r="Q56" i="53"/>
  <c r="P56" i="53"/>
  <c r="N41" i="53"/>
  <c r="AF41" i="53"/>
  <c r="AE41" i="53"/>
  <c r="M49" i="53"/>
  <c r="AF43" i="53"/>
  <c r="AE43" i="53"/>
  <c r="N43" i="53"/>
  <c r="N50" i="53"/>
  <c r="M59" i="53"/>
  <c r="AF50" i="53"/>
  <c r="AE50" i="53"/>
  <c r="N52" i="53"/>
  <c r="AE52" i="53"/>
  <c r="AF52" i="53"/>
  <c r="AF39" i="53"/>
  <c r="AE39" i="53"/>
  <c r="N66" i="53"/>
  <c r="AF66" i="53"/>
  <c r="AE66" i="53"/>
  <c r="Q6" i="53"/>
  <c r="P6" i="53"/>
  <c r="AF36" i="53"/>
  <c r="AE36" i="53"/>
  <c r="N36" i="53"/>
  <c r="N76" i="53"/>
  <c r="M81" i="53"/>
  <c r="AF76" i="53"/>
  <c r="AE76" i="53"/>
  <c r="Q27" i="53"/>
  <c r="P27" i="53"/>
  <c r="N46" i="53"/>
  <c r="AF46" i="53"/>
  <c r="AE46" i="53"/>
  <c r="N48" i="53"/>
  <c r="AF48" i="53"/>
  <c r="AE48" i="53"/>
  <c r="N64" i="53"/>
  <c r="AF64" i="53"/>
  <c r="AE64" i="53"/>
  <c r="N71" i="53"/>
  <c r="AF71" i="53"/>
  <c r="AE71" i="53"/>
  <c r="Q75" i="53"/>
  <c r="P75" i="53"/>
  <c r="AE5" i="53"/>
  <c r="AE6" i="53"/>
  <c r="AF7" i="53"/>
  <c r="AE8" i="53"/>
  <c r="AF9" i="53"/>
  <c r="AF11" i="53"/>
  <c r="AF12" i="53"/>
  <c r="AE27" i="53"/>
  <c r="AF28" i="53"/>
  <c r="AE29" i="53"/>
  <c r="AF30" i="53"/>
  <c r="AF32" i="53"/>
  <c r="AF33" i="53"/>
  <c r="AE56" i="53"/>
  <c r="AE79" i="53"/>
  <c r="N10" i="53"/>
  <c r="N11" i="53"/>
  <c r="N14" i="53"/>
  <c r="N15" i="53"/>
  <c r="N32" i="53"/>
  <c r="N35" i="53"/>
  <c r="N37" i="53"/>
  <c r="P62" i="53"/>
  <c r="N34" i="53"/>
  <c r="N58" i="53"/>
  <c r="N28" i="53"/>
  <c r="N30" i="53"/>
  <c r="N33" i="53"/>
  <c r="N55" i="53"/>
  <c r="N57" i="53"/>
  <c r="N78" i="53"/>
  <c r="N80" i="53"/>
  <c r="AD2" i="53"/>
  <c r="N6" i="52" s="1"/>
  <c r="N61" i="53"/>
  <c r="M13" i="53"/>
  <c r="N60" i="53"/>
  <c r="P7" i="53"/>
  <c r="P9" i="53"/>
  <c r="P12" i="53"/>
  <c r="AE17" i="53"/>
  <c r="AE62" i="53"/>
  <c r="M68" i="53"/>
  <c r="M22" i="53"/>
  <c r="AE60" i="53"/>
  <c r="AE61" i="53"/>
  <c r="P72" i="53"/>
  <c r="P77" i="53"/>
  <c r="AE14" i="53"/>
  <c r="AE15" i="53"/>
  <c r="AE35" i="53"/>
  <c r="AE37" i="53"/>
  <c r="AE10" i="53"/>
  <c r="AE34" i="53"/>
  <c r="M40" i="53"/>
  <c r="AE58" i="53"/>
  <c r="AD71" i="51"/>
  <c r="Z71" i="51"/>
  <c r="Y71" i="51"/>
  <c r="O71" i="51"/>
  <c r="K71" i="51"/>
  <c r="AF70" i="51"/>
  <c r="V70" i="51"/>
  <c r="U70" i="51"/>
  <c r="O70" i="51"/>
  <c r="N70" i="51"/>
  <c r="Q70" i="51" s="1"/>
  <c r="M70" i="51"/>
  <c r="AE70" i="51" s="1"/>
  <c r="K70" i="51"/>
  <c r="G70" i="51"/>
  <c r="V69" i="51"/>
  <c r="U69" i="51"/>
  <c r="O69" i="51"/>
  <c r="N69" i="51"/>
  <c r="M69" i="51"/>
  <c r="K69" i="51"/>
  <c r="G69" i="51"/>
  <c r="V68" i="51"/>
  <c r="M68" i="51" s="1"/>
  <c r="AE68" i="51" s="1"/>
  <c r="U68" i="51"/>
  <c r="O68" i="51"/>
  <c r="K68" i="51"/>
  <c r="G68" i="51"/>
  <c r="V67" i="51"/>
  <c r="U67" i="51"/>
  <c r="O67" i="51"/>
  <c r="M67" i="51"/>
  <c r="N67" i="51" s="1"/>
  <c r="K67" i="51"/>
  <c r="G67" i="51"/>
  <c r="AF66" i="51"/>
  <c r="AE66" i="51"/>
  <c r="X66" i="51"/>
  <c r="W66" i="51"/>
  <c r="V66" i="51"/>
  <c r="Q66" i="51"/>
  <c r="P66" i="51"/>
  <c r="O66" i="51"/>
  <c r="N66" i="51"/>
  <c r="M66" i="51"/>
  <c r="K66" i="51"/>
  <c r="G66" i="51"/>
  <c r="AD65" i="51"/>
  <c r="Z65" i="51"/>
  <c r="Y65" i="51"/>
  <c r="O65" i="51"/>
  <c r="K65" i="51"/>
  <c r="J13" i="50" s="1"/>
  <c r="V64" i="51"/>
  <c r="U64" i="51"/>
  <c r="O64" i="51"/>
  <c r="M64" i="51"/>
  <c r="AF64" i="51" s="1"/>
  <c r="K64" i="51"/>
  <c r="G64" i="51"/>
  <c r="V63" i="51"/>
  <c r="U63" i="51"/>
  <c r="O63" i="51"/>
  <c r="M63" i="51"/>
  <c r="N63" i="51" s="1"/>
  <c r="K63" i="51"/>
  <c r="G63" i="51"/>
  <c r="V62" i="51"/>
  <c r="U62" i="51"/>
  <c r="O62" i="51"/>
  <c r="M62" i="51"/>
  <c r="K62" i="51"/>
  <c r="G62" i="51"/>
  <c r="AF61" i="51"/>
  <c r="V61" i="51"/>
  <c r="M61" i="51" s="1"/>
  <c r="N61" i="51" s="1"/>
  <c r="Q61" i="51" s="1"/>
  <c r="P61" i="51"/>
  <c r="O61" i="51"/>
  <c r="K61" i="51"/>
  <c r="G61" i="51"/>
  <c r="AD60" i="51"/>
  <c r="Z60" i="51"/>
  <c r="I19" i="50" s="1"/>
  <c r="Y60" i="51"/>
  <c r="O60" i="51"/>
  <c r="K60" i="51"/>
  <c r="I13" i="50" s="1"/>
  <c r="V59" i="51"/>
  <c r="M59" i="51" s="1"/>
  <c r="N59" i="51" s="1"/>
  <c r="U59" i="51"/>
  <c r="O59" i="51"/>
  <c r="K59" i="51"/>
  <c r="G59" i="51"/>
  <c r="V58" i="51"/>
  <c r="U58" i="51"/>
  <c r="O58" i="51"/>
  <c r="M58" i="51"/>
  <c r="N58" i="51" s="1"/>
  <c r="K58" i="51"/>
  <c r="G58" i="51"/>
  <c r="AF57" i="51"/>
  <c r="AE57" i="51"/>
  <c r="V57" i="51"/>
  <c r="U57" i="51"/>
  <c r="Q57" i="51"/>
  <c r="P57" i="51"/>
  <c r="O57" i="51"/>
  <c r="N57" i="51"/>
  <c r="M57" i="51"/>
  <c r="K57" i="51"/>
  <c r="G57" i="51"/>
  <c r="V56" i="51"/>
  <c r="U56" i="51"/>
  <c r="O56" i="51"/>
  <c r="M56" i="51"/>
  <c r="AF56" i="51" s="1"/>
  <c r="K56" i="51"/>
  <c r="G56" i="51"/>
  <c r="V55" i="51"/>
  <c r="U55" i="51"/>
  <c r="O55" i="51"/>
  <c r="M55" i="51"/>
  <c r="AF55" i="51" s="1"/>
  <c r="K55" i="51"/>
  <c r="G55" i="51"/>
  <c r="V54" i="51"/>
  <c r="U54" i="51"/>
  <c r="O54" i="51"/>
  <c r="M54" i="51"/>
  <c r="AF54" i="51" s="1"/>
  <c r="K54" i="51"/>
  <c r="G54" i="51"/>
  <c r="V53" i="51"/>
  <c r="U53" i="51"/>
  <c r="O53" i="51"/>
  <c r="M53" i="51"/>
  <c r="K53" i="51"/>
  <c r="G53" i="51"/>
  <c r="V52" i="51"/>
  <c r="M52" i="51" s="1"/>
  <c r="N52" i="51" s="1"/>
  <c r="P52" i="51" s="1"/>
  <c r="Q52" i="51"/>
  <c r="O52" i="51"/>
  <c r="K52" i="51"/>
  <c r="G52" i="51"/>
  <c r="AD51" i="51"/>
  <c r="Z51" i="51"/>
  <c r="H19" i="50" s="1"/>
  <c r="Y51" i="51"/>
  <c r="O51" i="51"/>
  <c r="M51" i="51"/>
  <c r="K51" i="51"/>
  <c r="H13" i="50" s="1"/>
  <c r="AF50" i="51"/>
  <c r="AE50" i="51"/>
  <c r="V50" i="51"/>
  <c r="M50" i="51" s="1"/>
  <c r="N50" i="51" s="1"/>
  <c r="U50" i="51"/>
  <c r="O50" i="51"/>
  <c r="K50" i="51"/>
  <c r="G50" i="51"/>
  <c r="V49" i="51"/>
  <c r="U49" i="51"/>
  <c r="O49" i="51"/>
  <c r="M49" i="51"/>
  <c r="K49" i="51"/>
  <c r="G49" i="51"/>
  <c r="AF48" i="51"/>
  <c r="AE48" i="51"/>
  <c r="V48" i="51"/>
  <c r="U48" i="51"/>
  <c r="Q48" i="51"/>
  <c r="P48" i="51"/>
  <c r="O48" i="51"/>
  <c r="N48" i="51"/>
  <c r="M48" i="51"/>
  <c r="K48" i="51"/>
  <c r="G48" i="51"/>
  <c r="V47" i="51"/>
  <c r="U47" i="51"/>
  <c r="O47" i="51"/>
  <c r="M47" i="51"/>
  <c r="AF47" i="51" s="1"/>
  <c r="K47" i="51"/>
  <c r="G47" i="51"/>
  <c r="V46" i="51"/>
  <c r="U46" i="51"/>
  <c r="O46" i="51"/>
  <c r="M46" i="51"/>
  <c r="AF46" i="51" s="1"/>
  <c r="K46" i="51"/>
  <c r="G46" i="51"/>
  <c r="AE45" i="51"/>
  <c r="V45" i="51"/>
  <c r="U45" i="51"/>
  <c r="Q45" i="51"/>
  <c r="P45" i="51"/>
  <c r="O45" i="51"/>
  <c r="N45" i="51"/>
  <c r="M45" i="51"/>
  <c r="AF45" i="51" s="1"/>
  <c r="K45" i="51"/>
  <c r="G45" i="51"/>
  <c r="AF44" i="51"/>
  <c r="AE44" i="51"/>
  <c r="X44" i="51"/>
  <c r="W44" i="51"/>
  <c r="V44" i="51"/>
  <c r="O44" i="51"/>
  <c r="N44" i="51"/>
  <c r="Q44" i="51" s="1"/>
  <c r="M44" i="51"/>
  <c r="K44" i="51"/>
  <c r="G44" i="51"/>
  <c r="AD43" i="51"/>
  <c r="Z43" i="51"/>
  <c r="L19" i="50" s="1"/>
  <c r="Y43" i="51"/>
  <c r="O43" i="51"/>
  <c r="K43" i="51"/>
  <c r="V42" i="51"/>
  <c r="U42" i="51"/>
  <c r="O42" i="51"/>
  <c r="M42" i="51"/>
  <c r="N42" i="51" s="1"/>
  <c r="K42" i="51"/>
  <c r="G42" i="51"/>
  <c r="AF41" i="51"/>
  <c r="AE41" i="51"/>
  <c r="X41" i="51"/>
  <c r="W41" i="51"/>
  <c r="V41" i="51"/>
  <c r="U41" i="51"/>
  <c r="O41" i="51"/>
  <c r="M41" i="51"/>
  <c r="N41" i="51" s="1"/>
  <c r="K41" i="51"/>
  <c r="G41" i="51"/>
  <c r="V40" i="51"/>
  <c r="U40" i="51"/>
  <c r="O40" i="51"/>
  <c r="M40" i="51"/>
  <c r="N40" i="51" s="1"/>
  <c r="K40" i="51"/>
  <c r="G40" i="51"/>
  <c r="V39" i="51"/>
  <c r="U39" i="51"/>
  <c r="O39" i="51"/>
  <c r="M39" i="51"/>
  <c r="K39" i="51"/>
  <c r="G39" i="51"/>
  <c r="AE38" i="51"/>
  <c r="V38" i="51"/>
  <c r="M38" i="51" s="1"/>
  <c r="U38" i="51"/>
  <c r="O38" i="51"/>
  <c r="K38" i="51"/>
  <c r="G38" i="51"/>
  <c r="V37" i="51"/>
  <c r="U37" i="51"/>
  <c r="O37" i="51"/>
  <c r="M37" i="51"/>
  <c r="K37" i="51"/>
  <c r="G37" i="51"/>
  <c r="AF36" i="51"/>
  <c r="AE36" i="51"/>
  <c r="X36" i="51"/>
  <c r="W36" i="51"/>
  <c r="V36" i="51"/>
  <c r="Q36" i="51"/>
  <c r="P36" i="51"/>
  <c r="O36" i="51"/>
  <c r="N36" i="51"/>
  <c r="M36" i="51"/>
  <c r="K36" i="51"/>
  <c r="G36" i="51"/>
  <c r="AD35" i="51"/>
  <c r="Z35" i="51"/>
  <c r="Y35" i="51"/>
  <c r="O35" i="51"/>
  <c r="K35" i="51"/>
  <c r="K13" i="50" s="1"/>
  <c r="V34" i="51"/>
  <c r="U34" i="51"/>
  <c r="O34" i="51"/>
  <c r="M34" i="51"/>
  <c r="AF34" i="51" s="1"/>
  <c r="K34" i="51"/>
  <c r="G34" i="51"/>
  <c r="V33" i="51"/>
  <c r="U33" i="51"/>
  <c r="O33" i="51"/>
  <c r="M33" i="51"/>
  <c r="N33" i="51" s="1"/>
  <c r="K33" i="51"/>
  <c r="G33" i="51"/>
  <c r="V32" i="51"/>
  <c r="U32" i="51"/>
  <c r="O32" i="51"/>
  <c r="M32" i="51"/>
  <c r="K32" i="51"/>
  <c r="G32" i="51"/>
  <c r="V31" i="51"/>
  <c r="M31" i="51" s="1"/>
  <c r="U31" i="51"/>
  <c r="O31" i="51"/>
  <c r="K31" i="51"/>
  <c r="G31" i="51"/>
  <c r="X30" i="51"/>
  <c r="W30" i="51"/>
  <c r="V30" i="51"/>
  <c r="O30" i="51"/>
  <c r="M30" i="51"/>
  <c r="K30" i="51"/>
  <c r="G30" i="51"/>
  <c r="AD29" i="51"/>
  <c r="Z29" i="51"/>
  <c r="Y29" i="51"/>
  <c r="O29" i="51"/>
  <c r="K29" i="51"/>
  <c r="G13" i="50" s="1"/>
  <c r="V28" i="51"/>
  <c r="U28" i="51"/>
  <c r="O28" i="51"/>
  <c r="M28" i="51"/>
  <c r="AF28" i="51" s="1"/>
  <c r="K28" i="51"/>
  <c r="G28" i="51"/>
  <c r="V27" i="51"/>
  <c r="U27" i="51"/>
  <c r="O27" i="51"/>
  <c r="M27" i="51"/>
  <c r="AF27" i="51" s="1"/>
  <c r="K27" i="51"/>
  <c r="G27" i="51"/>
  <c r="V26" i="51"/>
  <c r="U26" i="51"/>
  <c r="O26" i="51"/>
  <c r="M26" i="51"/>
  <c r="AF26" i="51" s="1"/>
  <c r="K26" i="51"/>
  <c r="G26" i="51"/>
  <c r="V25" i="51"/>
  <c r="U25" i="51"/>
  <c r="O25" i="51"/>
  <c r="M25" i="51"/>
  <c r="K25" i="51"/>
  <c r="G25" i="51"/>
  <c r="AE24" i="51"/>
  <c r="V24" i="51"/>
  <c r="M24" i="51" s="1"/>
  <c r="U24" i="51"/>
  <c r="O24" i="51"/>
  <c r="K24" i="51"/>
  <c r="G24" i="51"/>
  <c r="V23" i="51"/>
  <c r="U23" i="51"/>
  <c r="O23" i="51"/>
  <c r="M23" i="51"/>
  <c r="N23" i="51" s="1"/>
  <c r="K23" i="51"/>
  <c r="G23" i="51"/>
  <c r="V22" i="51"/>
  <c r="M22" i="51" s="1"/>
  <c r="AF22" i="51" s="1"/>
  <c r="O22" i="51"/>
  <c r="K22" i="51"/>
  <c r="G22" i="51"/>
  <c r="AD21" i="51"/>
  <c r="F21" i="50" s="1"/>
  <c r="Z21" i="51"/>
  <c r="F19" i="50" s="1"/>
  <c r="Y21" i="51"/>
  <c r="O21" i="51"/>
  <c r="K21" i="51"/>
  <c r="F13" i="50" s="1"/>
  <c r="AF20" i="51"/>
  <c r="AE20" i="51"/>
  <c r="V20" i="51"/>
  <c r="U20" i="51"/>
  <c r="Q20" i="51"/>
  <c r="P20" i="51"/>
  <c r="O20" i="51"/>
  <c r="N20" i="51"/>
  <c r="M20" i="51"/>
  <c r="K20" i="51"/>
  <c r="G20" i="51"/>
  <c r="V19" i="51"/>
  <c r="U19" i="51"/>
  <c r="O19" i="51"/>
  <c r="M19" i="51"/>
  <c r="AF19" i="51" s="1"/>
  <c r="K19" i="51"/>
  <c r="G19" i="51"/>
  <c r="V18" i="51"/>
  <c r="U18" i="51"/>
  <c r="O18" i="51"/>
  <c r="M18" i="51"/>
  <c r="AF18" i="51" s="1"/>
  <c r="K18" i="51"/>
  <c r="G18" i="51"/>
  <c r="V17" i="51"/>
  <c r="U17" i="51"/>
  <c r="O17" i="51"/>
  <c r="M17" i="51"/>
  <c r="AF17" i="51" s="1"/>
  <c r="K17" i="51"/>
  <c r="G17" i="51"/>
  <c r="V16" i="51"/>
  <c r="U16" i="51"/>
  <c r="O16" i="51"/>
  <c r="M16" i="51"/>
  <c r="K16" i="51"/>
  <c r="G16" i="51"/>
  <c r="V15" i="51"/>
  <c r="M15" i="51" s="1"/>
  <c r="U15" i="51"/>
  <c r="O15" i="51"/>
  <c r="K15" i="51"/>
  <c r="G15" i="51"/>
  <c r="AF14" i="51"/>
  <c r="AE14" i="51"/>
  <c r="V14" i="51"/>
  <c r="O14" i="51"/>
  <c r="N14" i="51"/>
  <c r="P14" i="51" s="1"/>
  <c r="M14" i="51"/>
  <c r="K14" i="51"/>
  <c r="G14" i="51"/>
  <c r="AD13" i="51"/>
  <c r="E21" i="50" s="1"/>
  <c r="Z13" i="51"/>
  <c r="E19" i="50" s="1"/>
  <c r="Y13" i="51"/>
  <c r="O13" i="51"/>
  <c r="K13" i="51"/>
  <c r="V12" i="51"/>
  <c r="M12" i="51" s="1"/>
  <c r="U12" i="51"/>
  <c r="O12" i="51"/>
  <c r="K12" i="51"/>
  <c r="G12" i="51"/>
  <c r="AF11" i="51"/>
  <c r="X11" i="51"/>
  <c r="W11" i="51"/>
  <c r="V11" i="51"/>
  <c r="O11" i="51"/>
  <c r="M11" i="51"/>
  <c r="K11" i="51"/>
  <c r="G11" i="51"/>
  <c r="AD10" i="51"/>
  <c r="D21" i="50" s="1"/>
  <c r="Z10" i="51"/>
  <c r="Y10" i="51"/>
  <c r="Y2" i="51" s="1"/>
  <c r="O10" i="51"/>
  <c r="K10" i="51"/>
  <c r="V9" i="51"/>
  <c r="U9" i="51"/>
  <c r="O9" i="51"/>
  <c r="M9" i="51"/>
  <c r="K9" i="51"/>
  <c r="G9" i="51"/>
  <c r="V8" i="51"/>
  <c r="M8" i="51" s="1"/>
  <c r="N8" i="51" s="1"/>
  <c r="U8" i="51"/>
  <c r="Q8" i="51"/>
  <c r="P8" i="51"/>
  <c r="O8" i="51"/>
  <c r="K8" i="51"/>
  <c r="G8" i="51"/>
  <c r="AF7" i="51"/>
  <c r="AE7" i="51"/>
  <c r="V7" i="51"/>
  <c r="U7" i="51"/>
  <c r="O7" i="51"/>
  <c r="N7" i="51"/>
  <c r="P7" i="51" s="1"/>
  <c r="M7" i="51"/>
  <c r="K7" i="51"/>
  <c r="G7" i="51"/>
  <c r="V6" i="51"/>
  <c r="M6" i="51" s="1"/>
  <c r="N6" i="51" s="1"/>
  <c r="U6" i="51"/>
  <c r="O6" i="51"/>
  <c r="K6" i="51"/>
  <c r="G6" i="51"/>
  <c r="AE5" i="51"/>
  <c r="V5" i="51"/>
  <c r="O5" i="51"/>
  <c r="N5" i="51"/>
  <c r="Q5" i="51" s="1"/>
  <c r="M5" i="51"/>
  <c r="K5" i="51"/>
  <c r="G5" i="51"/>
  <c r="AD2" i="51"/>
  <c r="N6" i="50" s="1"/>
  <c r="H2" i="51"/>
  <c r="H1" i="51"/>
  <c r="D1" i="51"/>
  <c r="M22" i="50"/>
  <c r="L22" i="50"/>
  <c r="K22" i="50"/>
  <c r="J22" i="50"/>
  <c r="I22" i="50"/>
  <c r="H22" i="50"/>
  <c r="G22" i="50"/>
  <c r="F22" i="50"/>
  <c r="E22" i="50"/>
  <c r="D22" i="50"/>
  <c r="M21" i="50"/>
  <c r="L21" i="50"/>
  <c r="K21" i="50"/>
  <c r="J21" i="50"/>
  <c r="I21" i="50"/>
  <c r="H21" i="50"/>
  <c r="G21" i="50"/>
  <c r="M20" i="50"/>
  <c r="L20" i="50"/>
  <c r="K20" i="50"/>
  <c r="J20" i="50"/>
  <c r="I20" i="50"/>
  <c r="H20" i="50"/>
  <c r="G20" i="50"/>
  <c r="F20" i="50"/>
  <c r="E20" i="50"/>
  <c r="D20" i="50"/>
  <c r="M19" i="50"/>
  <c r="K19" i="50"/>
  <c r="J19" i="50"/>
  <c r="G19" i="50"/>
  <c r="M18" i="50"/>
  <c r="L18" i="50"/>
  <c r="K18" i="50"/>
  <c r="J18" i="50"/>
  <c r="I18" i="50"/>
  <c r="H18" i="50"/>
  <c r="G18" i="50"/>
  <c r="F18" i="50"/>
  <c r="E18" i="50"/>
  <c r="D18" i="50"/>
  <c r="M17" i="50"/>
  <c r="L17" i="50"/>
  <c r="K17" i="50"/>
  <c r="J17" i="50"/>
  <c r="I17" i="50"/>
  <c r="H17" i="50"/>
  <c r="G17" i="50"/>
  <c r="F17" i="50"/>
  <c r="E17" i="50"/>
  <c r="D17" i="50"/>
  <c r="M16" i="50"/>
  <c r="L16" i="50"/>
  <c r="K16" i="50"/>
  <c r="J16" i="50"/>
  <c r="I16" i="50"/>
  <c r="H16" i="50"/>
  <c r="G16" i="50"/>
  <c r="F16" i="50"/>
  <c r="E16" i="50"/>
  <c r="D16" i="50"/>
  <c r="M13" i="50"/>
  <c r="L13" i="50"/>
  <c r="E13" i="50"/>
  <c r="D13" i="50"/>
  <c r="M6" i="50"/>
  <c r="K6" i="50"/>
  <c r="F3" i="50"/>
  <c r="C3" i="50"/>
  <c r="Q58" i="53" l="1"/>
  <c r="P58" i="53"/>
  <c r="Q47" i="53"/>
  <c r="P47" i="53"/>
  <c r="Q67" i="53"/>
  <c r="P67" i="53"/>
  <c r="Q19" i="53"/>
  <c r="P19" i="53"/>
  <c r="Q60" i="53"/>
  <c r="P60" i="53"/>
  <c r="Q34" i="53"/>
  <c r="P34" i="53"/>
  <c r="Q50" i="53"/>
  <c r="P50" i="53"/>
  <c r="P24" i="53"/>
  <c r="Q24" i="53"/>
  <c r="F2" i="53"/>
  <c r="I3" i="52"/>
  <c r="AF13" i="53"/>
  <c r="AG11" i="53" s="1"/>
  <c r="AE13" i="53"/>
  <c r="N13" i="53"/>
  <c r="P46" i="53"/>
  <c r="Q46" i="53"/>
  <c r="P43" i="53"/>
  <c r="Q43" i="53"/>
  <c r="Q45" i="53"/>
  <c r="P45" i="53"/>
  <c r="Q65" i="53"/>
  <c r="P65" i="53"/>
  <c r="AF74" i="53"/>
  <c r="AG69" i="53" s="1"/>
  <c r="N74" i="53"/>
  <c r="AE74" i="53"/>
  <c r="Q25" i="53"/>
  <c r="P25" i="53"/>
  <c r="Q35" i="53"/>
  <c r="P35" i="53"/>
  <c r="P66" i="53"/>
  <c r="Q66" i="53"/>
  <c r="Q73" i="53"/>
  <c r="P73" i="53"/>
  <c r="Q53" i="53"/>
  <c r="P53" i="53"/>
  <c r="Q37" i="53"/>
  <c r="P37" i="53"/>
  <c r="Q80" i="53"/>
  <c r="P80" i="53"/>
  <c r="Q32" i="53"/>
  <c r="P32" i="53"/>
  <c r="Q71" i="53"/>
  <c r="P71" i="53"/>
  <c r="N49" i="53"/>
  <c r="AE49" i="53"/>
  <c r="AF49" i="53"/>
  <c r="AG41" i="53" s="1"/>
  <c r="Q69" i="53"/>
  <c r="P69" i="53"/>
  <c r="N22" i="53"/>
  <c r="AF22" i="53"/>
  <c r="AG14" i="53" s="1"/>
  <c r="AE22" i="53"/>
  <c r="Q78" i="53"/>
  <c r="P78" i="53"/>
  <c r="Q15" i="53"/>
  <c r="P15" i="53"/>
  <c r="Q70" i="53"/>
  <c r="P70" i="53"/>
  <c r="Q16" i="53"/>
  <c r="P16" i="53"/>
  <c r="AF59" i="53"/>
  <c r="AG50" i="53" s="1"/>
  <c r="AE59" i="53"/>
  <c r="N59" i="53"/>
  <c r="Q61" i="53"/>
  <c r="P61" i="53"/>
  <c r="N40" i="53"/>
  <c r="AF40" i="53"/>
  <c r="AG32" i="53" s="1"/>
  <c r="AE40" i="53"/>
  <c r="N68" i="53"/>
  <c r="AF68" i="53"/>
  <c r="AG60" i="53" s="1"/>
  <c r="AE68" i="53"/>
  <c r="Q57" i="53"/>
  <c r="P57" i="53"/>
  <c r="Q14" i="53"/>
  <c r="P14" i="53"/>
  <c r="AF81" i="53"/>
  <c r="AG75" i="53" s="1"/>
  <c r="AE81" i="53"/>
  <c r="N81" i="53"/>
  <c r="P63" i="53"/>
  <c r="Q63" i="53"/>
  <c r="P51" i="53"/>
  <c r="Q51" i="53"/>
  <c r="Q44" i="53"/>
  <c r="P44" i="53"/>
  <c r="Q55" i="53"/>
  <c r="P55" i="53"/>
  <c r="Q11" i="53"/>
  <c r="P11" i="53"/>
  <c r="Q64" i="53"/>
  <c r="P64" i="53"/>
  <c r="Q76" i="53"/>
  <c r="P76" i="53"/>
  <c r="Q41" i="53"/>
  <c r="P41" i="53"/>
  <c r="Q21" i="53"/>
  <c r="P21" i="53"/>
  <c r="Q42" i="53"/>
  <c r="P42" i="53"/>
  <c r="AF31" i="53"/>
  <c r="AG23" i="53" s="1"/>
  <c r="AE31" i="53"/>
  <c r="N31" i="53"/>
  <c r="Q38" i="53"/>
  <c r="P38" i="53"/>
  <c r="Q33" i="53"/>
  <c r="P33" i="53"/>
  <c r="D2" i="53"/>
  <c r="D14" i="52"/>
  <c r="Q10" i="53"/>
  <c r="R5" i="53" s="1"/>
  <c r="P10" i="53"/>
  <c r="Q36" i="53"/>
  <c r="P36" i="53"/>
  <c r="Q52" i="53"/>
  <c r="P52" i="53"/>
  <c r="P23" i="53"/>
  <c r="Q23" i="53"/>
  <c r="Q30" i="53"/>
  <c r="P30" i="53"/>
  <c r="P20" i="53"/>
  <c r="Q20" i="53"/>
  <c r="Q28" i="53"/>
  <c r="P28" i="53"/>
  <c r="P48" i="53"/>
  <c r="Q48" i="53"/>
  <c r="P18" i="53"/>
  <c r="Q18" i="53"/>
  <c r="P42" i="51"/>
  <c r="Q42" i="51"/>
  <c r="Q63" i="51"/>
  <c r="P63" i="51"/>
  <c r="Q40" i="51"/>
  <c r="P40" i="51"/>
  <c r="Q67" i="51"/>
  <c r="P67" i="51"/>
  <c r="AE12" i="51"/>
  <c r="AF12" i="51"/>
  <c r="N12" i="51"/>
  <c r="P58" i="51"/>
  <c r="Q58" i="51"/>
  <c r="P33" i="51"/>
  <c r="Q33" i="51"/>
  <c r="Q23" i="51"/>
  <c r="P23" i="51"/>
  <c r="Q69" i="51"/>
  <c r="P69" i="51"/>
  <c r="M10" i="51"/>
  <c r="AF5" i="51"/>
  <c r="Q7" i="51"/>
  <c r="Q14" i="51"/>
  <c r="AE49" i="51"/>
  <c r="AF49" i="51"/>
  <c r="G6" i="50"/>
  <c r="N19" i="51"/>
  <c r="N26" i="51"/>
  <c r="N56" i="51"/>
  <c r="N54" i="51"/>
  <c r="AE33" i="51"/>
  <c r="N47" i="51"/>
  <c r="N49" i="51"/>
  <c r="P70" i="51"/>
  <c r="AE19" i="51"/>
  <c r="AF33" i="51"/>
  <c r="AE40" i="51"/>
  <c r="AE56" i="51"/>
  <c r="AE63" i="51"/>
  <c r="AE26" i="51"/>
  <c r="AF40" i="51"/>
  <c r="AF63" i="51"/>
  <c r="AF16" i="51"/>
  <c r="AE16" i="51"/>
  <c r="M21" i="51"/>
  <c r="AE42" i="51"/>
  <c r="AF42" i="51"/>
  <c r="AE58" i="51"/>
  <c r="AF58" i="51"/>
  <c r="Z2" i="51"/>
  <c r="L6" i="50" s="1"/>
  <c r="D19" i="50"/>
  <c r="N31" i="51"/>
  <c r="AF31" i="51"/>
  <c r="N16" i="51"/>
  <c r="AF53" i="51"/>
  <c r="N53" i="51"/>
  <c r="AE53" i="51"/>
  <c r="AF9" i="51"/>
  <c r="AE9" i="51"/>
  <c r="N28" i="51"/>
  <c r="AF37" i="51"/>
  <c r="M43" i="51"/>
  <c r="AE37" i="51"/>
  <c r="N17" i="51"/>
  <c r="N24" i="51"/>
  <c r="AF24" i="51"/>
  <c r="AE31" i="51"/>
  <c r="N38" i="51"/>
  <c r="AF38" i="51"/>
  <c r="AE61" i="51"/>
  <c r="N9" i="51"/>
  <c r="P44" i="51"/>
  <c r="AF67" i="51"/>
  <c r="AE67" i="51"/>
  <c r="M71" i="51"/>
  <c r="F1" i="51"/>
  <c r="P5" i="51"/>
  <c r="AE28" i="51"/>
  <c r="N15" i="51"/>
  <c r="AF15" i="51"/>
  <c r="AE22" i="51"/>
  <c r="AF32" i="51"/>
  <c r="N32" i="51"/>
  <c r="AE32" i="51"/>
  <c r="AE59" i="51"/>
  <c r="AE11" i="51"/>
  <c r="M13" i="51"/>
  <c r="N11" i="51"/>
  <c r="AE15" i="51"/>
  <c r="AF25" i="51"/>
  <c r="AE25" i="51"/>
  <c r="AF30" i="51"/>
  <c r="AE30" i="51"/>
  <c r="AF62" i="51"/>
  <c r="N62" i="51"/>
  <c r="AE62" i="51"/>
  <c r="AE6" i="51"/>
  <c r="AE8" i="51"/>
  <c r="N25" i="51"/>
  <c r="N30" i="51"/>
  <c r="M35" i="51"/>
  <c r="AF52" i="51"/>
  <c r="AF23" i="51"/>
  <c r="AE23" i="51"/>
  <c r="N37" i="51"/>
  <c r="AF51" i="51"/>
  <c r="AG44" i="51" s="1"/>
  <c r="AE51" i="51"/>
  <c r="N51" i="51"/>
  <c r="AE17" i="51"/>
  <c r="Q41" i="51"/>
  <c r="P41" i="51"/>
  <c r="AE47" i="51"/>
  <c r="AE54" i="51"/>
  <c r="N22" i="51"/>
  <c r="M29" i="51"/>
  <c r="Q59" i="51"/>
  <c r="P59" i="51"/>
  <c r="N68" i="51"/>
  <c r="AF68" i="51"/>
  <c r="Q6" i="51"/>
  <c r="P6" i="51"/>
  <c r="I6" i="50"/>
  <c r="AF39" i="51"/>
  <c r="N39" i="51"/>
  <c r="AE39" i="51"/>
  <c r="AE52" i="51"/>
  <c r="AF59" i="51"/>
  <c r="AF6" i="51"/>
  <c r="AF8" i="51"/>
  <c r="Q50" i="51"/>
  <c r="P50" i="51"/>
  <c r="M60" i="51"/>
  <c r="M65" i="51"/>
  <c r="AF69" i="51"/>
  <c r="AE69" i="51"/>
  <c r="N18" i="51"/>
  <c r="N27" i="51"/>
  <c r="N34" i="51"/>
  <c r="N46" i="51"/>
  <c r="N55" i="51"/>
  <c r="N64" i="51"/>
  <c r="E6" i="50"/>
  <c r="F6" i="50"/>
  <c r="AE18" i="51"/>
  <c r="AE27" i="51"/>
  <c r="AE34" i="51"/>
  <c r="AE46" i="51"/>
  <c r="AE55" i="51"/>
  <c r="AE64" i="51"/>
  <c r="AD71" i="49"/>
  <c r="Z71" i="49"/>
  <c r="M19" i="48" s="1"/>
  <c r="Y71" i="49"/>
  <c r="O71" i="49"/>
  <c r="K71" i="49"/>
  <c r="V70" i="49"/>
  <c r="U70" i="49"/>
  <c r="O70" i="49"/>
  <c r="M70" i="49"/>
  <c r="AE70" i="49" s="1"/>
  <c r="K70" i="49"/>
  <c r="G70" i="49"/>
  <c r="AF69" i="49"/>
  <c r="V69" i="49"/>
  <c r="U69" i="49"/>
  <c r="O69" i="49"/>
  <c r="N69" i="49"/>
  <c r="Q69" i="49" s="1"/>
  <c r="M69" i="49"/>
  <c r="AE69" i="49" s="1"/>
  <c r="K69" i="49"/>
  <c r="P69" i="49" s="1"/>
  <c r="G69" i="49"/>
  <c r="AF68" i="49"/>
  <c r="AE68" i="49"/>
  <c r="V68" i="49"/>
  <c r="U68" i="49"/>
  <c r="O68" i="49"/>
  <c r="N68" i="49"/>
  <c r="Q68" i="49" s="1"/>
  <c r="M68" i="49"/>
  <c r="K68" i="49"/>
  <c r="G68" i="49"/>
  <c r="V67" i="49"/>
  <c r="M67" i="49" s="1"/>
  <c r="U67" i="49"/>
  <c r="O67" i="49"/>
  <c r="K67" i="49"/>
  <c r="G67" i="49"/>
  <c r="AF66" i="49"/>
  <c r="AE66" i="49"/>
  <c r="X66" i="49"/>
  <c r="W66" i="49"/>
  <c r="V66" i="49"/>
  <c r="O66" i="49"/>
  <c r="N66" i="49"/>
  <c r="Q66" i="49" s="1"/>
  <c r="M66" i="49"/>
  <c r="K66" i="49"/>
  <c r="P66" i="49" s="1"/>
  <c r="G66" i="49"/>
  <c r="AD65" i="49"/>
  <c r="Z65" i="49"/>
  <c r="Y65" i="49"/>
  <c r="O65" i="49"/>
  <c r="K65" i="49"/>
  <c r="V64" i="49"/>
  <c r="M64" i="49" s="1"/>
  <c r="U64" i="49"/>
  <c r="O64" i="49"/>
  <c r="K64" i="49"/>
  <c r="G64" i="49"/>
  <c r="AF63" i="49"/>
  <c r="AE63" i="49"/>
  <c r="V63" i="49"/>
  <c r="U63" i="49"/>
  <c r="O63" i="49"/>
  <c r="M63" i="49"/>
  <c r="N63" i="49" s="1"/>
  <c r="K63" i="49"/>
  <c r="G63" i="49"/>
  <c r="V62" i="49"/>
  <c r="M62" i="49" s="1"/>
  <c r="U62" i="49"/>
  <c r="O62" i="49"/>
  <c r="K62" i="49"/>
  <c r="G62" i="49"/>
  <c r="V61" i="49"/>
  <c r="M61" i="49" s="1"/>
  <c r="O61" i="49"/>
  <c r="K61" i="49"/>
  <c r="G61" i="49"/>
  <c r="AD60" i="49"/>
  <c r="I21" i="48" s="1"/>
  <c r="Z60" i="49"/>
  <c r="Y60" i="49"/>
  <c r="O60" i="49"/>
  <c r="K60" i="49"/>
  <c r="V59" i="49"/>
  <c r="M59" i="49" s="1"/>
  <c r="U59" i="49"/>
  <c r="O59" i="49"/>
  <c r="K59" i="49"/>
  <c r="G59" i="49"/>
  <c r="V58" i="49"/>
  <c r="M58" i="49" s="1"/>
  <c r="U58" i="49"/>
  <c r="O58" i="49"/>
  <c r="K58" i="49"/>
  <c r="G58" i="49"/>
  <c r="AE57" i="49"/>
  <c r="V57" i="49"/>
  <c r="U57" i="49"/>
  <c r="O57" i="49"/>
  <c r="M57" i="49"/>
  <c r="AF57" i="49" s="1"/>
  <c r="K57" i="49"/>
  <c r="G57" i="49"/>
  <c r="V56" i="49"/>
  <c r="M56" i="49" s="1"/>
  <c r="U56" i="49"/>
  <c r="O56" i="49"/>
  <c r="K56" i="49"/>
  <c r="G56" i="49"/>
  <c r="V55" i="49"/>
  <c r="U55" i="49"/>
  <c r="O55" i="49"/>
  <c r="N55" i="49"/>
  <c r="Q55" i="49" s="1"/>
  <c r="M55" i="49"/>
  <c r="AF55" i="49" s="1"/>
  <c r="K55" i="49"/>
  <c r="G55" i="49"/>
  <c r="V54" i="49"/>
  <c r="U54" i="49"/>
  <c r="O54" i="49"/>
  <c r="M54" i="49"/>
  <c r="AE54" i="49" s="1"/>
  <c r="K54" i="49"/>
  <c r="G54" i="49"/>
  <c r="AF53" i="49"/>
  <c r="V53" i="49"/>
  <c r="U53" i="49"/>
  <c r="O53" i="49"/>
  <c r="N53" i="49"/>
  <c r="Q53" i="49" s="1"/>
  <c r="M53" i="49"/>
  <c r="AE53" i="49" s="1"/>
  <c r="K53" i="49"/>
  <c r="P53" i="49" s="1"/>
  <c r="G53" i="49"/>
  <c r="AF52" i="49"/>
  <c r="V52" i="49"/>
  <c r="O52" i="49"/>
  <c r="N52" i="49"/>
  <c r="Q52" i="49" s="1"/>
  <c r="M52" i="49"/>
  <c r="K52" i="49"/>
  <c r="P52" i="49" s="1"/>
  <c r="G52" i="49"/>
  <c r="AD51" i="49"/>
  <c r="Z51" i="49"/>
  <c r="Y51" i="49"/>
  <c r="O51" i="49"/>
  <c r="K51" i="49"/>
  <c r="V50" i="49"/>
  <c r="M50" i="49" s="1"/>
  <c r="U50" i="49"/>
  <c r="O50" i="49"/>
  <c r="K50" i="49"/>
  <c r="G50" i="49"/>
  <c r="AF49" i="49"/>
  <c r="AE49" i="49"/>
  <c r="V49" i="49"/>
  <c r="U49" i="49"/>
  <c r="O49" i="49"/>
  <c r="M49" i="49"/>
  <c r="N49" i="49" s="1"/>
  <c r="K49" i="49"/>
  <c r="G49" i="49"/>
  <c r="V48" i="49"/>
  <c r="M48" i="49" s="1"/>
  <c r="U48" i="49"/>
  <c r="O48" i="49"/>
  <c r="K48" i="49"/>
  <c r="G48" i="49"/>
  <c r="V47" i="49"/>
  <c r="M47" i="49" s="1"/>
  <c r="U47" i="49"/>
  <c r="O47" i="49"/>
  <c r="K47" i="49"/>
  <c r="G47" i="49"/>
  <c r="V46" i="49"/>
  <c r="M46" i="49" s="1"/>
  <c r="U46" i="49"/>
  <c r="O46" i="49"/>
  <c r="K46" i="49"/>
  <c r="G46" i="49"/>
  <c r="V45" i="49"/>
  <c r="M45" i="49" s="1"/>
  <c r="U45" i="49"/>
  <c r="O45" i="49"/>
  <c r="K45" i="49"/>
  <c r="G45" i="49"/>
  <c r="X44" i="49"/>
  <c r="W44" i="49"/>
  <c r="V44" i="49"/>
  <c r="M44" i="49" s="1"/>
  <c r="O44" i="49"/>
  <c r="K44" i="49"/>
  <c r="G44" i="49"/>
  <c r="AD43" i="49"/>
  <c r="Z43" i="49"/>
  <c r="Z2" i="49" s="1"/>
  <c r="L6" i="48" s="1"/>
  <c r="Y43" i="49"/>
  <c r="L18" i="48" s="1"/>
  <c r="O43" i="49"/>
  <c r="K43" i="49"/>
  <c r="V42" i="49"/>
  <c r="M42" i="49" s="1"/>
  <c r="U42" i="49"/>
  <c r="O42" i="49"/>
  <c r="K42" i="49"/>
  <c r="G42" i="49"/>
  <c r="X41" i="49"/>
  <c r="W41" i="49"/>
  <c r="V41" i="49"/>
  <c r="M41" i="49" s="1"/>
  <c r="U41" i="49"/>
  <c r="O41" i="49"/>
  <c r="K41" i="49"/>
  <c r="G41" i="49"/>
  <c r="V40" i="49"/>
  <c r="M40" i="49" s="1"/>
  <c r="U40" i="49"/>
  <c r="O40" i="49"/>
  <c r="K40" i="49"/>
  <c r="G40" i="49"/>
  <c r="AE39" i="49"/>
  <c r="V39" i="49"/>
  <c r="U39" i="49"/>
  <c r="O39" i="49"/>
  <c r="M39" i="49"/>
  <c r="AF39" i="49" s="1"/>
  <c r="K39" i="49"/>
  <c r="G39" i="49"/>
  <c r="V38" i="49"/>
  <c r="M38" i="49" s="1"/>
  <c r="U38" i="49"/>
  <c r="O38" i="49"/>
  <c r="K38" i="49"/>
  <c r="G38" i="49"/>
  <c r="V37" i="49"/>
  <c r="U37" i="49"/>
  <c r="O37" i="49"/>
  <c r="N37" i="49"/>
  <c r="Q37" i="49" s="1"/>
  <c r="M37" i="49"/>
  <c r="AF37" i="49" s="1"/>
  <c r="K37" i="49"/>
  <c r="G37" i="49"/>
  <c r="X36" i="49"/>
  <c r="W36" i="49"/>
  <c r="V36" i="49"/>
  <c r="O36" i="49"/>
  <c r="M36" i="49"/>
  <c r="AF36" i="49" s="1"/>
  <c r="K36" i="49"/>
  <c r="G36" i="49"/>
  <c r="AD35" i="49"/>
  <c r="K21" i="48" s="1"/>
  <c r="Z35" i="49"/>
  <c r="Y35" i="49"/>
  <c r="O35" i="49"/>
  <c r="K35" i="49"/>
  <c r="V34" i="49"/>
  <c r="U34" i="49"/>
  <c r="O34" i="49"/>
  <c r="N34" i="49"/>
  <c r="Q34" i="49" s="1"/>
  <c r="M34" i="49"/>
  <c r="AF34" i="49" s="1"/>
  <c r="K34" i="49"/>
  <c r="G34" i="49"/>
  <c r="V33" i="49"/>
  <c r="U33" i="49"/>
  <c r="O33" i="49"/>
  <c r="M33" i="49"/>
  <c r="AE33" i="49" s="1"/>
  <c r="K33" i="49"/>
  <c r="G33" i="49"/>
  <c r="AF32" i="49"/>
  <c r="V32" i="49"/>
  <c r="U32" i="49"/>
  <c r="O32" i="49"/>
  <c r="N32" i="49"/>
  <c r="Q32" i="49" s="1"/>
  <c r="M32" i="49"/>
  <c r="AE32" i="49" s="1"/>
  <c r="K32" i="49"/>
  <c r="P32" i="49" s="1"/>
  <c r="G32" i="49"/>
  <c r="AF31" i="49"/>
  <c r="AE31" i="49"/>
  <c r="V31" i="49"/>
  <c r="U31" i="49"/>
  <c r="O31" i="49"/>
  <c r="N31" i="49"/>
  <c r="Q31" i="49" s="1"/>
  <c r="M31" i="49"/>
  <c r="K31" i="49"/>
  <c r="G31" i="49"/>
  <c r="X30" i="49"/>
  <c r="W30" i="49"/>
  <c r="V30" i="49"/>
  <c r="O30" i="49"/>
  <c r="M30" i="49"/>
  <c r="N30" i="49" s="1"/>
  <c r="K30" i="49"/>
  <c r="G30" i="49"/>
  <c r="AD29" i="49"/>
  <c r="Z29" i="49"/>
  <c r="Y29" i="49"/>
  <c r="O29" i="49"/>
  <c r="K29" i="49"/>
  <c r="AF28" i="49"/>
  <c r="AE28" i="49"/>
  <c r="V28" i="49"/>
  <c r="U28" i="49"/>
  <c r="O28" i="49"/>
  <c r="N28" i="49"/>
  <c r="Q28" i="49" s="1"/>
  <c r="M28" i="49"/>
  <c r="K28" i="49"/>
  <c r="G28" i="49"/>
  <c r="V27" i="49"/>
  <c r="M27" i="49" s="1"/>
  <c r="U27" i="49"/>
  <c r="O27" i="49"/>
  <c r="K27" i="49"/>
  <c r="G27" i="49"/>
  <c r="AF26" i="49"/>
  <c r="AE26" i="49"/>
  <c r="V26" i="49"/>
  <c r="U26" i="49"/>
  <c r="O26" i="49"/>
  <c r="M26" i="49"/>
  <c r="N26" i="49" s="1"/>
  <c r="K26" i="49"/>
  <c r="G26" i="49"/>
  <c r="V25" i="49"/>
  <c r="M25" i="49" s="1"/>
  <c r="U25" i="49"/>
  <c r="O25" i="49"/>
  <c r="K25" i="49"/>
  <c r="G25" i="49"/>
  <c r="V24" i="49"/>
  <c r="M24" i="49" s="1"/>
  <c r="U24" i="49"/>
  <c r="O24" i="49"/>
  <c r="K24" i="49"/>
  <c r="G24" i="49"/>
  <c r="V23" i="49"/>
  <c r="M23" i="49" s="1"/>
  <c r="U23" i="49"/>
  <c r="O23" i="49"/>
  <c r="K23" i="49"/>
  <c r="G23" i="49"/>
  <c r="V22" i="49"/>
  <c r="M22" i="49" s="1"/>
  <c r="O22" i="49"/>
  <c r="K22" i="49"/>
  <c r="G22" i="49"/>
  <c r="AD21" i="49"/>
  <c r="Z21" i="49"/>
  <c r="Y21" i="49"/>
  <c r="Y2" i="49" s="1"/>
  <c r="K6" i="48" s="1"/>
  <c r="O21" i="49"/>
  <c r="K21" i="49"/>
  <c r="AE20" i="49"/>
  <c r="V20" i="49"/>
  <c r="U20" i="49"/>
  <c r="O20" i="49"/>
  <c r="M20" i="49"/>
  <c r="AF20" i="49" s="1"/>
  <c r="K20" i="49"/>
  <c r="G20" i="49"/>
  <c r="V19" i="49"/>
  <c r="M19" i="49" s="1"/>
  <c r="U19" i="49"/>
  <c r="O19" i="49"/>
  <c r="K19" i="49"/>
  <c r="G19" i="49"/>
  <c r="V18" i="49"/>
  <c r="U18" i="49"/>
  <c r="O18" i="49"/>
  <c r="N18" i="49"/>
  <c r="Q18" i="49" s="1"/>
  <c r="M18" i="49"/>
  <c r="AF18" i="49" s="1"/>
  <c r="K18" i="49"/>
  <c r="G18" i="49"/>
  <c r="V17" i="49"/>
  <c r="U17" i="49"/>
  <c r="O17" i="49"/>
  <c r="M17" i="49"/>
  <c r="AE17" i="49" s="1"/>
  <c r="K17" i="49"/>
  <c r="G17" i="49"/>
  <c r="AF16" i="49"/>
  <c r="V16" i="49"/>
  <c r="U16" i="49"/>
  <c r="O16" i="49"/>
  <c r="N16" i="49"/>
  <c r="Q16" i="49" s="1"/>
  <c r="M16" i="49"/>
  <c r="AE16" i="49" s="1"/>
  <c r="K16" i="49"/>
  <c r="P16" i="49" s="1"/>
  <c r="G16" i="49"/>
  <c r="AF15" i="49"/>
  <c r="AE15" i="49"/>
  <c r="V15" i="49"/>
  <c r="U15" i="49"/>
  <c r="O15" i="49"/>
  <c r="N15" i="49"/>
  <c r="Q15" i="49" s="1"/>
  <c r="M15" i="49"/>
  <c r="K15" i="49"/>
  <c r="G15" i="49"/>
  <c r="AF14" i="49"/>
  <c r="AE14" i="49"/>
  <c r="V14" i="49"/>
  <c r="O14" i="49"/>
  <c r="N14" i="49"/>
  <c r="Q14" i="49" s="1"/>
  <c r="M14" i="49"/>
  <c r="M21" i="49" s="1"/>
  <c r="K14" i="49"/>
  <c r="G14" i="49"/>
  <c r="AD13" i="49"/>
  <c r="E21" i="48" s="1"/>
  <c r="Z13" i="49"/>
  <c r="Y13" i="49"/>
  <c r="O13" i="49"/>
  <c r="K13" i="49"/>
  <c r="AF12" i="49"/>
  <c r="AE12" i="49"/>
  <c r="V12" i="49"/>
  <c r="U12" i="49"/>
  <c r="O12" i="49"/>
  <c r="M12" i="49"/>
  <c r="N12" i="49" s="1"/>
  <c r="K12" i="49"/>
  <c r="G12" i="49"/>
  <c r="AF11" i="49"/>
  <c r="AE11" i="49"/>
  <c r="X11" i="49"/>
  <c r="W11" i="49"/>
  <c r="V11" i="49"/>
  <c r="O11" i="49"/>
  <c r="N11" i="49"/>
  <c r="Q11" i="49" s="1"/>
  <c r="M11" i="49"/>
  <c r="M13" i="49" s="1"/>
  <c r="K11" i="49"/>
  <c r="G11" i="49"/>
  <c r="AD10" i="49"/>
  <c r="Z10" i="49"/>
  <c r="Y10" i="49"/>
  <c r="O10" i="49"/>
  <c r="K10" i="49"/>
  <c r="AF9" i="49"/>
  <c r="AE9" i="49"/>
  <c r="V9" i="49"/>
  <c r="U9" i="49"/>
  <c r="O9" i="49"/>
  <c r="M9" i="49"/>
  <c r="N9" i="49" s="1"/>
  <c r="K9" i="49"/>
  <c r="G9" i="49"/>
  <c r="V8" i="49"/>
  <c r="M8" i="49" s="1"/>
  <c r="U8" i="49"/>
  <c r="O8" i="49"/>
  <c r="K8" i="49"/>
  <c r="G8" i="49"/>
  <c r="V7" i="49"/>
  <c r="M7" i="49" s="1"/>
  <c r="U7" i="49"/>
  <c r="O7" i="49"/>
  <c r="K7" i="49"/>
  <c r="G7" i="49"/>
  <c r="F1" i="49" s="1"/>
  <c r="V6" i="49"/>
  <c r="M6" i="49" s="1"/>
  <c r="U6" i="49"/>
  <c r="O6" i="49"/>
  <c r="K6" i="49"/>
  <c r="G6" i="49"/>
  <c r="V5" i="49"/>
  <c r="M5" i="49" s="1"/>
  <c r="O5" i="49"/>
  <c r="K5" i="49"/>
  <c r="G5" i="49"/>
  <c r="AD2" i="49"/>
  <c r="H2" i="49"/>
  <c r="H1" i="49"/>
  <c r="D1" i="49"/>
  <c r="M22" i="48"/>
  <c r="L22" i="48"/>
  <c r="K22" i="48"/>
  <c r="J22" i="48"/>
  <c r="I22" i="48"/>
  <c r="H22" i="48"/>
  <c r="G22" i="48"/>
  <c r="F22" i="48"/>
  <c r="E22" i="48"/>
  <c r="D22" i="48"/>
  <c r="M21" i="48"/>
  <c r="L21" i="48"/>
  <c r="J21" i="48"/>
  <c r="H21" i="48"/>
  <c r="G21" i="48"/>
  <c r="F21" i="48"/>
  <c r="D21" i="48"/>
  <c r="M20" i="48"/>
  <c r="L20" i="48"/>
  <c r="K20" i="48"/>
  <c r="J20" i="48"/>
  <c r="I20" i="48"/>
  <c r="H20" i="48"/>
  <c r="G20" i="48"/>
  <c r="F20" i="48"/>
  <c r="E20" i="48"/>
  <c r="D20" i="48"/>
  <c r="L19" i="48"/>
  <c r="K19" i="48"/>
  <c r="J19" i="48"/>
  <c r="I19" i="48"/>
  <c r="H19" i="48"/>
  <c r="G19" i="48"/>
  <c r="F19" i="48"/>
  <c r="E19" i="48"/>
  <c r="D19" i="48"/>
  <c r="M18" i="48"/>
  <c r="K18" i="48"/>
  <c r="J18" i="48"/>
  <c r="I18" i="48"/>
  <c r="H18" i="48"/>
  <c r="G18" i="48"/>
  <c r="E18" i="48"/>
  <c r="D18" i="48"/>
  <c r="M17" i="48"/>
  <c r="L17" i="48"/>
  <c r="K17" i="48"/>
  <c r="J17" i="48"/>
  <c r="I17" i="48"/>
  <c r="H17" i="48"/>
  <c r="G17" i="48"/>
  <c r="F17" i="48"/>
  <c r="E17" i="48"/>
  <c r="D17" i="48"/>
  <c r="M16" i="48"/>
  <c r="L16" i="48"/>
  <c r="K16" i="48"/>
  <c r="J16" i="48"/>
  <c r="I16" i="48"/>
  <c r="H16" i="48"/>
  <c r="G16" i="48"/>
  <c r="F16" i="48"/>
  <c r="E16" i="48"/>
  <c r="D16" i="48"/>
  <c r="M13" i="48"/>
  <c r="L13" i="48"/>
  <c r="K13" i="48"/>
  <c r="I6" i="48" s="1"/>
  <c r="J13" i="48"/>
  <c r="I13" i="48"/>
  <c r="H13" i="48"/>
  <c r="F6" i="48" s="1"/>
  <c r="G13" i="48"/>
  <c r="F13" i="48"/>
  <c r="E13" i="48"/>
  <c r="D13" i="48"/>
  <c r="N6" i="48"/>
  <c r="M6" i="48"/>
  <c r="F3" i="48"/>
  <c r="C3" i="48"/>
  <c r="Q81" i="53" l="1"/>
  <c r="R75" i="53" s="1"/>
  <c r="P81" i="53"/>
  <c r="M14" i="52"/>
  <c r="M15" i="52" s="1"/>
  <c r="Q40" i="53"/>
  <c r="R32" i="53" s="1"/>
  <c r="P40" i="53"/>
  <c r="K14" i="52"/>
  <c r="G14" i="52"/>
  <c r="G15" i="52" s="1"/>
  <c r="Q31" i="53"/>
  <c r="R23" i="53" s="1"/>
  <c r="P31" i="53"/>
  <c r="H14" i="52"/>
  <c r="H15" i="52" s="1"/>
  <c r="Q59" i="53"/>
  <c r="R50" i="53" s="1"/>
  <c r="P59" i="53"/>
  <c r="Q13" i="53"/>
  <c r="R11" i="53" s="1"/>
  <c r="E14" i="52"/>
  <c r="E15" i="52" s="1"/>
  <c r="P13" i="53"/>
  <c r="P22" i="53"/>
  <c r="F14" i="52"/>
  <c r="F15" i="52" s="1"/>
  <c r="Q22" i="53"/>
  <c r="R14" i="53" s="1"/>
  <c r="Q74" i="53"/>
  <c r="R69" i="53" s="1"/>
  <c r="P74" i="53"/>
  <c r="J14" i="52"/>
  <c r="J15" i="52" s="1"/>
  <c r="D15" i="52"/>
  <c r="Q68" i="53"/>
  <c r="R60" i="53" s="1"/>
  <c r="P68" i="53"/>
  <c r="I14" i="52"/>
  <c r="I15" i="52" s="1"/>
  <c r="Q49" i="53"/>
  <c r="R41" i="53" s="1"/>
  <c r="P49" i="53"/>
  <c r="L14" i="52"/>
  <c r="L15" i="52" s="1"/>
  <c r="Q55" i="51"/>
  <c r="P55" i="51"/>
  <c r="N10" i="51"/>
  <c r="AE10" i="51"/>
  <c r="AF10" i="51"/>
  <c r="AG5" i="51" s="1"/>
  <c r="Q46" i="51"/>
  <c r="P46" i="51"/>
  <c r="Q15" i="51"/>
  <c r="P15" i="51"/>
  <c r="Q34" i="51"/>
  <c r="P34" i="51"/>
  <c r="Q27" i="51"/>
  <c r="P27" i="51"/>
  <c r="I3" i="50"/>
  <c r="F2" i="51"/>
  <c r="AF71" i="51"/>
  <c r="AG66" i="51" s="1"/>
  <c r="AE71" i="51"/>
  <c r="N71" i="51"/>
  <c r="Q49" i="51"/>
  <c r="P49" i="51"/>
  <c r="Q28" i="51"/>
  <c r="P28" i="51"/>
  <c r="Q25" i="51"/>
  <c r="P25" i="51"/>
  <c r="Q18" i="51"/>
  <c r="P18" i="51"/>
  <c r="Q53" i="51"/>
  <c r="P53" i="51"/>
  <c r="Q12" i="51"/>
  <c r="P12" i="51"/>
  <c r="Q56" i="51"/>
  <c r="P56" i="51"/>
  <c r="H14" i="50"/>
  <c r="H15" i="50" s="1"/>
  <c r="P51" i="51"/>
  <c r="Q51" i="51"/>
  <c r="R44" i="51" s="1"/>
  <c r="Q38" i="51"/>
  <c r="P38" i="51"/>
  <c r="Q19" i="51"/>
  <c r="P19" i="51"/>
  <c r="Q37" i="51"/>
  <c r="P37" i="51"/>
  <c r="Q24" i="51"/>
  <c r="P24" i="51"/>
  <c r="Q32" i="51"/>
  <c r="P32" i="51"/>
  <c r="N43" i="51"/>
  <c r="AF43" i="51"/>
  <c r="AG36" i="51" s="1"/>
  <c r="AE43" i="51"/>
  <c r="Q30" i="51"/>
  <c r="P30" i="51"/>
  <c r="Q68" i="51"/>
  <c r="P68" i="51"/>
  <c r="N29" i="51"/>
  <c r="AF29" i="51"/>
  <c r="AG22" i="51" s="1"/>
  <c r="AE29" i="51"/>
  <c r="Q62" i="51"/>
  <c r="P62" i="51"/>
  <c r="Q22" i="51"/>
  <c r="P22" i="51"/>
  <c r="Q16" i="51"/>
  <c r="P16" i="51"/>
  <c r="AF65" i="51"/>
  <c r="AG61" i="51" s="1"/>
  <c r="AE65" i="51"/>
  <c r="N65" i="51"/>
  <c r="AF60" i="51"/>
  <c r="AG52" i="51" s="1"/>
  <c r="AE60" i="51"/>
  <c r="N60" i="51"/>
  <c r="Q31" i="51"/>
  <c r="P31" i="51"/>
  <c r="Q47" i="51"/>
  <c r="P47" i="51"/>
  <c r="P9" i="51"/>
  <c r="Q9" i="51"/>
  <c r="Q54" i="51"/>
  <c r="P54" i="51"/>
  <c r="Q11" i="51"/>
  <c r="P11" i="51"/>
  <c r="P26" i="51"/>
  <c r="Q26" i="51"/>
  <c r="N13" i="51"/>
  <c r="AF13" i="51"/>
  <c r="AG11" i="51" s="1"/>
  <c r="AE13" i="51"/>
  <c r="AE21" i="51"/>
  <c r="AF21" i="51"/>
  <c r="AG14" i="51" s="1"/>
  <c r="N21" i="51"/>
  <c r="Q39" i="51"/>
  <c r="P39" i="51"/>
  <c r="Q17" i="51"/>
  <c r="P17" i="51"/>
  <c r="Q64" i="51"/>
  <c r="P64" i="51"/>
  <c r="AF35" i="51"/>
  <c r="AG30" i="51" s="1"/>
  <c r="N35" i="51"/>
  <c r="AE35" i="51"/>
  <c r="P63" i="49"/>
  <c r="Q63" i="49"/>
  <c r="AF46" i="49"/>
  <c r="AE46" i="49"/>
  <c r="N46" i="49"/>
  <c r="N61" i="49"/>
  <c r="M65" i="49"/>
  <c r="AF61" i="49"/>
  <c r="AE61" i="49"/>
  <c r="I3" i="48"/>
  <c r="F2" i="49"/>
  <c r="AF22" i="49"/>
  <c r="AE22" i="49"/>
  <c r="M29" i="49"/>
  <c r="N22" i="49"/>
  <c r="N48" i="49"/>
  <c r="AF48" i="49"/>
  <c r="AE48" i="49"/>
  <c r="AF6" i="49"/>
  <c r="AE6" i="49"/>
  <c r="N6" i="49"/>
  <c r="P12" i="49"/>
  <c r="Q12" i="49"/>
  <c r="N25" i="49"/>
  <c r="AF25" i="49"/>
  <c r="AE25" i="49"/>
  <c r="N50" i="49"/>
  <c r="AF50" i="49"/>
  <c r="AE50" i="49"/>
  <c r="P9" i="49"/>
  <c r="Q9" i="49"/>
  <c r="AF21" i="49"/>
  <c r="AG14" i="49" s="1"/>
  <c r="AE21" i="49"/>
  <c r="N21" i="49"/>
  <c r="N27" i="49"/>
  <c r="AF27" i="49"/>
  <c r="AE27" i="49"/>
  <c r="N44" i="49"/>
  <c r="AF44" i="49"/>
  <c r="AE44" i="49"/>
  <c r="M51" i="49"/>
  <c r="N13" i="49"/>
  <c r="AF13" i="49"/>
  <c r="AG11" i="49" s="1"/>
  <c r="AE13" i="49"/>
  <c r="AF23" i="49"/>
  <c r="AE23" i="49"/>
  <c r="N23" i="49"/>
  <c r="P49" i="49"/>
  <c r="Q49" i="49"/>
  <c r="AF56" i="49"/>
  <c r="AE56" i="49"/>
  <c r="N56" i="49"/>
  <c r="AF58" i="49"/>
  <c r="AE58" i="49"/>
  <c r="N58" i="49"/>
  <c r="P26" i="49"/>
  <c r="Q26" i="49"/>
  <c r="AF38" i="49"/>
  <c r="AE38" i="49"/>
  <c r="N38" i="49"/>
  <c r="AF40" i="49"/>
  <c r="AE40" i="49"/>
  <c r="N40" i="49"/>
  <c r="AF42" i="49"/>
  <c r="AE42" i="49"/>
  <c r="N42" i="49"/>
  <c r="N7" i="49"/>
  <c r="AF7" i="49"/>
  <c r="AE7" i="49"/>
  <c r="AF19" i="49"/>
  <c r="AE19" i="49"/>
  <c r="N19" i="49"/>
  <c r="Q30" i="49"/>
  <c r="P30" i="49"/>
  <c r="N47" i="49"/>
  <c r="AF47" i="49"/>
  <c r="AE47" i="49"/>
  <c r="N67" i="49"/>
  <c r="AF67" i="49"/>
  <c r="M71" i="49"/>
  <c r="AE67" i="49"/>
  <c r="AF5" i="49"/>
  <c r="M10" i="49"/>
  <c r="AE5" i="49"/>
  <c r="N5" i="49"/>
  <c r="N24" i="49"/>
  <c r="AF24" i="49"/>
  <c r="AE24" i="49"/>
  <c r="AF59" i="49"/>
  <c r="AE59" i="49"/>
  <c r="N59" i="49"/>
  <c r="AF45" i="49"/>
  <c r="AE45" i="49"/>
  <c r="N45" i="49"/>
  <c r="M60" i="49"/>
  <c r="AF41" i="49"/>
  <c r="AE41" i="49"/>
  <c r="N41" i="49"/>
  <c r="N62" i="49"/>
  <c r="AF62" i="49"/>
  <c r="AE62" i="49"/>
  <c r="N8" i="49"/>
  <c r="AF8" i="49"/>
  <c r="AE8" i="49"/>
  <c r="N64" i="49"/>
  <c r="AF64" i="49"/>
  <c r="AE64" i="49"/>
  <c r="F18" i="48"/>
  <c r="AF17" i="49"/>
  <c r="AF33" i="49"/>
  <c r="AE52" i="49"/>
  <c r="AF54" i="49"/>
  <c r="AF70" i="49"/>
  <c r="AE30" i="49"/>
  <c r="M35" i="49"/>
  <c r="N20" i="49"/>
  <c r="AF30" i="49"/>
  <c r="N36" i="49"/>
  <c r="N39" i="49"/>
  <c r="N57" i="49"/>
  <c r="N17" i="49"/>
  <c r="N33" i="49"/>
  <c r="N54" i="49"/>
  <c r="N70" i="49"/>
  <c r="P18" i="49"/>
  <c r="P34" i="49"/>
  <c r="P37" i="49"/>
  <c r="P55" i="49"/>
  <c r="E6" i="48"/>
  <c r="G6" i="48"/>
  <c r="P11" i="49"/>
  <c r="P14" i="49"/>
  <c r="P15" i="49"/>
  <c r="P28" i="49"/>
  <c r="P31" i="49"/>
  <c r="P68" i="49"/>
  <c r="AE18" i="49"/>
  <c r="AE34" i="49"/>
  <c r="AE36" i="49"/>
  <c r="AE37" i="49"/>
  <c r="M43" i="49"/>
  <c r="AE55" i="49"/>
  <c r="G7" i="52" l="1"/>
  <c r="E7" i="52"/>
  <c r="G8" i="52"/>
  <c r="F8" i="52"/>
  <c r="F7" i="52"/>
  <c r="K15" i="52"/>
  <c r="I8" i="52" s="1"/>
  <c r="I7" i="52"/>
  <c r="Q13" i="51"/>
  <c r="R11" i="51" s="1"/>
  <c r="P13" i="51"/>
  <c r="E14" i="50"/>
  <c r="E15" i="50" s="1"/>
  <c r="M14" i="50"/>
  <c r="M15" i="50" s="1"/>
  <c r="Q71" i="51"/>
  <c r="R66" i="51" s="1"/>
  <c r="P71" i="51"/>
  <c r="K14" i="50"/>
  <c r="Q35" i="51"/>
  <c r="R30" i="51" s="1"/>
  <c r="P35" i="51"/>
  <c r="P29" i="51"/>
  <c r="Q29" i="51"/>
  <c r="R22" i="51" s="1"/>
  <c r="G14" i="50"/>
  <c r="G15" i="50" s="1"/>
  <c r="I14" i="50"/>
  <c r="I15" i="50" s="1"/>
  <c r="P60" i="51"/>
  <c r="Q60" i="51"/>
  <c r="R52" i="51" s="1"/>
  <c r="Q43" i="51"/>
  <c r="R36" i="51" s="1"/>
  <c r="P43" i="51"/>
  <c r="L14" i="50"/>
  <c r="L15" i="50" s="1"/>
  <c r="P21" i="51"/>
  <c r="Q21" i="51"/>
  <c r="R14" i="51" s="1"/>
  <c r="F14" i="50"/>
  <c r="F15" i="50" s="1"/>
  <c r="Q65" i="51"/>
  <c r="R61" i="51" s="1"/>
  <c r="J14" i="50"/>
  <c r="J15" i="50" s="1"/>
  <c r="P65" i="51"/>
  <c r="D2" i="51"/>
  <c r="D14" i="50"/>
  <c r="Q10" i="51"/>
  <c r="R5" i="51" s="1"/>
  <c r="P10" i="51"/>
  <c r="Q38" i="49"/>
  <c r="P38" i="49"/>
  <c r="Q39" i="49"/>
  <c r="P39" i="49"/>
  <c r="F14" i="48"/>
  <c r="F15" i="48" s="1"/>
  <c r="Q21" i="49"/>
  <c r="R14" i="49" s="1"/>
  <c r="P21" i="49"/>
  <c r="N43" i="49"/>
  <c r="AF43" i="49"/>
  <c r="AG36" i="49" s="1"/>
  <c r="AE43" i="49"/>
  <c r="Q64" i="49"/>
  <c r="P64" i="49"/>
  <c r="Q6" i="49"/>
  <c r="P6" i="49"/>
  <c r="N10" i="49"/>
  <c r="AF10" i="49"/>
  <c r="AG5" i="49" s="1"/>
  <c r="AE10" i="49"/>
  <c r="Q19" i="49"/>
  <c r="P19" i="49"/>
  <c r="Q7" i="49"/>
  <c r="P7" i="49"/>
  <c r="Q23" i="49"/>
  <c r="P23" i="49"/>
  <c r="Q42" i="49"/>
  <c r="P42" i="49"/>
  <c r="Q13" i="49"/>
  <c r="R11" i="49" s="1"/>
  <c r="P13" i="49"/>
  <c r="E14" i="48"/>
  <c r="E15" i="48" s="1"/>
  <c r="Q61" i="49"/>
  <c r="P61" i="49"/>
  <c r="Q46" i="49"/>
  <c r="P46" i="49"/>
  <c r="Q25" i="49"/>
  <c r="P25" i="49"/>
  <c r="Q45" i="49"/>
  <c r="P45" i="49"/>
  <c r="AF35" i="49"/>
  <c r="AG30" i="49" s="1"/>
  <c r="AE35" i="49"/>
  <c r="N35" i="49"/>
  <c r="Q70" i="49"/>
  <c r="P70" i="49"/>
  <c r="Q56" i="49"/>
  <c r="P56" i="49"/>
  <c r="Q48" i="49"/>
  <c r="P48" i="49"/>
  <c r="Q57" i="49"/>
  <c r="P57" i="49"/>
  <c r="N60" i="49"/>
  <c r="AF60" i="49"/>
  <c r="AG52" i="49" s="1"/>
  <c r="AE60" i="49"/>
  <c r="N65" i="49"/>
  <c r="AF65" i="49"/>
  <c r="AG61" i="49" s="1"/>
  <c r="AE65" i="49"/>
  <c r="Q8" i="49"/>
  <c r="P8" i="49"/>
  <c r="Q62" i="49"/>
  <c r="P62" i="49"/>
  <c r="Q40" i="49"/>
  <c r="P40" i="49"/>
  <c r="Q50" i="49"/>
  <c r="P50" i="49"/>
  <c r="Q22" i="49"/>
  <c r="P22" i="49"/>
  <c r="Q36" i="49"/>
  <c r="P36" i="49"/>
  <c r="Q20" i="49"/>
  <c r="P20" i="49"/>
  <c r="Q59" i="49"/>
  <c r="P59" i="49"/>
  <c r="Q58" i="49"/>
  <c r="P58" i="49"/>
  <c r="N51" i="49"/>
  <c r="AF51" i="49"/>
  <c r="AG44" i="49" s="1"/>
  <c r="AE51" i="49"/>
  <c r="Q54" i="49"/>
  <c r="P54" i="49"/>
  <c r="Q47" i="49"/>
  <c r="P47" i="49"/>
  <c r="Q33" i="49"/>
  <c r="P33" i="49"/>
  <c r="Q41" i="49"/>
  <c r="P41" i="49"/>
  <c r="Q24" i="49"/>
  <c r="P24" i="49"/>
  <c r="Q44" i="49"/>
  <c r="P44" i="49"/>
  <c r="N29" i="49"/>
  <c r="AF29" i="49"/>
  <c r="AG22" i="49" s="1"/>
  <c r="AE29" i="49"/>
  <c r="Q27" i="49"/>
  <c r="P27" i="49"/>
  <c r="AF71" i="49"/>
  <c r="AG66" i="49" s="1"/>
  <c r="AE71" i="49"/>
  <c r="N71" i="49"/>
  <c r="Q67" i="49"/>
  <c r="P67" i="49"/>
  <c r="Q17" i="49"/>
  <c r="P17" i="49"/>
  <c r="Q5" i="49"/>
  <c r="P5" i="49"/>
  <c r="E8" i="52" l="1"/>
  <c r="K15" i="50"/>
  <c r="I8" i="50" s="1"/>
  <c r="I7" i="50"/>
  <c r="D15" i="50"/>
  <c r="G7" i="50"/>
  <c r="E7" i="50"/>
  <c r="F7" i="50"/>
  <c r="H14" i="48"/>
  <c r="H15" i="48" s="1"/>
  <c r="Q51" i="49"/>
  <c r="R44" i="49" s="1"/>
  <c r="P51" i="49"/>
  <c r="I14" i="48"/>
  <c r="I15" i="48" s="1"/>
  <c r="Q60" i="49"/>
  <c r="R52" i="49" s="1"/>
  <c r="P60" i="49"/>
  <c r="L14" i="48"/>
  <c r="L15" i="48" s="1"/>
  <c r="Q43" i="49"/>
  <c r="R36" i="49" s="1"/>
  <c r="P43" i="49"/>
  <c r="M14" i="48"/>
  <c r="M15" i="48" s="1"/>
  <c r="Q71" i="49"/>
  <c r="R66" i="49" s="1"/>
  <c r="P71" i="49"/>
  <c r="Q65" i="49"/>
  <c r="R61" i="49" s="1"/>
  <c r="P65" i="49"/>
  <c r="J14" i="48"/>
  <c r="J15" i="48" s="1"/>
  <c r="K14" i="48"/>
  <c r="Q35" i="49"/>
  <c r="R30" i="49" s="1"/>
  <c r="P35" i="49"/>
  <c r="D14" i="48"/>
  <c r="Q10" i="49"/>
  <c r="R5" i="49" s="1"/>
  <c r="P10" i="49"/>
  <c r="D2" i="49"/>
  <c r="G14" i="48"/>
  <c r="G15" i="48" s="1"/>
  <c r="Q29" i="49"/>
  <c r="R22" i="49" s="1"/>
  <c r="P29" i="49"/>
  <c r="G8" i="50" l="1"/>
  <c r="E8" i="50"/>
  <c r="F8" i="50"/>
  <c r="D15" i="48"/>
  <c r="G7" i="48"/>
  <c r="F7" i="48"/>
  <c r="E7" i="48"/>
  <c r="K15" i="48"/>
  <c r="I8" i="48" s="1"/>
  <c r="I7" i="48"/>
  <c r="F8" i="48" l="1"/>
  <c r="G8" i="48"/>
  <c r="E8" i="48"/>
  <c r="AD71" i="47" l="1"/>
  <c r="Z71" i="47"/>
  <c r="Y71" i="47"/>
  <c r="O71" i="47"/>
  <c r="K71" i="47"/>
  <c r="V70" i="47"/>
  <c r="U70" i="47"/>
  <c r="O70" i="47"/>
  <c r="M70" i="47"/>
  <c r="AE70" i="47" s="1"/>
  <c r="K70" i="47"/>
  <c r="G70" i="47"/>
  <c r="AF69" i="47"/>
  <c r="AE69" i="47"/>
  <c r="V69" i="47"/>
  <c r="U69" i="47"/>
  <c r="O69" i="47"/>
  <c r="N69" i="47"/>
  <c r="Q69" i="47" s="1"/>
  <c r="M69" i="47"/>
  <c r="K69" i="47"/>
  <c r="G69" i="47"/>
  <c r="AF68" i="47"/>
  <c r="AE68" i="47"/>
  <c r="V68" i="47"/>
  <c r="U68" i="47"/>
  <c r="O68" i="47"/>
  <c r="M68" i="47"/>
  <c r="N68" i="47" s="1"/>
  <c r="K68" i="47"/>
  <c r="G68" i="47"/>
  <c r="V67" i="47"/>
  <c r="M67" i="47" s="1"/>
  <c r="U67" i="47"/>
  <c r="O67" i="47"/>
  <c r="K67" i="47"/>
  <c r="G67" i="47"/>
  <c r="AF66" i="47"/>
  <c r="AE66" i="47"/>
  <c r="X66" i="47"/>
  <c r="W66" i="47"/>
  <c r="V66" i="47"/>
  <c r="O66" i="47"/>
  <c r="N66" i="47"/>
  <c r="Q66" i="47" s="1"/>
  <c r="M66" i="47"/>
  <c r="K66" i="47"/>
  <c r="G66" i="47"/>
  <c r="AD65" i="47"/>
  <c r="Z65" i="47"/>
  <c r="Y65" i="47"/>
  <c r="O65" i="47"/>
  <c r="K65" i="47"/>
  <c r="V64" i="47"/>
  <c r="M64" i="47" s="1"/>
  <c r="U64" i="47"/>
  <c r="O64" i="47"/>
  <c r="K64" i="47"/>
  <c r="G64" i="47"/>
  <c r="V63" i="47"/>
  <c r="M63" i="47" s="1"/>
  <c r="U63" i="47"/>
  <c r="O63" i="47"/>
  <c r="K63" i="47"/>
  <c r="G63" i="47"/>
  <c r="V62" i="47"/>
  <c r="M62" i="47" s="1"/>
  <c r="U62" i="47"/>
  <c r="O62" i="47"/>
  <c r="K62" i="47"/>
  <c r="G62" i="47"/>
  <c r="V61" i="47"/>
  <c r="M61" i="47" s="1"/>
  <c r="O61" i="47"/>
  <c r="K61" i="47"/>
  <c r="G61" i="47"/>
  <c r="AD60" i="47"/>
  <c r="Z60" i="47"/>
  <c r="Y60" i="47"/>
  <c r="I18" i="46" s="1"/>
  <c r="O60" i="47"/>
  <c r="K60" i="47"/>
  <c r="V59" i="47"/>
  <c r="M59" i="47" s="1"/>
  <c r="U59" i="47"/>
  <c r="O59" i="47"/>
  <c r="K59" i="47"/>
  <c r="G59" i="47"/>
  <c r="V58" i="47"/>
  <c r="M58" i="47" s="1"/>
  <c r="U58" i="47"/>
  <c r="O58" i="47"/>
  <c r="K58" i="47"/>
  <c r="G58" i="47"/>
  <c r="V57" i="47"/>
  <c r="U57" i="47"/>
  <c r="O57" i="47"/>
  <c r="M57" i="47"/>
  <c r="AF57" i="47" s="1"/>
  <c r="K57" i="47"/>
  <c r="G57" i="47"/>
  <c r="V56" i="47"/>
  <c r="U56" i="47"/>
  <c r="O56" i="47"/>
  <c r="M56" i="47"/>
  <c r="AF56" i="47" s="1"/>
  <c r="K56" i="47"/>
  <c r="G56" i="47"/>
  <c r="V55" i="47"/>
  <c r="U55" i="47"/>
  <c r="O55" i="47"/>
  <c r="N55" i="47"/>
  <c r="Q55" i="47" s="1"/>
  <c r="M55" i="47"/>
  <c r="AF55" i="47" s="1"/>
  <c r="K55" i="47"/>
  <c r="G55" i="47"/>
  <c r="V54" i="47"/>
  <c r="U54" i="47"/>
  <c r="O54" i="47"/>
  <c r="M54" i="47"/>
  <c r="AE54" i="47" s="1"/>
  <c r="K54" i="47"/>
  <c r="G54" i="47"/>
  <c r="AF53" i="47"/>
  <c r="AE53" i="47"/>
  <c r="V53" i="47"/>
  <c r="U53" i="47"/>
  <c r="O53" i="47"/>
  <c r="N53" i="47"/>
  <c r="Q53" i="47" s="1"/>
  <c r="M53" i="47"/>
  <c r="K53" i="47"/>
  <c r="G53" i="47"/>
  <c r="AF52" i="47"/>
  <c r="AE52" i="47"/>
  <c r="V52" i="47"/>
  <c r="O52" i="47"/>
  <c r="N52" i="47"/>
  <c r="Q52" i="47" s="1"/>
  <c r="M52" i="47"/>
  <c r="K52" i="47"/>
  <c r="G52" i="47"/>
  <c r="AD51" i="47"/>
  <c r="Z51" i="47"/>
  <c r="Y51" i="47"/>
  <c r="O51" i="47"/>
  <c r="K51" i="47"/>
  <c r="V50" i="47"/>
  <c r="M50" i="47" s="1"/>
  <c r="U50" i="47"/>
  <c r="O50" i="47"/>
  <c r="K50" i="47"/>
  <c r="G50" i="47"/>
  <c r="V49" i="47"/>
  <c r="M49" i="47" s="1"/>
  <c r="U49" i="47"/>
  <c r="O49" i="47"/>
  <c r="K49" i="47"/>
  <c r="G49" i="47"/>
  <c r="V48" i="47"/>
  <c r="M48" i="47" s="1"/>
  <c r="U48" i="47"/>
  <c r="O48" i="47"/>
  <c r="K48" i="47"/>
  <c r="G48" i="47"/>
  <c r="V47" i="47"/>
  <c r="M47" i="47" s="1"/>
  <c r="U47" i="47"/>
  <c r="O47" i="47"/>
  <c r="K47" i="47"/>
  <c r="G47" i="47"/>
  <c r="V46" i="47"/>
  <c r="M46" i="47" s="1"/>
  <c r="U46" i="47"/>
  <c r="O46" i="47"/>
  <c r="K46" i="47"/>
  <c r="G46" i="47"/>
  <c r="V45" i="47"/>
  <c r="M45" i="47" s="1"/>
  <c r="U45" i="47"/>
  <c r="O45" i="47"/>
  <c r="K45" i="47"/>
  <c r="G45" i="47"/>
  <c r="X44" i="47"/>
  <c r="W44" i="47"/>
  <c r="V44" i="47"/>
  <c r="M44" i="47" s="1"/>
  <c r="O44" i="47"/>
  <c r="K44" i="47"/>
  <c r="G44" i="47"/>
  <c r="AD43" i="47"/>
  <c r="Z43" i="47"/>
  <c r="Z2" i="47" s="1"/>
  <c r="L6" i="46" s="1"/>
  <c r="Y43" i="47"/>
  <c r="O43" i="47"/>
  <c r="K43" i="47"/>
  <c r="V42" i="47"/>
  <c r="M42" i="47" s="1"/>
  <c r="U42" i="47"/>
  <c r="O42" i="47"/>
  <c r="K42" i="47"/>
  <c r="G42" i="47"/>
  <c r="X41" i="47"/>
  <c r="W41" i="47"/>
  <c r="V41" i="47"/>
  <c r="M41" i="47" s="1"/>
  <c r="U41" i="47"/>
  <c r="O41" i="47"/>
  <c r="K41" i="47"/>
  <c r="G41" i="47"/>
  <c r="V40" i="47"/>
  <c r="M40" i="47" s="1"/>
  <c r="U40" i="47"/>
  <c r="O40" i="47"/>
  <c r="K40" i="47"/>
  <c r="G40" i="47"/>
  <c r="V39" i="47"/>
  <c r="U39" i="47"/>
  <c r="O39" i="47"/>
  <c r="M39" i="47"/>
  <c r="AF39" i="47" s="1"/>
  <c r="K39" i="47"/>
  <c r="G39" i="47"/>
  <c r="V38" i="47"/>
  <c r="U38" i="47"/>
  <c r="O38" i="47"/>
  <c r="M38" i="47"/>
  <c r="AF38" i="47" s="1"/>
  <c r="K38" i="47"/>
  <c r="G38" i="47"/>
  <c r="V37" i="47"/>
  <c r="U37" i="47"/>
  <c r="O37" i="47"/>
  <c r="N37" i="47"/>
  <c r="Q37" i="47" s="1"/>
  <c r="M37" i="47"/>
  <c r="AF37" i="47" s="1"/>
  <c r="K37" i="47"/>
  <c r="G37" i="47"/>
  <c r="X36" i="47"/>
  <c r="W36" i="47"/>
  <c r="V36" i="47"/>
  <c r="O36" i="47"/>
  <c r="M36" i="47"/>
  <c r="AF36" i="47" s="1"/>
  <c r="K36" i="47"/>
  <c r="G36" i="47"/>
  <c r="AD35" i="47"/>
  <c r="Z35" i="47"/>
  <c r="Y35" i="47"/>
  <c r="O35" i="47"/>
  <c r="M35" i="47"/>
  <c r="AF35" i="47" s="1"/>
  <c r="AG30" i="47" s="1"/>
  <c r="K35" i="47"/>
  <c r="V34" i="47"/>
  <c r="U34" i="47"/>
  <c r="O34" i="47"/>
  <c r="N34" i="47"/>
  <c r="Q34" i="47" s="1"/>
  <c r="M34" i="47"/>
  <c r="AF34" i="47" s="1"/>
  <c r="K34" i="47"/>
  <c r="G34" i="47"/>
  <c r="V33" i="47"/>
  <c r="U33" i="47"/>
  <c r="O33" i="47"/>
  <c r="M33" i="47"/>
  <c r="AE33" i="47" s="1"/>
  <c r="K33" i="47"/>
  <c r="G33" i="47"/>
  <c r="AF32" i="47"/>
  <c r="AE32" i="47"/>
  <c r="V32" i="47"/>
  <c r="U32" i="47"/>
  <c r="O32" i="47"/>
  <c r="N32" i="47"/>
  <c r="Q32" i="47" s="1"/>
  <c r="M32" i="47"/>
  <c r="K32" i="47"/>
  <c r="G32" i="47"/>
  <c r="AF31" i="47"/>
  <c r="AE31" i="47"/>
  <c r="V31" i="47"/>
  <c r="U31" i="47"/>
  <c r="O31" i="47"/>
  <c r="N31" i="47"/>
  <c r="Q31" i="47" s="1"/>
  <c r="M31" i="47"/>
  <c r="K31" i="47"/>
  <c r="G31" i="47"/>
  <c r="AF30" i="47"/>
  <c r="AE30" i="47"/>
  <c r="X30" i="47"/>
  <c r="W30" i="47"/>
  <c r="V30" i="47"/>
  <c r="O30" i="47"/>
  <c r="M30" i="47"/>
  <c r="N30" i="47" s="1"/>
  <c r="K30" i="47"/>
  <c r="G30" i="47"/>
  <c r="AD29" i="47"/>
  <c r="Z29" i="47"/>
  <c r="Y29" i="47"/>
  <c r="O29" i="47"/>
  <c r="K29" i="47"/>
  <c r="AF28" i="47"/>
  <c r="AE28" i="47"/>
  <c r="V28" i="47"/>
  <c r="U28" i="47"/>
  <c r="O28" i="47"/>
  <c r="M28" i="47"/>
  <c r="N28" i="47" s="1"/>
  <c r="K28" i="47"/>
  <c r="G28" i="47"/>
  <c r="V27" i="47"/>
  <c r="M27" i="47" s="1"/>
  <c r="U27" i="47"/>
  <c r="O27" i="47"/>
  <c r="K27" i="47"/>
  <c r="G27" i="47"/>
  <c r="V26" i="47"/>
  <c r="M26" i="47" s="1"/>
  <c r="U26" i="47"/>
  <c r="O26" i="47"/>
  <c r="K26" i="47"/>
  <c r="G26" i="47"/>
  <c r="V25" i="47"/>
  <c r="M25" i="47" s="1"/>
  <c r="U25" i="47"/>
  <c r="O25" i="47"/>
  <c r="K25" i="47"/>
  <c r="G25" i="47"/>
  <c r="V24" i="47"/>
  <c r="M24" i="47" s="1"/>
  <c r="U24" i="47"/>
  <c r="O24" i="47"/>
  <c r="K24" i="47"/>
  <c r="G24" i="47"/>
  <c r="V23" i="47"/>
  <c r="M23" i="47" s="1"/>
  <c r="U23" i="47"/>
  <c r="O23" i="47"/>
  <c r="K23" i="47"/>
  <c r="G23" i="47"/>
  <c r="V22" i="47"/>
  <c r="M22" i="47" s="1"/>
  <c r="O22" i="47"/>
  <c r="K22" i="47"/>
  <c r="G22" i="47"/>
  <c r="AD21" i="47"/>
  <c r="Z21" i="47"/>
  <c r="Y21" i="47"/>
  <c r="Y2" i="47" s="1"/>
  <c r="K6" i="46" s="1"/>
  <c r="O21" i="47"/>
  <c r="K21" i="47"/>
  <c r="V20" i="47"/>
  <c r="U20" i="47"/>
  <c r="O20" i="47"/>
  <c r="M20" i="47"/>
  <c r="AF20" i="47" s="1"/>
  <c r="K20" i="47"/>
  <c r="G20" i="47"/>
  <c r="V19" i="47"/>
  <c r="U19" i="47"/>
  <c r="O19" i="47"/>
  <c r="M19" i="47"/>
  <c r="AF19" i="47" s="1"/>
  <c r="K19" i="47"/>
  <c r="G19" i="47"/>
  <c r="V18" i="47"/>
  <c r="U18" i="47"/>
  <c r="O18" i="47"/>
  <c r="N18" i="47"/>
  <c r="Q18" i="47" s="1"/>
  <c r="M18" i="47"/>
  <c r="AF18" i="47" s="1"/>
  <c r="K18" i="47"/>
  <c r="G18" i="47"/>
  <c r="V17" i="47"/>
  <c r="U17" i="47"/>
  <c r="O17" i="47"/>
  <c r="M17" i="47"/>
  <c r="AE17" i="47" s="1"/>
  <c r="K17" i="47"/>
  <c r="G17" i="47"/>
  <c r="AF16" i="47"/>
  <c r="AE16" i="47"/>
  <c r="V16" i="47"/>
  <c r="U16" i="47"/>
  <c r="O16" i="47"/>
  <c r="N16" i="47"/>
  <c r="Q16" i="47" s="1"/>
  <c r="M16" i="47"/>
  <c r="K16" i="47"/>
  <c r="G16" i="47"/>
  <c r="AF15" i="47"/>
  <c r="AE15" i="47"/>
  <c r="V15" i="47"/>
  <c r="U15" i="47"/>
  <c r="O15" i="47"/>
  <c r="N15" i="47"/>
  <c r="Q15" i="47" s="1"/>
  <c r="M15" i="47"/>
  <c r="K15" i="47"/>
  <c r="G15" i="47"/>
  <c r="AF14" i="47"/>
  <c r="AE14" i="47"/>
  <c r="V14" i="47"/>
  <c r="O14" i="47"/>
  <c r="N14" i="47"/>
  <c r="Q14" i="47" s="1"/>
  <c r="M14" i="47"/>
  <c r="M21" i="47" s="1"/>
  <c r="K14" i="47"/>
  <c r="G14" i="47"/>
  <c r="AD13" i="47"/>
  <c r="E21" i="46" s="1"/>
  <c r="Z13" i="47"/>
  <c r="Y13" i="47"/>
  <c r="O13" i="47"/>
  <c r="K13" i="47"/>
  <c r="V12" i="47"/>
  <c r="M12" i="47" s="1"/>
  <c r="U12" i="47"/>
  <c r="O12" i="47"/>
  <c r="K12" i="47"/>
  <c r="G12" i="47"/>
  <c r="AF11" i="47"/>
  <c r="X11" i="47"/>
  <c r="W11" i="47"/>
  <c r="V11" i="47"/>
  <c r="O11" i="47"/>
  <c r="M11" i="47"/>
  <c r="N11" i="47" s="1"/>
  <c r="K11" i="47"/>
  <c r="G11" i="47"/>
  <c r="AD10" i="47"/>
  <c r="AD2" i="47" s="1"/>
  <c r="N6" i="46" s="1"/>
  <c r="Z10" i="47"/>
  <c r="Y10" i="47"/>
  <c r="O10" i="47"/>
  <c r="K10" i="47"/>
  <c r="V9" i="47"/>
  <c r="M9" i="47" s="1"/>
  <c r="U9" i="47"/>
  <c r="O9" i="47"/>
  <c r="K9" i="47"/>
  <c r="G9" i="47"/>
  <c r="V8" i="47"/>
  <c r="M8" i="47" s="1"/>
  <c r="U8" i="47"/>
  <c r="O8" i="47"/>
  <c r="K8" i="47"/>
  <c r="G8" i="47"/>
  <c r="V7" i="47"/>
  <c r="M7" i="47" s="1"/>
  <c r="U7" i="47"/>
  <c r="O7" i="47"/>
  <c r="K7" i="47"/>
  <c r="G7" i="47"/>
  <c r="V6" i="47"/>
  <c r="M6" i="47" s="1"/>
  <c r="U6" i="47"/>
  <c r="O6" i="47"/>
  <c r="K6" i="47"/>
  <c r="G6" i="47"/>
  <c r="V5" i="47"/>
  <c r="M5" i="47" s="1"/>
  <c r="O5" i="47"/>
  <c r="K5" i="47"/>
  <c r="G5" i="47"/>
  <c r="H2" i="47"/>
  <c r="H1" i="47"/>
  <c r="F1" i="47"/>
  <c r="F2" i="47" s="1"/>
  <c r="D1" i="47"/>
  <c r="M22" i="46"/>
  <c r="L22" i="46"/>
  <c r="K22" i="46"/>
  <c r="J22" i="46"/>
  <c r="I22" i="46"/>
  <c r="H22" i="46"/>
  <c r="G22" i="46"/>
  <c r="F22" i="46"/>
  <c r="E22" i="46"/>
  <c r="D22" i="46"/>
  <c r="M21" i="46"/>
  <c r="L21" i="46"/>
  <c r="K21" i="46"/>
  <c r="J21" i="46"/>
  <c r="I21" i="46"/>
  <c r="H21" i="46"/>
  <c r="G21" i="46"/>
  <c r="F21" i="46"/>
  <c r="M20" i="46"/>
  <c r="L20" i="46"/>
  <c r="K20" i="46"/>
  <c r="J20" i="46"/>
  <c r="I20" i="46"/>
  <c r="H20" i="46"/>
  <c r="G20" i="46"/>
  <c r="F20" i="46"/>
  <c r="E20" i="46"/>
  <c r="D20" i="46"/>
  <c r="M19" i="46"/>
  <c r="L19" i="46"/>
  <c r="K19" i="46"/>
  <c r="J19" i="46"/>
  <c r="I19" i="46"/>
  <c r="H19" i="46"/>
  <c r="G19" i="46"/>
  <c r="F19" i="46"/>
  <c r="E19" i="46"/>
  <c r="D19" i="46"/>
  <c r="M18" i="46"/>
  <c r="L18" i="46"/>
  <c r="K18" i="46"/>
  <c r="J18" i="46"/>
  <c r="H18" i="46"/>
  <c r="G18" i="46"/>
  <c r="F18" i="46"/>
  <c r="E18" i="46"/>
  <c r="D18" i="46"/>
  <c r="M17" i="46"/>
  <c r="L17" i="46"/>
  <c r="K17" i="46"/>
  <c r="J17" i="46"/>
  <c r="I17" i="46"/>
  <c r="H17" i="46"/>
  <c r="G17" i="46"/>
  <c r="F17" i="46"/>
  <c r="E17" i="46"/>
  <c r="D17" i="46"/>
  <c r="M16" i="46"/>
  <c r="L16" i="46"/>
  <c r="K16" i="46"/>
  <c r="J16" i="46"/>
  <c r="I16" i="46"/>
  <c r="H16" i="46"/>
  <c r="G16" i="46"/>
  <c r="F16" i="46"/>
  <c r="E16" i="46"/>
  <c r="D16" i="46"/>
  <c r="M13" i="46"/>
  <c r="L13" i="46"/>
  <c r="K13" i="46"/>
  <c r="I6" i="46" s="1"/>
  <c r="J13" i="46"/>
  <c r="I13" i="46"/>
  <c r="H13" i="46"/>
  <c r="F6" i="46" s="1"/>
  <c r="G13" i="46"/>
  <c r="F13" i="46"/>
  <c r="E13" i="46"/>
  <c r="D13" i="46"/>
  <c r="M6" i="46"/>
  <c r="I3" i="46"/>
  <c r="F3" i="46"/>
  <c r="C3" i="46"/>
  <c r="AF45" i="47" l="1"/>
  <c r="AE45" i="47"/>
  <c r="N45" i="47"/>
  <c r="N62" i="47"/>
  <c r="AF62" i="47"/>
  <c r="AE62" i="47"/>
  <c r="N63" i="47"/>
  <c r="AF63" i="47"/>
  <c r="AE63" i="47"/>
  <c r="N24" i="47"/>
  <c r="AF24" i="47"/>
  <c r="AE24" i="47"/>
  <c r="AF22" i="47"/>
  <c r="AE22" i="47"/>
  <c r="M29" i="47"/>
  <c r="N22" i="47"/>
  <c r="N27" i="47"/>
  <c r="AF27" i="47"/>
  <c r="AE27" i="47"/>
  <c r="AF21" i="47"/>
  <c r="AG14" i="47" s="1"/>
  <c r="AE21" i="47"/>
  <c r="N21" i="47"/>
  <c r="AF41" i="47"/>
  <c r="AE41" i="47"/>
  <c r="N41" i="47"/>
  <c r="N50" i="47"/>
  <c r="AF50" i="47"/>
  <c r="AE50" i="47"/>
  <c r="N9" i="47"/>
  <c r="AF9" i="47"/>
  <c r="AE9" i="47"/>
  <c r="N48" i="47"/>
  <c r="AF48" i="47"/>
  <c r="AE48" i="47"/>
  <c r="N7" i="47"/>
  <c r="AF7" i="47"/>
  <c r="AE7" i="47"/>
  <c r="N25" i="47"/>
  <c r="AF25" i="47"/>
  <c r="AE25" i="47"/>
  <c r="Q28" i="47"/>
  <c r="P28" i="47"/>
  <c r="N44" i="47"/>
  <c r="AF44" i="47"/>
  <c r="AE44" i="47"/>
  <c r="M51" i="47"/>
  <c r="AF46" i="47"/>
  <c r="AE46" i="47"/>
  <c r="N46" i="47"/>
  <c r="AF58" i="47"/>
  <c r="AE58" i="47"/>
  <c r="N58" i="47"/>
  <c r="AF5" i="47"/>
  <c r="M10" i="47"/>
  <c r="AE5" i="47"/>
  <c r="N5" i="47"/>
  <c r="AF23" i="47"/>
  <c r="AE23" i="47"/>
  <c r="N23" i="47"/>
  <c r="Q30" i="47"/>
  <c r="P30" i="47"/>
  <c r="N67" i="47"/>
  <c r="AF67" i="47"/>
  <c r="M71" i="47"/>
  <c r="AE67" i="47"/>
  <c r="N61" i="47"/>
  <c r="M65" i="47"/>
  <c r="AF61" i="47"/>
  <c r="AE61" i="47"/>
  <c r="N12" i="47"/>
  <c r="AF12" i="47"/>
  <c r="AE12" i="47"/>
  <c r="AF40" i="47"/>
  <c r="AE40" i="47"/>
  <c r="N40" i="47"/>
  <c r="AF42" i="47"/>
  <c r="AE42" i="47"/>
  <c r="N42" i="47"/>
  <c r="N49" i="47"/>
  <c r="AF49" i="47"/>
  <c r="AE49" i="47"/>
  <c r="N8" i="47"/>
  <c r="AF8" i="47"/>
  <c r="AE8" i="47"/>
  <c r="N26" i="47"/>
  <c r="AF26" i="47"/>
  <c r="AE26" i="47"/>
  <c r="Q68" i="47"/>
  <c r="P68" i="47"/>
  <c r="AF6" i="47"/>
  <c r="AE6" i="47"/>
  <c r="N6" i="47"/>
  <c r="Q11" i="47"/>
  <c r="P11" i="47"/>
  <c r="N47" i="47"/>
  <c r="AF47" i="47"/>
  <c r="AE47" i="47"/>
  <c r="AF59" i="47"/>
  <c r="AE59" i="47"/>
  <c r="N59" i="47"/>
  <c r="N64" i="47"/>
  <c r="AF64" i="47"/>
  <c r="AE64" i="47"/>
  <c r="AF17" i="47"/>
  <c r="AF33" i="47"/>
  <c r="AF54" i="47"/>
  <c r="AF70" i="47"/>
  <c r="N20" i="47"/>
  <c r="N35" i="47"/>
  <c r="N36" i="47"/>
  <c r="N39" i="47"/>
  <c r="N57" i="47"/>
  <c r="AE11" i="47"/>
  <c r="N19" i="47"/>
  <c r="N38" i="47"/>
  <c r="N56" i="47"/>
  <c r="D21" i="46"/>
  <c r="N17" i="47"/>
  <c r="N33" i="47"/>
  <c r="N54" i="47"/>
  <c r="N70" i="47"/>
  <c r="M13" i="47"/>
  <c r="P18" i="47"/>
  <c r="P34" i="47"/>
  <c r="P37" i="47"/>
  <c r="P55" i="47"/>
  <c r="P16" i="47"/>
  <c r="AE20" i="47"/>
  <c r="P32" i="47"/>
  <c r="AE39" i="47"/>
  <c r="P52" i="47"/>
  <c r="P53" i="47"/>
  <c r="AE57" i="47"/>
  <c r="P66" i="47"/>
  <c r="P69" i="47"/>
  <c r="P14" i="47"/>
  <c r="P15" i="47"/>
  <c r="AE19" i="47"/>
  <c r="P31" i="47"/>
  <c r="AE35" i="47"/>
  <c r="AE38" i="47"/>
  <c r="AE56" i="47"/>
  <c r="M60" i="47"/>
  <c r="E6" i="46"/>
  <c r="G6" i="46"/>
  <c r="AE18" i="47"/>
  <c r="AE34" i="47"/>
  <c r="AE36" i="47"/>
  <c r="AE37" i="47"/>
  <c r="M43" i="47"/>
  <c r="AE55" i="47"/>
  <c r="AD75" i="45"/>
  <c r="Z75" i="45"/>
  <c r="Y75" i="45"/>
  <c r="O75" i="45"/>
  <c r="K75" i="45"/>
  <c r="V74" i="45"/>
  <c r="U74" i="45"/>
  <c r="O74" i="45"/>
  <c r="N74" i="45"/>
  <c r="Q74" i="45" s="1"/>
  <c r="M74" i="45"/>
  <c r="AE74" i="45" s="1"/>
  <c r="K74" i="45"/>
  <c r="G74" i="45"/>
  <c r="AF73" i="45"/>
  <c r="V73" i="45"/>
  <c r="U73" i="45"/>
  <c r="O73" i="45"/>
  <c r="N73" i="45"/>
  <c r="Q73" i="45" s="1"/>
  <c r="M73" i="45"/>
  <c r="AE73" i="45" s="1"/>
  <c r="K73" i="45"/>
  <c r="G73" i="45"/>
  <c r="AF72" i="45"/>
  <c r="AE72" i="45"/>
  <c r="V72" i="45"/>
  <c r="U72" i="45"/>
  <c r="O72" i="45"/>
  <c r="M72" i="45"/>
  <c r="N72" i="45" s="1"/>
  <c r="K72" i="45"/>
  <c r="G72" i="45"/>
  <c r="V71" i="45"/>
  <c r="M71" i="45" s="1"/>
  <c r="U71" i="45"/>
  <c r="O71" i="45"/>
  <c r="K71" i="45"/>
  <c r="G71" i="45"/>
  <c r="AE70" i="45"/>
  <c r="X70" i="45"/>
  <c r="W70" i="45"/>
  <c r="V70" i="45"/>
  <c r="O70" i="45"/>
  <c r="N70" i="45"/>
  <c r="Q70" i="45" s="1"/>
  <c r="M70" i="45"/>
  <c r="AF70" i="45" s="1"/>
  <c r="K70" i="45"/>
  <c r="G70" i="45"/>
  <c r="AD69" i="45"/>
  <c r="Z69" i="45"/>
  <c r="Y69" i="45"/>
  <c r="O69" i="45"/>
  <c r="K69" i="45"/>
  <c r="V68" i="45"/>
  <c r="M68" i="45" s="1"/>
  <c r="U68" i="45"/>
  <c r="O68" i="45"/>
  <c r="K68" i="45"/>
  <c r="G68" i="45"/>
  <c r="X67" i="45"/>
  <c r="W67" i="45"/>
  <c r="V67" i="45"/>
  <c r="U67" i="45"/>
  <c r="O67" i="45"/>
  <c r="M67" i="45"/>
  <c r="N67" i="45" s="1"/>
  <c r="K67" i="45"/>
  <c r="G67" i="45"/>
  <c r="V66" i="45"/>
  <c r="M66" i="45" s="1"/>
  <c r="U66" i="45"/>
  <c r="O66" i="45"/>
  <c r="K66" i="45"/>
  <c r="G66" i="45"/>
  <c r="V65" i="45"/>
  <c r="M65" i="45" s="1"/>
  <c r="U65" i="45"/>
  <c r="O65" i="45"/>
  <c r="K65" i="45"/>
  <c r="G65" i="45"/>
  <c r="V64" i="45"/>
  <c r="M64" i="45" s="1"/>
  <c r="O64" i="45"/>
  <c r="K64" i="45"/>
  <c r="G64" i="45"/>
  <c r="AD63" i="45"/>
  <c r="Z63" i="45"/>
  <c r="Y63" i="45"/>
  <c r="O63" i="45"/>
  <c r="K63" i="45"/>
  <c r="V62" i="45"/>
  <c r="M62" i="45" s="1"/>
  <c r="U62" i="45"/>
  <c r="O62" i="45"/>
  <c r="K62" i="45"/>
  <c r="G62" i="45"/>
  <c r="V61" i="45"/>
  <c r="M61" i="45" s="1"/>
  <c r="U61" i="45"/>
  <c r="O61" i="45"/>
  <c r="K61" i="45"/>
  <c r="G61" i="45"/>
  <c r="V60" i="45"/>
  <c r="M60" i="45" s="1"/>
  <c r="U60" i="45"/>
  <c r="O60" i="45"/>
  <c r="K60" i="45"/>
  <c r="G60" i="45"/>
  <c r="V59" i="45"/>
  <c r="U59" i="45"/>
  <c r="O59" i="45"/>
  <c r="M59" i="45"/>
  <c r="AF59" i="45" s="1"/>
  <c r="K59" i="45"/>
  <c r="G59" i="45"/>
  <c r="V58" i="45"/>
  <c r="U58" i="45"/>
  <c r="O58" i="45"/>
  <c r="M58" i="45"/>
  <c r="AF58" i="45" s="1"/>
  <c r="K58" i="45"/>
  <c r="G58" i="45"/>
  <c r="V57" i="45"/>
  <c r="U57" i="45"/>
  <c r="O57" i="45"/>
  <c r="N57" i="45"/>
  <c r="Q57" i="45" s="1"/>
  <c r="M57" i="45"/>
  <c r="AF57" i="45" s="1"/>
  <c r="K57" i="45"/>
  <c r="P57" i="45" s="1"/>
  <c r="G57" i="45"/>
  <c r="V56" i="45"/>
  <c r="O56" i="45"/>
  <c r="N56" i="45"/>
  <c r="Q56" i="45" s="1"/>
  <c r="M56" i="45"/>
  <c r="AF56" i="45" s="1"/>
  <c r="K56" i="45"/>
  <c r="P56" i="45" s="1"/>
  <c r="G56" i="45"/>
  <c r="AD55" i="45"/>
  <c r="Z55" i="45"/>
  <c r="Y55" i="45"/>
  <c r="O55" i="45"/>
  <c r="K55" i="45"/>
  <c r="AF54" i="45"/>
  <c r="V54" i="45"/>
  <c r="U54" i="45"/>
  <c r="O54" i="45"/>
  <c r="N54" i="45"/>
  <c r="Q54" i="45" s="1"/>
  <c r="M54" i="45"/>
  <c r="AE54" i="45" s="1"/>
  <c r="K54" i="45"/>
  <c r="G54" i="45"/>
  <c r="AF53" i="45"/>
  <c r="AE53" i="45"/>
  <c r="V53" i="45"/>
  <c r="U53" i="45"/>
  <c r="O53" i="45"/>
  <c r="M53" i="45"/>
  <c r="N53" i="45" s="1"/>
  <c r="K53" i="45"/>
  <c r="G53" i="45"/>
  <c r="V52" i="45"/>
  <c r="M52" i="45" s="1"/>
  <c r="U52" i="45"/>
  <c r="O52" i="45"/>
  <c r="K52" i="45"/>
  <c r="G52" i="45"/>
  <c r="V51" i="45"/>
  <c r="M51" i="45" s="1"/>
  <c r="U51" i="45"/>
  <c r="O51" i="45"/>
  <c r="K51" i="45"/>
  <c r="G51" i="45"/>
  <c r="V50" i="45"/>
  <c r="M50" i="45" s="1"/>
  <c r="U50" i="45"/>
  <c r="O50" i="45"/>
  <c r="K50" i="45"/>
  <c r="G50" i="45"/>
  <c r="V49" i="45"/>
  <c r="M49" i="45" s="1"/>
  <c r="U49" i="45"/>
  <c r="O49" i="45"/>
  <c r="K49" i="45"/>
  <c r="G49" i="45"/>
  <c r="X48" i="45"/>
  <c r="W48" i="45"/>
  <c r="V48" i="45"/>
  <c r="M48" i="45" s="1"/>
  <c r="O48" i="45"/>
  <c r="K48" i="45"/>
  <c r="G48" i="45"/>
  <c r="AD47" i="45"/>
  <c r="Z47" i="45"/>
  <c r="Z2" i="45" s="1"/>
  <c r="L6" i="44" s="1"/>
  <c r="Y47" i="45"/>
  <c r="Y2" i="45" s="1"/>
  <c r="K6" i="44" s="1"/>
  <c r="O47" i="45"/>
  <c r="K47" i="45"/>
  <c r="V46" i="45"/>
  <c r="M46" i="45" s="1"/>
  <c r="U46" i="45"/>
  <c r="O46" i="45"/>
  <c r="K46" i="45"/>
  <c r="G46" i="45"/>
  <c r="X45" i="45"/>
  <c r="W45" i="45"/>
  <c r="V45" i="45"/>
  <c r="M45" i="45" s="1"/>
  <c r="U45" i="45"/>
  <c r="O45" i="45"/>
  <c r="K45" i="45"/>
  <c r="G45" i="45"/>
  <c r="V44" i="45"/>
  <c r="M44" i="45" s="1"/>
  <c r="U44" i="45"/>
  <c r="O44" i="45"/>
  <c r="K44" i="45"/>
  <c r="G44" i="45"/>
  <c r="V43" i="45"/>
  <c r="M43" i="45" s="1"/>
  <c r="U43" i="45"/>
  <c r="O43" i="45"/>
  <c r="K43" i="45"/>
  <c r="G43" i="45"/>
  <c r="V42" i="45"/>
  <c r="M42" i="45" s="1"/>
  <c r="U42" i="45"/>
  <c r="O42" i="45"/>
  <c r="K42" i="45"/>
  <c r="G42" i="45"/>
  <c r="V41" i="45"/>
  <c r="U41" i="45"/>
  <c r="O41" i="45"/>
  <c r="M41" i="45"/>
  <c r="AF41" i="45" s="1"/>
  <c r="K41" i="45"/>
  <c r="G41" i="45"/>
  <c r="X40" i="45"/>
  <c r="W40" i="45"/>
  <c r="V40" i="45"/>
  <c r="M40" i="45" s="1"/>
  <c r="O40" i="45"/>
  <c r="K40" i="45"/>
  <c r="G40" i="45"/>
  <c r="AD39" i="45"/>
  <c r="Z39" i="45"/>
  <c r="Y39" i="45"/>
  <c r="O39" i="45"/>
  <c r="K39" i="45"/>
  <c r="V38" i="45"/>
  <c r="U38" i="45"/>
  <c r="O38" i="45"/>
  <c r="M38" i="45"/>
  <c r="AF38" i="45" s="1"/>
  <c r="K38" i="45"/>
  <c r="G38" i="45"/>
  <c r="V37" i="45"/>
  <c r="U37" i="45"/>
  <c r="O37" i="45"/>
  <c r="M37" i="45"/>
  <c r="AF37" i="45" s="1"/>
  <c r="K37" i="45"/>
  <c r="G37" i="45"/>
  <c r="V36" i="45"/>
  <c r="U36" i="45"/>
  <c r="O36" i="45"/>
  <c r="N36" i="45"/>
  <c r="Q36" i="45" s="1"/>
  <c r="M36" i="45"/>
  <c r="AF36" i="45" s="1"/>
  <c r="K36" i="45"/>
  <c r="P36" i="45" s="1"/>
  <c r="G36" i="45"/>
  <c r="V35" i="45"/>
  <c r="U35" i="45"/>
  <c r="O35" i="45"/>
  <c r="N35" i="45"/>
  <c r="Q35" i="45" s="1"/>
  <c r="M35" i="45"/>
  <c r="AE35" i="45" s="1"/>
  <c r="K35" i="45"/>
  <c r="G35" i="45"/>
  <c r="X34" i="45"/>
  <c r="W34" i="45"/>
  <c r="V34" i="45"/>
  <c r="O34" i="45"/>
  <c r="M34" i="45"/>
  <c r="M39" i="45" s="1"/>
  <c r="K34" i="45"/>
  <c r="G34" i="45"/>
  <c r="AD33" i="45"/>
  <c r="Z33" i="45"/>
  <c r="Y33" i="45"/>
  <c r="O33" i="45"/>
  <c r="K33" i="45"/>
  <c r="V32" i="45"/>
  <c r="U32" i="45"/>
  <c r="O32" i="45"/>
  <c r="N32" i="45"/>
  <c r="Q32" i="45" s="1"/>
  <c r="M32" i="45"/>
  <c r="AE32" i="45" s="1"/>
  <c r="K32" i="45"/>
  <c r="G32" i="45"/>
  <c r="AF31" i="45"/>
  <c r="V31" i="45"/>
  <c r="U31" i="45"/>
  <c r="O31" i="45"/>
  <c r="N31" i="45"/>
  <c r="Q31" i="45" s="1"/>
  <c r="M31" i="45"/>
  <c r="AE31" i="45" s="1"/>
  <c r="K31" i="45"/>
  <c r="G31" i="45"/>
  <c r="AF30" i="45"/>
  <c r="AE30" i="45"/>
  <c r="X30" i="45"/>
  <c r="W30" i="45"/>
  <c r="V30" i="45"/>
  <c r="U30" i="45"/>
  <c r="O30" i="45"/>
  <c r="N30" i="45"/>
  <c r="Q30" i="45" s="1"/>
  <c r="M30" i="45"/>
  <c r="K30" i="45"/>
  <c r="G30" i="45"/>
  <c r="AF29" i="45"/>
  <c r="V29" i="45"/>
  <c r="U29" i="45"/>
  <c r="O29" i="45"/>
  <c r="N29" i="45"/>
  <c r="Q29" i="45" s="1"/>
  <c r="M29" i="45"/>
  <c r="AE29" i="45" s="1"/>
  <c r="K29" i="45"/>
  <c r="G29" i="45"/>
  <c r="AF28" i="45"/>
  <c r="AE28" i="45"/>
  <c r="V28" i="45"/>
  <c r="U28" i="45"/>
  <c r="O28" i="45"/>
  <c r="M28" i="45"/>
  <c r="N28" i="45" s="1"/>
  <c r="K28" i="45"/>
  <c r="G28" i="45"/>
  <c r="V27" i="45"/>
  <c r="M27" i="45" s="1"/>
  <c r="U27" i="45"/>
  <c r="O27" i="45"/>
  <c r="K27" i="45"/>
  <c r="G27" i="45"/>
  <c r="V26" i="45"/>
  <c r="M26" i="45" s="1"/>
  <c r="U26" i="45"/>
  <c r="O26" i="45"/>
  <c r="K26" i="45"/>
  <c r="G26" i="45"/>
  <c r="V25" i="45"/>
  <c r="M25" i="45" s="1"/>
  <c r="U25" i="45"/>
  <c r="O25" i="45"/>
  <c r="K25" i="45"/>
  <c r="G25" i="45"/>
  <c r="V24" i="45"/>
  <c r="M24" i="45" s="1"/>
  <c r="U24" i="45"/>
  <c r="O24" i="45"/>
  <c r="K24" i="45"/>
  <c r="G24" i="45"/>
  <c r="V23" i="45"/>
  <c r="M23" i="45" s="1"/>
  <c r="O23" i="45"/>
  <c r="K23" i="45"/>
  <c r="G23" i="45"/>
  <c r="AD22" i="45"/>
  <c r="Z22" i="45"/>
  <c r="Y22" i="45"/>
  <c r="O22" i="45"/>
  <c r="K22" i="45"/>
  <c r="V21" i="45"/>
  <c r="M21" i="45" s="1"/>
  <c r="U21" i="45"/>
  <c r="O21" i="45"/>
  <c r="K21" i="45"/>
  <c r="G21" i="45"/>
  <c r="V20" i="45"/>
  <c r="U20" i="45"/>
  <c r="O20" i="45"/>
  <c r="M20" i="45"/>
  <c r="AF20" i="45" s="1"/>
  <c r="K20" i="45"/>
  <c r="G20" i="45"/>
  <c r="X19" i="45"/>
  <c r="W19" i="45"/>
  <c r="V19" i="45"/>
  <c r="M19" i="45" s="1"/>
  <c r="U19" i="45"/>
  <c r="O19" i="45"/>
  <c r="K19" i="45"/>
  <c r="G19" i="45"/>
  <c r="V18" i="45"/>
  <c r="U18" i="45"/>
  <c r="O18" i="45"/>
  <c r="M18" i="45"/>
  <c r="AF18" i="45" s="1"/>
  <c r="K18" i="45"/>
  <c r="G18" i="45"/>
  <c r="V17" i="45"/>
  <c r="U17" i="45"/>
  <c r="O17" i="45"/>
  <c r="M17" i="45"/>
  <c r="AF17" i="45" s="1"/>
  <c r="K17" i="45"/>
  <c r="G17" i="45"/>
  <c r="V16" i="45"/>
  <c r="U16" i="45"/>
  <c r="O16" i="45"/>
  <c r="N16" i="45"/>
  <c r="Q16" i="45" s="1"/>
  <c r="M16" i="45"/>
  <c r="AF16" i="45" s="1"/>
  <c r="K16" i="45"/>
  <c r="P16" i="45" s="1"/>
  <c r="G16" i="45"/>
  <c r="V15" i="45"/>
  <c r="U15" i="45"/>
  <c r="O15" i="45"/>
  <c r="N15" i="45"/>
  <c r="Q15" i="45" s="1"/>
  <c r="M15" i="45"/>
  <c r="AE15" i="45" s="1"/>
  <c r="K15" i="45"/>
  <c r="G15" i="45"/>
  <c r="AF14" i="45"/>
  <c r="V14" i="45"/>
  <c r="U14" i="45"/>
  <c r="O14" i="45"/>
  <c r="N14" i="45"/>
  <c r="Q14" i="45" s="1"/>
  <c r="M14" i="45"/>
  <c r="AE14" i="45" s="1"/>
  <c r="K14" i="45"/>
  <c r="G14" i="45"/>
  <c r="AF13" i="45"/>
  <c r="V13" i="45"/>
  <c r="O13" i="45"/>
  <c r="N13" i="45"/>
  <c r="Q13" i="45" s="1"/>
  <c r="M13" i="45"/>
  <c r="K13" i="45"/>
  <c r="G13" i="45"/>
  <c r="AD12" i="45"/>
  <c r="Z12" i="45"/>
  <c r="Y12" i="45"/>
  <c r="O12" i="45"/>
  <c r="K12" i="45"/>
  <c r="V11" i="45"/>
  <c r="M11" i="45" s="1"/>
  <c r="U11" i="45"/>
  <c r="O11" i="45"/>
  <c r="K11" i="45"/>
  <c r="G11" i="45"/>
  <c r="AE10" i="45"/>
  <c r="X10" i="45"/>
  <c r="W10" i="45"/>
  <c r="V10" i="45"/>
  <c r="O10" i="45"/>
  <c r="N10" i="45"/>
  <c r="Q10" i="45" s="1"/>
  <c r="M10" i="45"/>
  <c r="K10" i="45"/>
  <c r="G10" i="45"/>
  <c r="AD9" i="45"/>
  <c r="Z9" i="45"/>
  <c r="Y9" i="45"/>
  <c r="O9" i="45"/>
  <c r="K9" i="45"/>
  <c r="V8" i="45"/>
  <c r="M8" i="45" s="1"/>
  <c r="U8" i="45"/>
  <c r="O8" i="45"/>
  <c r="K8" i="45"/>
  <c r="G8" i="45"/>
  <c r="V7" i="45"/>
  <c r="M7" i="45" s="1"/>
  <c r="U7" i="45"/>
  <c r="O7" i="45"/>
  <c r="K7" i="45"/>
  <c r="G7" i="45"/>
  <c r="V6" i="45"/>
  <c r="M6" i="45" s="1"/>
  <c r="U6" i="45"/>
  <c r="O6" i="45"/>
  <c r="K6" i="45"/>
  <c r="G6" i="45"/>
  <c r="V5" i="45"/>
  <c r="M5" i="45" s="1"/>
  <c r="O5" i="45"/>
  <c r="K5" i="45"/>
  <c r="G5" i="45"/>
  <c r="F1" i="45" s="1"/>
  <c r="AD2" i="45"/>
  <c r="H2" i="45"/>
  <c r="H1" i="45"/>
  <c r="D1" i="45"/>
  <c r="M22" i="44"/>
  <c r="L22" i="44"/>
  <c r="K22" i="44"/>
  <c r="J22" i="44"/>
  <c r="I22" i="44"/>
  <c r="H22" i="44"/>
  <c r="G22" i="44"/>
  <c r="F22" i="44"/>
  <c r="E22" i="44"/>
  <c r="D22" i="44"/>
  <c r="M21" i="44"/>
  <c r="L21" i="44"/>
  <c r="K21" i="44"/>
  <c r="J21" i="44"/>
  <c r="I21" i="44"/>
  <c r="H21" i="44"/>
  <c r="G21" i="44"/>
  <c r="F21" i="44"/>
  <c r="E21" i="44"/>
  <c r="D21" i="44"/>
  <c r="M20" i="44"/>
  <c r="L20" i="44"/>
  <c r="K20" i="44"/>
  <c r="J20" i="44"/>
  <c r="I20" i="44"/>
  <c r="H20" i="44"/>
  <c r="G20" i="44"/>
  <c r="F20" i="44"/>
  <c r="E20" i="44"/>
  <c r="D20" i="44"/>
  <c r="M19" i="44"/>
  <c r="L19" i="44"/>
  <c r="K19" i="44"/>
  <c r="J19" i="44"/>
  <c r="I19" i="44"/>
  <c r="H19" i="44"/>
  <c r="G19" i="44"/>
  <c r="F19" i="44"/>
  <c r="E19" i="44"/>
  <c r="D19" i="44"/>
  <c r="M18" i="44"/>
  <c r="K18" i="44"/>
  <c r="J18" i="44"/>
  <c r="I18" i="44"/>
  <c r="H18" i="44"/>
  <c r="G18" i="44"/>
  <c r="F18" i="44"/>
  <c r="E18" i="44"/>
  <c r="D18" i="44"/>
  <c r="M17" i="44"/>
  <c r="L17" i="44"/>
  <c r="K17" i="44"/>
  <c r="J17" i="44"/>
  <c r="I17" i="44"/>
  <c r="H17" i="44"/>
  <c r="G17" i="44"/>
  <c r="F17" i="44"/>
  <c r="E17" i="44"/>
  <c r="D17" i="44"/>
  <c r="M16" i="44"/>
  <c r="L16" i="44"/>
  <c r="K16" i="44"/>
  <c r="J16" i="44"/>
  <c r="I16" i="44"/>
  <c r="H16" i="44"/>
  <c r="G16" i="44"/>
  <c r="F16" i="44"/>
  <c r="E16" i="44"/>
  <c r="D16" i="44"/>
  <c r="M13" i="44"/>
  <c r="L13" i="44"/>
  <c r="K13" i="44"/>
  <c r="I6" i="44" s="1"/>
  <c r="J13" i="44"/>
  <c r="I13" i="44"/>
  <c r="H13" i="44"/>
  <c r="G6" i="44" s="1"/>
  <c r="G13" i="44"/>
  <c r="F13" i="44"/>
  <c r="E13" i="44"/>
  <c r="D13" i="44"/>
  <c r="N6" i="44"/>
  <c r="M6" i="44"/>
  <c r="F3" i="44"/>
  <c r="C3" i="44"/>
  <c r="Q17" i="47" l="1"/>
  <c r="P17" i="47"/>
  <c r="Q8" i="47"/>
  <c r="P8" i="47"/>
  <c r="P12" i="47"/>
  <c r="Q12" i="47"/>
  <c r="N51" i="47"/>
  <c r="AF51" i="47"/>
  <c r="AG44" i="47" s="1"/>
  <c r="AE51" i="47"/>
  <c r="F14" i="46"/>
  <c r="F15" i="46" s="1"/>
  <c r="Q21" i="47"/>
  <c r="R14" i="47" s="1"/>
  <c r="P21" i="47"/>
  <c r="Q24" i="47"/>
  <c r="P24" i="47"/>
  <c r="Q56" i="47"/>
  <c r="P56" i="47"/>
  <c r="Q6" i="47"/>
  <c r="P6" i="47"/>
  <c r="Q5" i="47"/>
  <c r="P5" i="47"/>
  <c r="Q48" i="47"/>
  <c r="P48" i="47"/>
  <c r="Q38" i="47"/>
  <c r="P38" i="47"/>
  <c r="P49" i="47"/>
  <c r="Q49" i="47"/>
  <c r="N65" i="47"/>
  <c r="AF65" i="47"/>
  <c r="AG61" i="47" s="1"/>
  <c r="AE65" i="47"/>
  <c r="Q44" i="47"/>
  <c r="P44" i="47"/>
  <c r="P63" i="47"/>
  <c r="Q63" i="47"/>
  <c r="N43" i="47"/>
  <c r="AF43" i="47"/>
  <c r="AG36" i="47" s="1"/>
  <c r="AE43" i="47"/>
  <c r="Q19" i="47"/>
  <c r="P19" i="47"/>
  <c r="Q42" i="47"/>
  <c r="P42" i="47"/>
  <c r="Q61" i="47"/>
  <c r="P61" i="47"/>
  <c r="N10" i="47"/>
  <c r="AF10" i="47"/>
  <c r="AG5" i="47" s="1"/>
  <c r="AE10" i="47"/>
  <c r="N60" i="47"/>
  <c r="AF60" i="47"/>
  <c r="AG52" i="47" s="1"/>
  <c r="AE60" i="47"/>
  <c r="Q33" i="47"/>
  <c r="P33" i="47"/>
  <c r="Q64" i="47"/>
  <c r="P64" i="47"/>
  <c r="P9" i="47"/>
  <c r="Q9" i="47"/>
  <c r="Q27" i="47"/>
  <c r="P27" i="47"/>
  <c r="Q54" i="47"/>
  <c r="P54" i="47"/>
  <c r="Q20" i="47"/>
  <c r="P20" i="47"/>
  <c r="Q7" i="47"/>
  <c r="P7" i="47"/>
  <c r="Q57" i="47"/>
  <c r="P57" i="47"/>
  <c r="Q59" i="47"/>
  <c r="P59" i="47"/>
  <c r="AF71" i="47"/>
  <c r="AG66" i="47" s="1"/>
  <c r="AE71" i="47"/>
  <c r="N71" i="47"/>
  <c r="Q58" i="47"/>
  <c r="P58" i="47"/>
  <c r="Q22" i="47"/>
  <c r="P22" i="47"/>
  <c r="Q62" i="47"/>
  <c r="P62" i="47"/>
  <c r="Q23" i="47"/>
  <c r="P23" i="47"/>
  <c r="Q39" i="47"/>
  <c r="P39" i="47"/>
  <c r="Q40" i="47"/>
  <c r="P40" i="47"/>
  <c r="N29" i="47"/>
  <c r="AF29" i="47"/>
  <c r="AG22" i="47" s="1"/>
  <c r="AE29" i="47"/>
  <c r="Q45" i="47"/>
  <c r="P45" i="47"/>
  <c r="N13" i="47"/>
  <c r="AF13" i="47"/>
  <c r="AG11" i="47" s="1"/>
  <c r="AE13" i="47"/>
  <c r="Q36" i="47"/>
  <c r="P36" i="47"/>
  <c r="Q67" i="47"/>
  <c r="P67" i="47"/>
  <c r="Q25" i="47"/>
  <c r="P25" i="47"/>
  <c r="Q50" i="47"/>
  <c r="P50" i="47"/>
  <c r="Q47" i="47"/>
  <c r="P47" i="47"/>
  <c r="Q70" i="47"/>
  <c r="P70" i="47"/>
  <c r="K14" i="46"/>
  <c r="Q35" i="47"/>
  <c r="R30" i="47" s="1"/>
  <c r="P35" i="47"/>
  <c r="P26" i="47"/>
  <c r="Q26" i="47"/>
  <c r="Q46" i="47"/>
  <c r="P46" i="47"/>
  <c r="Q41" i="47"/>
  <c r="P41" i="47"/>
  <c r="N68" i="45"/>
  <c r="AF68" i="45"/>
  <c r="AE68" i="45"/>
  <c r="N64" i="45"/>
  <c r="M69" i="45"/>
  <c r="AF64" i="45"/>
  <c r="AE64" i="45"/>
  <c r="AF40" i="45"/>
  <c r="M47" i="45"/>
  <c r="AE40" i="45"/>
  <c r="N40" i="45"/>
  <c r="AF19" i="45"/>
  <c r="AE19" i="45"/>
  <c r="N19" i="45"/>
  <c r="N5" i="45"/>
  <c r="M9" i="45"/>
  <c r="AF5" i="45"/>
  <c r="AE5" i="45"/>
  <c r="AF42" i="45"/>
  <c r="AE42" i="45"/>
  <c r="N42" i="45"/>
  <c r="N51" i="45"/>
  <c r="AF51" i="45"/>
  <c r="AE51" i="45"/>
  <c r="AF21" i="45"/>
  <c r="AE21" i="45"/>
  <c r="N21" i="45"/>
  <c r="N26" i="45"/>
  <c r="AF26" i="45"/>
  <c r="AE26" i="45"/>
  <c r="AF61" i="45"/>
  <c r="AE61" i="45"/>
  <c r="N61" i="45"/>
  <c r="N8" i="45"/>
  <c r="AF8" i="45"/>
  <c r="AE8" i="45"/>
  <c r="N49" i="45"/>
  <c r="AF49" i="45"/>
  <c r="AE49" i="45"/>
  <c r="N24" i="45"/>
  <c r="AF24" i="45"/>
  <c r="AE24" i="45"/>
  <c r="N45" i="45"/>
  <c r="AF45" i="45"/>
  <c r="AE45" i="45"/>
  <c r="N6" i="45"/>
  <c r="AF6" i="45"/>
  <c r="AE6" i="45"/>
  <c r="Q67" i="45"/>
  <c r="P67" i="45"/>
  <c r="M22" i="45"/>
  <c r="AF43" i="45"/>
  <c r="AE43" i="45"/>
  <c r="N43" i="45"/>
  <c r="N52" i="45"/>
  <c r="AF52" i="45"/>
  <c r="AE52" i="45"/>
  <c r="N27" i="45"/>
  <c r="AF27" i="45"/>
  <c r="AE27" i="45"/>
  <c r="N62" i="45"/>
  <c r="AF62" i="45"/>
  <c r="AE62" i="45"/>
  <c r="N48" i="45"/>
  <c r="AF48" i="45"/>
  <c r="AE48" i="45"/>
  <c r="M55" i="45"/>
  <c r="N50" i="45"/>
  <c r="AF50" i="45"/>
  <c r="AE50" i="45"/>
  <c r="I3" i="44"/>
  <c r="F2" i="45"/>
  <c r="N25" i="45"/>
  <c r="AF25" i="45"/>
  <c r="AE25" i="45"/>
  <c r="AF39" i="45"/>
  <c r="AG34" i="45" s="1"/>
  <c r="AE39" i="45"/>
  <c r="N39" i="45"/>
  <c r="Q53" i="45"/>
  <c r="P53" i="45"/>
  <c r="AF60" i="45"/>
  <c r="AE60" i="45"/>
  <c r="N60" i="45"/>
  <c r="N65" i="45"/>
  <c r="AF65" i="45"/>
  <c r="AE65" i="45"/>
  <c r="N7" i="45"/>
  <c r="AF7" i="45"/>
  <c r="AE7" i="45"/>
  <c r="N11" i="45"/>
  <c r="AF11" i="45"/>
  <c r="AE11" i="45"/>
  <c r="Q28" i="45"/>
  <c r="P28" i="45"/>
  <c r="N71" i="45"/>
  <c r="AF71" i="45"/>
  <c r="M75" i="45"/>
  <c r="AE71" i="45"/>
  <c r="M12" i="45"/>
  <c r="N23" i="45"/>
  <c r="AF23" i="45"/>
  <c r="AE23" i="45"/>
  <c r="M33" i="45"/>
  <c r="N44" i="45"/>
  <c r="AF44" i="45"/>
  <c r="AE44" i="45"/>
  <c r="N46" i="45"/>
  <c r="AF46" i="45"/>
  <c r="AE46" i="45"/>
  <c r="Q72" i="45"/>
  <c r="P72" i="45"/>
  <c r="N66" i="45"/>
  <c r="AF66" i="45"/>
  <c r="AE66" i="45"/>
  <c r="AE13" i="45"/>
  <c r="AF15" i="45"/>
  <c r="AF32" i="45"/>
  <c r="AF34" i="45"/>
  <c r="AF35" i="45"/>
  <c r="AF74" i="45"/>
  <c r="N18" i="45"/>
  <c r="N20" i="45"/>
  <c r="N38" i="45"/>
  <c r="N41" i="45"/>
  <c r="N59" i="45"/>
  <c r="AF10" i="45"/>
  <c r="N17" i="45"/>
  <c r="N34" i="45"/>
  <c r="N37" i="45"/>
  <c r="N58" i="45"/>
  <c r="AE67" i="45"/>
  <c r="L18" i="44"/>
  <c r="AF67" i="45"/>
  <c r="P15" i="45"/>
  <c r="P30" i="45"/>
  <c r="P32" i="45"/>
  <c r="P35" i="45"/>
  <c r="P74" i="45"/>
  <c r="F6" i="44"/>
  <c r="P10" i="45"/>
  <c r="P13" i="45"/>
  <c r="P14" i="45"/>
  <c r="AE18" i="45"/>
  <c r="AE20" i="45"/>
  <c r="P29" i="45"/>
  <c r="P31" i="45"/>
  <c r="AE38" i="45"/>
  <c r="AE41" i="45"/>
  <c r="P54" i="45"/>
  <c r="AE59" i="45"/>
  <c r="M63" i="45"/>
  <c r="P70" i="45"/>
  <c r="P73" i="45"/>
  <c r="E6" i="44"/>
  <c r="AE17" i="45"/>
  <c r="AE37" i="45"/>
  <c r="AE58" i="45"/>
  <c r="AE16" i="45"/>
  <c r="AE36" i="45"/>
  <c r="AE56" i="45"/>
  <c r="AE57" i="45"/>
  <c r="AE34" i="45"/>
  <c r="AE80" i="43"/>
  <c r="AD80" i="43"/>
  <c r="Z80" i="43"/>
  <c r="Y80" i="43"/>
  <c r="O80" i="43"/>
  <c r="M80" i="43"/>
  <c r="AF80" i="43" s="1"/>
  <c r="AG74" i="43" s="1"/>
  <c r="K80" i="43"/>
  <c r="V79" i="43"/>
  <c r="U79" i="43"/>
  <c r="O79" i="43"/>
  <c r="M79" i="43"/>
  <c r="AF79" i="43" s="1"/>
  <c r="K79" i="43"/>
  <c r="G79" i="43"/>
  <c r="AF78" i="43"/>
  <c r="AE78" i="43"/>
  <c r="X78" i="43"/>
  <c r="W78" i="43"/>
  <c r="V78" i="43"/>
  <c r="U78" i="43"/>
  <c r="Q78" i="43"/>
  <c r="P78" i="43"/>
  <c r="O78" i="43"/>
  <c r="N78" i="43"/>
  <c r="M78" i="43"/>
  <c r="K78" i="43"/>
  <c r="G78" i="43"/>
  <c r="AF77" i="43"/>
  <c r="AE77" i="43"/>
  <c r="V77" i="43"/>
  <c r="U77" i="43"/>
  <c r="Q77" i="43"/>
  <c r="O77" i="43"/>
  <c r="N77" i="43"/>
  <c r="P77" i="43" s="1"/>
  <c r="M77" i="43"/>
  <c r="K77" i="43"/>
  <c r="G77" i="43"/>
  <c r="AF76" i="43"/>
  <c r="AE76" i="43"/>
  <c r="V76" i="43"/>
  <c r="U76" i="43"/>
  <c r="Q76" i="43"/>
  <c r="O76" i="43"/>
  <c r="N76" i="43"/>
  <c r="P76" i="43" s="1"/>
  <c r="M76" i="43"/>
  <c r="K76" i="43"/>
  <c r="G76" i="43"/>
  <c r="AF75" i="43"/>
  <c r="AE75" i="43"/>
  <c r="V75" i="43"/>
  <c r="U75" i="43"/>
  <c r="O75" i="43"/>
  <c r="M75" i="43"/>
  <c r="N75" i="43" s="1"/>
  <c r="K75" i="43"/>
  <c r="G75" i="43"/>
  <c r="AF74" i="43"/>
  <c r="AE74" i="43"/>
  <c r="X74" i="43"/>
  <c r="W74" i="43"/>
  <c r="V74" i="43"/>
  <c r="O74" i="43"/>
  <c r="M74" i="43"/>
  <c r="N74" i="43" s="1"/>
  <c r="K74" i="43"/>
  <c r="G74" i="43"/>
  <c r="AD73" i="43"/>
  <c r="Z73" i="43"/>
  <c r="Y73" i="43"/>
  <c r="O73" i="43"/>
  <c r="K73" i="43"/>
  <c r="AF72" i="43"/>
  <c r="V72" i="43"/>
  <c r="U72" i="43"/>
  <c r="O72" i="43"/>
  <c r="M72" i="43"/>
  <c r="N72" i="43" s="1"/>
  <c r="K72" i="43"/>
  <c r="G72" i="43"/>
  <c r="AF71" i="43"/>
  <c r="AE71" i="43"/>
  <c r="X71" i="43"/>
  <c r="W71" i="43"/>
  <c r="V71" i="43"/>
  <c r="U71" i="43"/>
  <c r="Q71" i="43"/>
  <c r="O71" i="43"/>
  <c r="N71" i="43"/>
  <c r="P71" i="43" s="1"/>
  <c r="M71" i="43"/>
  <c r="K71" i="43"/>
  <c r="G71" i="43"/>
  <c r="AF70" i="43"/>
  <c r="AE70" i="43"/>
  <c r="V70" i="43"/>
  <c r="U70" i="43"/>
  <c r="O70" i="43"/>
  <c r="M70" i="43"/>
  <c r="N70" i="43" s="1"/>
  <c r="K70" i="43"/>
  <c r="G70" i="43"/>
  <c r="AF69" i="43"/>
  <c r="AE69" i="43"/>
  <c r="V69" i="43"/>
  <c r="U69" i="43"/>
  <c r="O69" i="43"/>
  <c r="M69" i="43"/>
  <c r="M73" i="43" s="1"/>
  <c r="K69" i="43"/>
  <c r="G69" i="43"/>
  <c r="AF68" i="43"/>
  <c r="AE68" i="43"/>
  <c r="V68" i="43"/>
  <c r="O68" i="43"/>
  <c r="N68" i="43"/>
  <c r="P68" i="43" s="1"/>
  <c r="M68" i="43"/>
  <c r="K68" i="43"/>
  <c r="G68" i="43"/>
  <c r="AD67" i="43"/>
  <c r="Z67" i="43"/>
  <c r="Y67" i="43"/>
  <c r="O67" i="43"/>
  <c r="K67" i="43"/>
  <c r="AF66" i="43"/>
  <c r="AE66" i="43"/>
  <c r="V66" i="43"/>
  <c r="U66" i="43"/>
  <c r="O66" i="43"/>
  <c r="N66" i="43"/>
  <c r="Q66" i="43" s="1"/>
  <c r="M66" i="43"/>
  <c r="K66" i="43"/>
  <c r="G66" i="43"/>
  <c r="AF65" i="43"/>
  <c r="V65" i="43"/>
  <c r="U65" i="43"/>
  <c r="O65" i="43"/>
  <c r="M65" i="43"/>
  <c r="N65" i="43" s="1"/>
  <c r="K65" i="43"/>
  <c r="G65" i="43"/>
  <c r="AF64" i="43"/>
  <c r="AE64" i="43"/>
  <c r="V64" i="43"/>
  <c r="U64" i="43"/>
  <c r="Q64" i="43"/>
  <c r="P64" i="43"/>
  <c r="O64" i="43"/>
  <c r="N64" i="43"/>
  <c r="M64" i="43"/>
  <c r="K64" i="43"/>
  <c r="G64" i="43"/>
  <c r="AF63" i="43"/>
  <c r="AE63" i="43"/>
  <c r="V63" i="43"/>
  <c r="U63" i="43"/>
  <c r="Q63" i="43"/>
  <c r="O63" i="43"/>
  <c r="N63" i="43"/>
  <c r="P63" i="43" s="1"/>
  <c r="M63" i="43"/>
  <c r="K63" i="43"/>
  <c r="G63" i="43"/>
  <c r="AF62" i="43"/>
  <c r="AE62" i="43"/>
  <c r="V62" i="43"/>
  <c r="U62" i="43"/>
  <c r="Q62" i="43"/>
  <c r="O62" i="43"/>
  <c r="N62" i="43"/>
  <c r="P62" i="43" s="1"/>
  <c r="M62" i="43"/>
  <c r="K62" i="43"/>
  <c r="G62" i="43"/>
  <c r="AF61" i="43"/>
  <c r="AE61" i="43"/>
  <c r="V61" i="43"/>
  <c r="U61" i="43"/>
  <c r="O61" i="43"/>
  <c r="M61" i="43"/>
  <c r="N61" i="43" s="1"/>
  <c r="K61" i="43"/>
  <c r="G61" i="43"/>
  <c r="AF60" i="43"/>
  <c r="AE60" i="43"/>
  <c r="V60" i="43"/>
  <c r="O60" i="43"/>
  <c r="M60" i="43"/>
  <c r="M67" i="43" s="1"/>
  <c r="K60" i="43"/>
  <c r="G60" i="43"/>
  <c r="AD59" i="43"/>
  <c r="Z59" i="43"/>
  <c r="Y59" i="43"/>
  <c r="O59" i="43"/>
  <c r="M59" i="43"/>
  <c r="AF59" i="43" s="1"/>
  <c r="AG51" i="43" s="1"/>
  <c r="K59" i="43"/>
  <c r="V58" i="43"/>
  <c r="U58" i="43"/>
  <c r="O58" i="43"/>
  <c r="M58" i="43"/>
  <c r="AF58" i="43" s="1"/>
  <c r="K58" i="43"/>
  <c r="G58" i="43"/>
  <c r="AF57" i="43"/>
  <c r="AE57" i="43"/>
  <c r="X57" i="43"/>
  <c r="W57" i="43"/>
  <c r="V57" i="43"/>
  <c r="U57" i="43"/>
  <c r="Q57" i="43"/>
  <c r="P57" i="43"/>
  <c r="O57" i="43"/>
  <c r="N57" i="43"/>
  <c r="M57" i="43"/>
  <c r="K57" i="43"/>
  <c r="G57" i="43"/>
  <c r="AF56" i="43"/>
  <c r="AE56" i="43"/>
  <c r="V56" i="43"/>
  <c r="U56" i="43"/>
  <c r="Q56" i="43"/>
  <c r="O56" i="43"/>
  <c r="N56" i="43"/>
  <c r="P56" i="43" s="1"/>
  <c r="M56" i="43"/>
  <c r="K56" i="43"/>
  <c r="G56" i="43"/>
  <c r="AF55" i="43"/>
  <c r="AE55" i="43"/>
  <c r="V55" i="43"/>
  <c r="U55" i="43"/>
  <c r="Q55" i="43"/>
  <c r="O55" i="43"/>
  <c r="N55" i="43"/>
  <c r="P55" i="43" s="1"/>
  <c r="M55" i="43"/>
  <c r="K55" i="43"/>
  <c r="G55" i="43"/>
  <c r="AF54" i="43"/>
  <c r="AE54" i="43"/>
  <c r="V54" i="43"/>
  <c r="U54" i="43"/>
  <c r="O54" i="43"/>
  <c r="M54" i="43"/>
  <c r="N54" i="43" s="1"/>
  <c r="K54" i="43"/>
  <c r="G54" i="43"/>
  <c r="AF53" i="43"/>
  <c r="AE53" i="43"/>
  <c r="V53" i="43"/>
  <c r="U53" i="43"/>
  <c r="O53" i="43"/>
  <c r="M53" i="43"/>
  <c r="N53" i="43" s="1"/>
  <c r="K53" i="43"/>
  <c r="G53" i="43"/>
  <c r="AF52" i="43"/>
  <c r="AE52" i="43"/>
  <c r="V52" i="43"/>
  <c r="U52" i="43"/>
  <c r="Q52" i="43"/>
  <c r="P52" i="43"/>
  <c r="O52" i="43"/>
  <c r="N52" i="43"/>
  <c r="M52" i="43"/>
  <c r="K52" i="43"/>
  <c r="G52" i="43"/>
  <c r="AE51" i="43"/>
  <c r="X51" i="43"/>
  <c r="W51" i="43"/>
  <c r="V51" i="43"/>
  <c r="O51" i="43"/>
  <c r="M51" i="43"/>
  <c r="N51" i="43" s="1"/>
  <c r="K51" i="43"/>
  <c r="G51" i="43"/>
  <c r="AD50" i="43"/>
  <c r="Z50" i="43"/>
  <c r="Y50" i="43"/>
  <c r="O50" i="43"/>
  <c r="K50" i="43"/>
  <c r="AF49" i="43"/>
  <c r="AE49" i="43"/>
  <c r="V49" i="43"/>
  <c r="U49" i="43"/>
  <c r="Q49" i="43"/>
  <c r="O49" i="43"/>
  <c r="N49" i="43"/>
  <c r="P49" i="43" s="1"/>
  <c r="M49" i="43"/>
  <c r="K49" i="43"/>
  <c r="G49" i="43"/>
  <c r="AF48" i="43"/>
  <c r="AE48" i="43"/>
  <c r="V48" i="43"/>
  <c r="U48" i="43"/>
  <c r="Q48" i="43"/>
  <c r="O48" i="43"/>
  <c r="N48" i="43"/>
  <c r="P48" i="43" s="1"/>
  <c r="M48" i="43"/>
  <c r="K48" i="43"/>
  <c r="G48" i="43"/>
  <c r="AF47" i="43"/>
  <c r="AE47" i="43"/>
  <c r="X47" i="43"/>
  <c r="W47" i="43"/>
  <c r="V47" i="43"/>
  <c r="U47" i="43"/>
  <c r="Q47" i="43"/>
  <c r="P47" i="43"/>
  <c r="O47" i="43"/>
  <c r="N47" i="43"/>
  <c r="M47" i="43"/>
  <c r="K47" i="43"/>
  <c r="G47" i="43"/>
  <c r="AF46" i="43"/>
  <c r="V46" i="43"/>
  <c r="U46" i="43"/>
  <c r="O46" i="43"/>
  <c r="M46" i="43"/>
  <c r="AE46" i="43" s="1"/>
  <c r="K46" i="43"/>
  <c r="G46" i="43"/>
  <c r="AF45" i="43"/>
  <c r="AE45" i="43"/>
  <c r="V45" i="43"/>
  <c r="U45" i="43"/>
  <c r="O45" i="43"/>
  <c r="N45" i="43"/>
  <c r="Q45" i="43" s="1"/>
  <c r="M45" i="43"/>
  <c r="K45" i="43"/>
  <c r="G45" i="43"/>
  <c r="AF44" i="43"/>
  <c r="AE44" i="43"/>
  <c r="V44" i="43"/>
  <c r="U44" i="43"/>
  <c r="O44" i="43"/>
  <c r="N44" i="43"/>
  <c r="Q44" i="43" s="1"/>
  <c r="M44" i="43"/>
  <c r="K44" i="43"/>
  <c r="G44" i="43"/>
  <c r="AF43" i="43"/>
  <c r="AE43" i="43"/>
  <c r="V43" i="43"/>
  <c r="U43" i="43"/>
  <c r="O43" i="43"/>
  <c r="N43" i="43"/>
  <c r="Q43" i="43" s="1"/>
  <c r="M43" i="43"/>
  <c r="K43" i="43"/>
  <c r="G43" i="43"/>
  <c r="V42" i="43"/>
  <c r="U42" i="43"/>
  <c r="O42" i="43"/>
  <c r="M42" i="43"/>
  <c r="N42" i="43" s="1"/>
  <c r="K42" i="43"/>
  <c r="G42" i="43"/>
  <c r="AE41" i="43"/>
  <c r="X41" i="43"/>
  <c r="W41" i="43"/>
  <c r="V41" i="43"/>
  <c r="O41" i="43"/>
  <c r="M41" i="43"/>
  <c r="AF41" i="43" s="1"/>
  <c r="K41" i="43"/>
  <c r="G41" i="43"/>
  <c r="AF40" i="43"/>
  <c r="AG34" i="43" s="1"/>
  <c r="AD40" i="43"/>
  <c r="Z40" i="43"/>
  <c r="Y40" i="43"/>
  <c r="O40" i="43"/>
  <c r="M40" i="43"/>
  <c r="AE40" i="43" s="1"/>
  <c r="K40" i="43"/>
  <c r="AF39" i="43"/>
  <c r="V39" i="43"/>
  <c r="U39" i="43"/>
  <c r="O39" i="43"/>
  <c r="M39" i="43"/>
  <c r="AE39" i="43" s="1"/>
  <c r="K39" i="43"/>
  <c r="G39" i="43"/>
  <c r="AF38" i="43"/>
  <c r="AE38" i="43"/>
  <c r="X38" i="43"/>
  <c r="W38" i="43"/>
  <c r="V38" i="43"/>
  <c r="U38" i="43"/>
  <c r="O38" i="43"/>
  <c r="N38" i="43"/>
  <c r="Q38" i="43" s="1"/>
  <c r="M38" i="43"/>
  <c r="K38" i="43"/>
  <c r="G38" i="43"/>
  <c r="V37" i="43"/>
  <c r="U37" i="43"/>
  <c r="O37" i="43"/>
  <c r="M37" i="43"/>
  <c r="N37" i="43" s="1"/>
  <c r="K37" i="43"/>
  <c r="G37" i="43"/>
  <c r="AF36" i="43"/>
  <c r="AE36" i="43"/>
  <c r="V36" i="43"/>
  <c r="U36" i="43"/>
  <c r="Q36" i="43"/>
  <c r="P36" i="43"/>
  <c r="O36" i="43"/>
  <c r="N36" i="43"/>
  <c r="M36" i="43"/>
  <c r="K36" i="43"/>
  <c r="G36" i="43"/>
  <c r="AF35" i="43"/>
  <c r="AE35" i="43"/>
  <c r="V35" i="43"/>
  <c r="U35" i="43"/>
  <c r="O35" i="43"/>
  <c r="M35" i="43"/>
  <c r="N35" i="43" s="1"/>
  <c r="K35" i="43"/>
  <c r="G35" i="43"/>
  <c r="AF34" i="43"/>
  <c r="AE34" i="43"/>
  <c r="X34" i="43"/>
  <c r="W34" i="43"/>
  <c r="V34" i="43"/>
  <c r="O34" i="43"/>
  <c r="M34" i="43"/>
  <c r="N34" i="43" s="1"/>
  <c r="K34" i="43"/>
  <c r="G34" i="43"/>
  <c r="AD33" i="43"/>
  <c r="Z33" i="43"/>
  <c r="Y33" i="43"/>
  <c r="O33" i="43"/>
  <c r="M33" i="43"/>
  <c r="AF33" i="43" s="1"/>
  <c r="AG23" i="43" s="1"/>
  <c r="K33" i="43"/>
  <c r="AF32" i="43"/>
  <c r="AE32" i="43"/>
  <c r="V32" i="43"/>
  <c r="U32" i="43"/>
  <c r="O32" i="43"/>
  <c r="N32" i="43"/>
  <c r="Q32" i="43" s="1"/>
  <c r="M32" i="43"/>
  <c r="K32" i="43"/>
  <c r="G32" i="43"/>
  <c r="AF31" i="43"/>
  <c r="AE31" i="43"/>
  <c r="V31" i="43"/>
  <c r="U31" i="43"/>
  <c r="O31" i="43"/>
  <c r="N31" i="43"/>
  <c r="Q31" i="43" s="1"/>
  <c r="M31" i="43"/>
  <c r="K31" i="43"/>
  <c r="G31" i="43"/>
  <c r="AF30" i="43"/>
  <c r="AE30" i="43"/>
  <c r="X30" i="43"/>
  <c r="W30" i="43"/>
  <c r="V30" i="43"/>
  <c r="U30" i="43"/>
  <c r="O30" i="43"/>
  <c r="M30" i="43"/>
  <c r="N30" i="43" s="1"/>
  <c r="K30" i="43"/>
  <c r="G30" i="43"/>
  <c r="AF29" i="43"/>
  <c r="AE29" i="43"/>
  <c r="V29" i="43"/>
  <c r="U29" i="43"/>
  <c r="Q29" i="43"/>
  <c r="P29" i="43"/>
  <c r="O29" i="43"/>
  <c r="N29" i="43"/>
  <c r="M29" i="43"/>
  <c r="K29" i="43"/>
  <c r="G29" i="43"/>
  <c r="AF28" i="43"/>
  <c r="AE28" i="43"/>
  <c r="V28" i="43"/>
  <c r="U28" i="43"/>
  <c r="Q28" i="43"/>
  <c r="O28" i="43"/>
  <c r="N28" i="43"/>
  <c r="P28" i="43" s="1"/>
  <c r="M28" i="43"/>
  <c r="K28" i="43"/>
  <c r="G28" i="43"/>
  <c r="AF27" i="43"/>
  <c r="AE27" i="43"/>
  <c r="V27" i="43"/>
  <c r="U27" i="43"/>
  <c r="O27" i="43"/>
  <c r="M27" i="43"/>
  <c r="N27" i="43" s="1"/>
  <c r="K27" i="43"/>
  <c r="G27" i="43"/>
  <c r="AF26" i="43"/>
  <c r="AE26" i="43"/>
  <c r="V26" i="43"/>
  <c r="U26" i="43"/>
  <c r="O26" i="43"/>
  <c r="N26" i="43"/>
  <c r="P26" i="43" s="1"/>
  <c r="M26" i="43"/>
  <c r="K26" i="43"/>
  <c r="G26" i="43"/>
  <c r="V25" i="43"/>
  <c r="U25" i="43"/>
  <c r="O25" i="43"/>
  <c r="M25" i="43"/>
  <c r="AF25" i="43" s="1"/>
  <c r="K25" i="43"/>
  <c r="G25" i="43"/>
  <c r="AF24" i="43"/>
  <c r="AE24" i="43"/>
  <c r="V24" i="43"/>
  <c r="U24" i="43"/>
  <c r="O24" i="43"/>
  <c r="N24" i="43"/>
  <c r="Q24" i="43" s="1"/>
  <c r="M24" i="43"/>
  <c r="K24" i="43"/>
  <c r="G24" i="43"/>
  <c r="V23" i="43"/>
  <c r="O23" i="43"/>
  <c r="M23" i="43"/>
  <c r="N23" i="43" s="1"/>
  <c r="K23" i="43"/>
  <c r="G23" i="43"/>
  <c r="AD22" i="43"/>
  <c r="Z22" i="43"/>
  <c r="Y22" i="43"/>
  <c r="O22" i="43"/>
  <c r="K22" i="43"/>
  <c r="AF21" i="43"/>
  <c r="AE21" i="43"/>
  <c r="V21" i="43"/>
  <c r="U21" i="43"/>
  <c r="O21" i="43"/>
  <c r="M21" i="43"/>
  <c r="N21" i="43" s="1"/>
  <c r="K21" i="43"/>
  <c r="G21" i="43"/>
  <c r="AF20" i="43"/>
  <c r="AE20" i="43"/>
  <c r="V20" i="43"/>
  <c r="U20" i="43"/>
  <c r="Q20" i="43"/>
  <c r="P20" i="43"/>
  <c r="O20" i="43"/>
  <c r="N20" i="43"/>
  <c r="M20" i="43"/>
  <c r="K20" i="43"/>
  <c r="G20" i="43"/>
  <c r="AF19" i="43"/>
  <c r="AE19" i="43"/>
  <c r="X19" i="43"/>
  <c r="W19" i="43"/>
  <c r="V19" i="43"/>
  <c r="U19" i="43"/>
  <c r="O19" i="43"/>
  <c r="N19" i="43"/>
  <c r="P19" i="43" s="1"/>
  <c r="M19" i="43"/>
  <c r="K19" i="43"/>
  <c r="G19" i="43"/>
  <c r="V18" i="43"/>
  <c r="U18" i="43"/>
  <c r="O18" i="43"/>
  <c r="M18" i="43"/>
  <c r="AF18" i="43" s="1"/>
  <c r="K18" i="43"/>
  <c r="G18" i="43"/>
  <c r="AF17" i="43"/>
  <c r="AE17" i="43"/>
  <c r="V17" i="43"/>
  <c r="U17" i="43"/>
  <c r="O17" i="43"/>
  <c r="N17" i="43"/>
  <c r="Q17" i="43" s="1"/>
  <c r="M17" i="43"/>
  <c r="K17" i="43"/>
  <c r="G17" i="43"/>
  <c r="AF16" i="43"/>
  <c r="V16" i="43"/>
  <c r="U16" i="43"/>
  <c r="O16" i="43"/>
  <c r="M16" i="43"/>
  <c r="N16" i="43" s="1"/>
  <c r="K16" i="43"/>
  <c r="G16" i="43"/>
  <c r="AF15" i="43"/>
  <c r="AE15" i="43"/>
  <c r="V15" i="43"/>
  <c r="U15" i="43"/>
  <c r="Q15" i="43"/>
  <c r="P15" i="43"/>
  <c r="O15" i="43"/>
  <c r="N15" i="43"/>
  <c r="M15" i="43"/>
  <c r="K15" i="43"/>
  <c r="G15" i="43"/>
  <c r="AF14" i="43"/>
  <c r="AE14" i="43"/>
  <c r="V14" i="43"/>
  <c r="U14" i="43"/>
  <c r="Q14" i="43"/>
  <c r="O14" i="43"/>
  <c r="N14" i="43"/>
  <c r="P14" i="43" s="1"/>
  <c r="M14" i="43"/>
  <c r="K14" i="43"/>
  <c r="G14" i="43"/>
  <c r="AF13" i="43"/>
  <c r="AE13" i="43"/>
  <c r="V13" i="43"/>
  <c r="Q13" i="43"/>
  <c r="P13" i="43"/>
  <c r="O13" i="43"/>
  <c r="N13" i="43"/>
  <c r="M13" i="43"/>
  <c r="K13" i="43"/>
  <c r="G13" i="43"/>
  <c r="AF12" i="43"/>
  <c r="AG10" i="43" s="1"/>
  <c r="AE12" i="43"/>
  <c r="AD12" i="43"/>
  <c r="Z12" i="43"/>
  <c r="Y12" i="43"/>
  <c r="O12" i="43"/>
  <c r="M12" i="43"/>
  <c r="N12" i="43" s="1"/>
  <c r="K12" i="43"/>
  <c r="AF11" i="43"/>
  <c r="AE11" i="43"/>
  <c r="V11" i="43"/>
  <c r="U11" i="43"/>
  <c r="O11" i="43"/>
  <c r="M11" i="43"/>
  <c r="N11" i="43" s="1"/>
  <c r="K11" i="43"/>
  <c r="G11" i="43"/>
  <c r="AF10" i="43"/>
  <c r="AE10" i="43"/>
  <c r="X10" i="43"/>
  <c r="W10" i="43"/>
  <c r="V10" i="43"/>
  <c r="O10" i="43"/>
  <c r="N10" i="43"/>
  <c r="Q10" i="43" s="1"/>
  <c r="M10" i="43"/>
  <c r="K10" i="43"/>
  <c r="G10" i="43"/>
  <c r="AD9" i="43"/>
  <c r="Z9" i="43"/>
  <c r="Y9" i="43"/>
  <c r="O9" i="43"/>
  <c r="K9" i="43"/>
  <c r="AF8" i="43"/>
  <c r="AE8" i="43"/>
  <c r="V8" i="43"/>
  <c r="U8" i="43"/>
  <c r="Q8" i="43"/>
  <c r="P8" i="43"/>
  <c r="O8" i="43"/>
  <c r="N8" i="43"/>
  <c r="M8" i="43"/>
  <c r="K8" i="43"/>
  <c r="G8" i="43"/>
  <c r="AF7" i="43"/>
  <c r="AE7" i="43"/>
  <c r="V7" i="43"/>
  <c r="U7" i="43"/>
  <c r="O7" i="43"/>
  <c r="M7" i="43"/>
  <c r="M9" i="43" s="1"/>
  <c r="K7" i="43"/>
  <c r="G7" i="43"/>
  <c r="AF6" i="43"/>
  <c r="AE6" i="43"/>
  <c r="V6" i="43"/>
  <c r="U6" i="43"/>
  <c r="Q6" i="43"/>
  <c r="P6" i="43"/>
  <c r="O6" i="43"/>
  <c r="N6" i="43"/>
  <c r="M6" i="43"/>
  <c r="K6" i="43"/>
  <c r="G6" i="43"/>
  <c r="AF5" i="43"/>
  <c r="AE5" i="43"/>
  <c r="V5" i="43"/>
  <c r="Q5" i="43"/>
  <c r="P5" i="43"/>
  <c r="O5" i="43"/>
  <c r="N5" i="43"/>
  <c r="M5" i="43"/>
  <c r="K5" i="43"/>
  <c r="G5" i="43"/>
  <c r="AD2" i="43"/>
  <c r="N6" i="42" s="1"/>
  <c r="Z2" i="43"/>
  <c r="Y2" i="43"/>
  <c r="H2" i="43"/>
  <c r="H1" i="43"/>
  <c r="F1" i="43"/>
  <c r="F2" i="43" s="1"/>
  <c r="D1" i="43"/>
  <c r="M22" i="42"/>
  <c r="L22" i="42"/>
  <c r="K22" i="42"/>
  <c r="J22" i="42"/>
  <c r="I22" i="42"/>
  <c r="H22" i="42"/>
  <c r="G22" i="42"/>
  <c r="F22" i="42"/>
  <c r="E22" i="42"/>
  <c r="D22" i="42"/>
  <c r="M21" i="42"/>
  <c r="L21" i="42"/>
  <c r="K21" i="42"/>
  <c r="J21" i="42"/>
  <c r="I21" i="42"/>
  <c r="H21" i="42"/>
  <c r="G21" i="42"/>
  <c r="F21" i="42"/>
  <c r="E21" i="42"/>
  <c r="D21" i="42"/>
  <c r="M20" i="42"/>
  <c r="L20" i="42"/>
  <c r="K20" i="42"/>
  <c r="J20" i="42"/>
  <c r="I20" i="42"/>
  <c r="H20" i="42"/>
  <c r="G20" i="42"/>
  <c r="F20" i="42"/>
  <c r="E20" i="42"/>
  <c r="D20" i="42"/>
  <c r="M19" i="42"/>
  <c r="L19" i="42"/>
  <c r="K19" i="42"/>
  <c r="J19" i="42"/>
  <c r="I19" i="42"/>
  <c r="H19" i="42"/>
  <c r="G19" i="42"/>
  <c r="F19" i="42"/>
  <c r="E19" i="42"/>
  <c r="D19" i="42"/>
  <c r="M18" i="42"/>
  <c r="L18" i="42"/>
  <c r="K18" i="42"/>
  <c r="J18" i="42"/>
  <c r="I18" i="42"/>
  <c r="H18" i="42"/>
  <c r="G18" i="42"/>
  <c r="F18" i="42"/>
  <c r="E18" i="42"/>
  <c r="D18" i="42"/>
  <c r="M17" i="42"/>
  <c r="L17" i="42"/>
  <c r="K17" i="42"/>
  <c r="J17" i="42"/>
  <c r="I17" i="42"/>
  <c r="H17" i="42"/>
  <c r="G17" i="42"/>
  <c r="F17" i="42"/>
  <c r="E17" i="42"/>
  <c r="D17" i="42"/>
  <c r="M16" i="42"/>
  <c r="L16" i="42"/>
  <c r="K16" i="42"/>
  <c r="J16" i="42"/>
  <c r="I16" i="42"/>
  <c r="H16" i="42"/>
  <c r="G16" i="42"/>
  <c r="F16" i="42"/>
  <c r="E16" i="42"/>
  <c r="D16" i="42"/>
  <c r="M13" i="42"/>
  <c r="L13" i="42"/>
  <c r="I6" i="42" s="1"/>
  <c r="K13" i="42"/>
  <c r="J13" i="42"/>
  <c r="I13" i="42"/>
  <c r="H13" i="42"/>
  <c r="G13" i="42"/>
  <c r="F13" i="42"/>
  <c r="E13" i="42"/>
  <c r="D13" i="42"/>
  <c r="M6" i="42"/>
  <c r="L6" i="42"/>
  <c r="K6" i="42"/>
  <c r="G6" i="42"/>
  <c r="F6" i="42"/>
  <c r="F3" i="42"/>
  <c r="C3" i="42"/>
  <c r="M14" i="46" l="1"/>
  <c r="M15" i="46" s="1"/>
  <c r="Q71" i="47"/>
  <c r="R66" i="47" s="1"/>
  <c r="P71" i="47"/>
  <c r="G14" i="46"/>
  <c r="G15" i="46" s="1"/>
  <c r="Q29" i="47"/>
  <c r="R22" i="47" s="1"/>
  <c r="P29" i="47"/>
  <c r="D14" i="46"/>
  <c r="Q10" i="47"/>
  <c r="R5" i="47" s="1"/>
  <c r="P10" i="47"/>
  <c r="D2" i="47"/>
  <c r="H14" i="46"/>
  <c r="H15" i="46" s="1"/>
  <c r="Q51" i="47"/>
  <c r="R44" i="47" s="1"/>
  <c r="P51" i="47"/>
  <c r="K15" i="46"/>
  <c r="L14" i="46"/>
  <c r="L15" i="46" s="1"/>
  <c r="Q43" i="47"/>
  <c r="R36" i="47" s="1"/>
  <c r="P43" i="47"/>
  <c r="E14" i="46"/>
  <c r="E15" i="46" s="1"/>
  <c r="Q13" i="47"/>
  <c r="R11" i="47" s="1"/>
  <c r="P13" i="47"/>
  <c r="J14" i="46"/>
  <c r="J15" i="46" s="1"/>
  <c r="Q65" i="47"/>
  <c r="R61" i="47" s="1"/>
  <c r="P65" i="47"/>
  <c r="I14" i="46"/>
  <c r="I15" i="46" s="1"/>
  <c r="Q60" i="47"/>
  <c r="R52" i="47" s="1"/>
  <c r="P60" i="47"/>
  <c r="P65" i="45"/>
  <c r="Q65" i="45"/>
  <c r="Q46" i="45"/>
  <c r="P46" i="45"/>
  <c r="Q71" i="45"/>
  <c r="P71" i="45"/>
  <c r="Q60" i="45"/>
  <c r="P60" i="45"/>
  <c r="Q40" i="45"/>
  <c r="P40" i="45"/>
  <c r="Q44" i="45"/>
  <c r="P44" i="45"/>
  <c r="Q58" i="45"/>
  <c r="P58" i="45"/>
  <c r="Q27" i="45"/>
  <c r="P27" i="45"/>
  <c r="Q6" i="45"/>
  <c r="P6" i="45"/>
  <c r="Q8" i="45"/>
  <c r="P8" i="45"/>
  <c r="P51" i="45"/>
  <c r="Q51" i="45"/>
  <c r="Q37" i="45"/>
  <c r="P37" i="45"/>
  <c r="N63" i="45"/>
  <c r="AF63" i="45"/>
  <c r="AG56" i="45" s="1"/>
  <c r="AE63" i="45"/>
  <c r="Q17" i="45"/>
  <c r="P17" i="45"/>
  <c r="AF33" i="45"/>
  <c r="AG23" i="45" s="1"/>
  <c r="AE33" i="45"/>
  <c r="N33" i="45"/>
  <c r="AE55" i="45"/>
  <c r="N55" i="45"/>
  <c r="AF55" i="45"/>
  <c r="AG48" i="45" s="1"/>
  <c r="Q52" i="45"/>
  <c r="P52" i="45"/>
  <c r="Q45" i="45"/>
  <c r="P45" i="45"/>
  <c r="Q42" i="45"/>
  <c r="P42" i="45"/>
  <c r="Q11" i="45"/>
  <c r="P11" i="45"/>
  <c r="Q59" i="45"/>
  <c r="P59" i="45"/>
  <c r="N69" i="45"/>
  <c r="AF69" i="45"/>
  <c r="AG64" i="45" s="1"/>
  <c r="AE69" i="45"/>
  <c r="Q61" i="45"/>
  <c r="P61" i="45"/>
  <c r="Q41" i="45"/>
  <c r="P41" i="45"/>
  <c r="Q66" i="45"/>
  <c r="P66" i="45"/>
  <c r="Q23" i="45"/>
  <c r="P23" i="45"/>
  <c r="P48" i="45"/>
  <c r="Q48" i="45"/>
  <c r="Q24" i="45"/>
  <c r="P24" i="45"/>
  <c r="P26" i="45"/>
  <c r="Q26" i="45"/>
  <c r="N9" i="45"/>
  <c r="AF9" i="45"/>
  <c r="AG5" i="45" s="1"/>
  <c r="AE9" i="45"/>
  <c r="P64" i="45"/>
  <c r="Q64" i="45"/>
  <c r="N47" i="45"/>
  <c r="AF47" i="45"/>
  <c r="AG40" i="45" s="1"/>
  <c r="AE47" i="45"/>
  <c r="Q34" i="45"/>
  <c r="P34" i="45"/>
  <c r="Q50" i="45"/>
  <c r="P50" i="45"/>
  <c r="K14" i="44"/>
  <c r="Q39" i="45"/>
  <c r="R34" i="45" s="1"/>
  <c r="P39" i="45"/>
  <c r="Q43" i="45"/>
  <c r="P43" i="45"/>
  <c r="Q38" i="45"/>
  <c r="P38" i="45"/>
  <c r="N12" i="45"/>
  <c r="AF12" i="45"/>
  <c r="AG10" i="45" s="1"/>
  <c r="AE12" i="45"/>
  <c r="P7" i="45"/>
  <c r="Q7" i="45"/>
  <c r="N22" i="45"/>
  <c r="AF22" i="45"/>
  <c r="AG13" i="45" s="1"/>
  <c r="AE22" i="45"/>
  <c r="Q21" i="45"/>
  <c r="P21" i="45"/>
  <c r="Q5" i="45"/>
  <c r="P5" i="45"/>
  <c r="Q20" i="45"/>
  <c r="P20" i="45"/>
  <c r="Q19" i="45"/>
  <c r="P19" i="45"/>
  <c r="Q18" i="45"/>
  <c r="P18" i="45"/>
  <c r="AF75" i="45"/>
  <c r="AG70" i="45" s="1"/>
  <c r="AE75" i="45"/>
  <c r="N75" i="45"/>
  <c r="Q25" i="45"/>
  <c r="P25" i="45"/>
  <c r="Q62" i="45"/>
  <c r="P62" i="45"/>
  <c r="Q49" i="45"/>
  <c r="P49" i="45"/>
  <c r="Q68" i="45"/>
  <c r="P68" i="45"/>
  <c r="P51" i="43"/>
  <c r="Q51" i="43"/>
  <c r="AF67" i="43"/>
  <c r="AG60" i="43" s="1"/>
  <c r="AE67" i="43"/>
  <c r="N67" i="43"/>
  <c r="Q42" i="43"/>
  <c r="P42" i="43"/>
  <c r="Q35" i="43"/>
  <c r="P35" i="43"/>
  <c r="Q75" i="43"/>
  <c r="P75" i="43"/>
  <c r="N9" i="43"/>
  <c r="AF9" i="43"/>
  <c r="AG5" i="43" s="1"/>
  <c r="AE9" i="43"/>
  <c r="Q21" i="43"/>
  <c r="P21" i="43"/>
  <c r="Q11" i="43"/>
  <c r="P11" i="43"/>
  <c r="Q53" i="43"/>
  <c r="P53" i="43"/>
  <c r="Q30" i="43"/>
  <c r="P30" i="43"/>
  <c r="Q23" i="43"/>
  <c r="P23" i="43"/>
  <c r="P37" i="43"/>
  <c r="Q37" i="43"/>
  <c r="Q70" i="43"/>
  <c r="P70" i="43"/>
  <c r="P72" i="43"/>
  <c r="Q72" i="43"/>
  <c r="Q12" i="43"/>
  <c r="R10" i="43" s="1"/>
  <c r="P12" i="43"/>
  <c r="E14" i="42"/>
  <c r="E15" i="42" s="1"/>
  <c r="P16" i="43"/>
  <c r="Q16" i="43"/>
  <c r="P65" i="43"/>
  <c r="Q65" i="43"/>
  <c r="Q54" i="43"/>
  <c r="P54" i="43"/>
  <c r="Q61" i="43"/>
  <c r="P61" i="43"/>
  <c r="Q27" i="43"/>
  <c r="P27" i="43"/>
  <c r="Q34" i="43"/>
  <c r="P34" i="43"/>
  <c r="AF73" i="43"/>
  <c r="AG68" i="43" s="1"/>
  <c r="AE73" i="43"/>
  <c r="N73" i="43"/>
  <c r="Q74" i="43"/>
  <c r="P74" i="43"/>
  <c r="N18" i="43"/>
  <c r="N25" i="43"/>
  <c r="N58" i="43"/>
  <c r="P32" i="43"/>
  <c r="N39" i="43"/>
  <c r="P44" i="43"/>
  <c r="N46" i="43"/>
  <c r="N60" i="43"/>
  <c r="I3" i="42"/>
  <c r="AE23" i="43"/>
  <c r="AE37" i="43"/>
  <c r="N41" i="43"/>
  <c r="AE42" i="43"/>
  <c r="N69" i="43"/>
  <c r="E6" i="42"/>
  <c r="AE16" i="43"/>
  <c r="M22" i="43"/>
  <c r="AF23" i="43"/>
  <c r="AF37" i="43"/>
  <c r="AF42" i="43"/>
  <c r="AE65" i="43"/>
  <c r="AE72" i="43"/>
  <c r="AE18" i="43"/>
  <c r="N79" i="43"/>
  <c r="M50" i="43"/>
  <c r="AE25" i="43"/>
  <c r="AE58" i="43"/>
  <c r="AE79" i="43"/>
  <c r="AF51" i="43"/>
  <c r="P38" i="43"/>
  <c r="P24" i="43"/>
  <c r="P66" i="43"/>
  <c r="Q19" i="43"/>
  <c r="Q26" i="43"/>
  <c r="Q68" i="43"/>
  <c r="N33" i="43"/>
  <c r="P10" i="43"/>
  <c r="P31" i="43"/>
  <c r="P43" i="43"/>
  <c r="N59" i="43"/>
  <c r="N80" i="43"/>
  <c r="P17" i="43"/>
  <c r="N40" i="43"/>
  <c r="P45" i="43"/>
  <c r="N7" i="43"/>
  <c r="AE33" i="43"/>
  <c r="AE59" i="43"/>
  <c r="AD79" i="41"/>
  <c r="Z79" i="41"/>
  <c r="Y79" i="41"/>
  <c r="O79" i="41"/>
  <c r="K79" i="41"/>
  <c r="V78" i="41"/>
  <c r="U78" i="41"/>
  <c r="O78" i="41"/>
  <c r="M78" i="41"/>
  <c r="AF78" i="41" s="1"/>
  <c r="K78" i="41"/>
  <c r="G78" i="41"/>
  <c r="X77" i="41"/>
  <c r="W77" i="41"/>
  <c r="V77" i="41"/>
  <c r="U77" i="41"/>
  <c r="O77" i="41"/>
  <c r="M77" i="41"/>
  <c r="N77" i="41" s="1"/>
  <c r="K77" i="41"/>
  <c r="G77" i="41"/>
  <c r="AF76" i="41"/>
  <c r="AE76" i="41"/>
  <c r="V76" i="41"/>
  <c r="U76" i="41"/>
  <c r="Q76" i="41"/>
  <c r="O76" i="41"/>
  <c r="N76" i="41"/>
  <c r="P76" i="41" s="1"/>
  <c r="M76" i="41"/>
  <c r="K76" i="41"/>
  <c r="G76" i="41"/>
  <c r="V75" i="41"/>
  <c r="U75" i="41"/>
  <c r="O75" i="41"/>
  <c r="M75" i="41"/>
  <c r="AE75" i="41" s="1"/>
  <c r="K75" i="41"/>
  <c r="G75" i="41"/>
  <c r="V74" i="41"/>
  <c r="M74" i="41" s="1"/>
  <c r="U74" i="41"/>
  <c r="O74" i="41"/>
  <c r="K74" i="41"/>
  <c r="G74" i="41"/>
  <c r="X73" i="41"/>
  <c r="W73" i="41"/>
  <c r="V73" i="41"/>
  <c r="O73" i="41"/>
  <c r="M73" i="41"/>
  <c r="AF73" i="41" s="1"/>
  <c r="K73" i="41"/>
  <c r="G73" i="41"/>
  <c r="AD72" i="41"/>
  <c r="Z72" i="41"/>
  <c r="Y72" i="41"/>
  <c r="O72" i="41"/>
  <c r="K72" i="41"/>
  <c r="V71" i="41"/>
  <c r="M71" i="41" s="1"/>
  <c r="U71" i="41"/>
  <c r="O71" i="41"/>
  <c r="K71" i="41"/>
  <c r="G71" i="41"/>
  <c r="V70" i="41"/>
  <c r="U70" i="41"/>
  <c r="O70" i="41"/>
  <c r="M70" i="41"/>
  <c r="N70" i="41" s="1"/>
  <c r="K70" i="41"/>
  <c r="G70" i="41"/>
  <c r="AF69" i="41"/>
  <c r="AE69" i="41"/>
  <c r="V69" i="41"/>
  <c r="U69" i="41"/>
  <c r="Q69" i="41"/>
  <c r="O69" i="41"/>
  <c r="N69" i="41"/>
  <c r="P69" i="41" s="1"/>
  <c r="M69" i="41"/>
  <c r="K69" i="41"/>
  <c r="G69" i="41"/>
  <c r="V68" i="41"/>
  <c r="O68" i="41"/>
  <c r="M68" i="41"/>
  <c r="AF68" i="41" s="1"/>
  <c r="K68" i="41"/>
  <c r="G68" i="41"/>
  <c r="AD67" i="41"/>
  <c r="Z67" i="41"/>
  <c r="Y67" i="41"/>
  <c r="O67" i="41"/>
  <c r="K67" i="41"/>
  <c r="V66" i="41"/>
  <c r="M66" i="41" s="1"/>
  <c r="U66" i="41"/>
  <c r="O66" i="41"/>
  <c r="K66" i="41"/>
  <c r="G66" i="41"/>
  <c r="AF65" i="41"/>
  <c r="AE65" i="41"/>
  <c r="V65" i="41"/>
  <c r="U65" i="41"/>
  <c r="O65" i="41"/>
  <c r="N65" i="41"/>
  <c r="Q65" i="41" s="1"/>
  <c r="M65" i="41"/>
  <c r="K65" i="41"/>
  <c r="G65" i="41"/>
  <c r="V64" i="41"/>
  <c r="U64" i="41"/>
  <c r="O64" i="41"/>
  <c r="M64" i="41"/>
  <c r="AF64" i="41" s="1"/>
  <c r="K64" i="41"/>
  <c r="G64" i="41"/>
  <c r="AF63" i="41"/>
  <c r="AE63" i="41"/>
  <c r="V63" i="41"/>
  <c r="U63" i="41"/>
  <c r="O63" i="41"/>
  <c r="N63" i="41"/>
  <c r="M63" i="41"/>
  <c r="K63" i="41"/>
  <c r="P63" i="41" s="1"/>
  <c r="G63" i="41"/>
  <c r="V62" i="41"/>
  <c r="M62" i="41" s="1"/>
  <c r="U62" i="41"/>
  <c r="O62" i="41"/>
  <c r="K62" i="41"/>
  <c r="G62" i="41"/>
  <c r="V61" i="41"/>
  <c r="U61" i="41"/>
  <c r="O61" i="41"/>
  <c r="M61" i="41"/>
  <c r="K61" i="41"/>
  <c r="G61" i="41"/>
  <c r="AF60" i="41"/>
  <c r="AE60" i="41"/>
  <c r="V60" i="41"/>
  <c r="O60" i="41"/>
  <c r="M60" i="41"/>
  <c r="N60" i="41" s="1"/>
  <c r="K60" i="41"/>
  <c r="G60" i="41"/>
  <c r="AD59" i="41"/>
  <c r="Z59" i="41"/>
  <c r="Y59" i="41"/>
  <c r="H18" i="40" s="1"/>
  <c r="O59" i="41"/>
  <c r="K59" i="41"/>
  <c r="AF58" i="41"/>
  <c r="AE58" i="41"/>
  <c r="V58" i="41"/>
  <c r="U58" i="41"/>
  <c r="O58" i="41"/>
  <c r="N58" i="41"/>
  <c r="Q58" i="41" s="1"/>
  <c r="M58" i="41"/>
  <c r="K58" i="41"/>
  <c r="G58" i="41"/>
  <c r="V57" i="41"/>
  <c r="M57" i="41" s="1"/>
  <c r="U57" i="41"/>
  <c r="O57" i="41"/>
  <c r="K57" i="41"/>
  <c r="G57" i="41"/>
  <c r="AF56" i="41"/>
  <c r="AE56" i="41"/>
  <c r="X56" i="41"/>
  <c r="W56" i="41"/>
  <c r="V56" i="41"/>
  <c r="U56" i="41"/>
  <c r="O56" i="41"/>
  <c r="N56" i="41"/>
  <c r="M56" i="41"/>
  <c r="K56" i="41"/>
  <c r="P56" i="41" s="1"/>
  <c r="G56" i="41"/>
  <c r="V55" i="41"/>
  <c r="M55" i="41" s="1"/>
  <c r="U55" i="41"/>
  <c r="O55" i="41"/>
  <c r="K55" i="41"/>
  <c r="G55" i="41"/>
  <c r="V54" i="41"/>
  <c r="U54" i="41"/>
  <c r="O54" i="41"/>
  <c r="M54" i="41"/>
  <c r="AE54" i="41" s="1"/>
  <c r="K54" i="41"/>
  <c r="G54" i="41"/>
  <c r="AF53" i="41"/>
  <c r="AE53" i="41"/>
  <c r="V53" i="41"/>
  <c r="U53" i="41"/>
  <c r="Q53" i="41"/>
  <c r="O53" i="41"/>
  <c r="N53" i="41"/>
  <c r="P53" i="41" s="1"/>
  <c r="M53" i="41"/>
  <c r="K53" i="41"/>
  <c r="G53" i="41"/>
  <c r="V52" i="41"/>
  <c r="U52" i="41"/>
  <c r="O52" i="41"/>
  <c r="M52" i="41"/>
  <c r="AE52" i="41" s="1"/>
  <c r="K52" i="41"/>
  <c r="G52" i="41"/>
  <c r="V51" i="41"/>
  <c r="M51" i="41" s="1"/>
  <c r="U51" i="41"/>
  <c r="O51" i="41"/>
  <c r="K51" i="41"/>
  <c r="G51" i="41"/>
  <c r="V50" i="41"/>
  <c r="U50" i="41"/>
  <c r="O50" i="41"/>
  <c r="M50" i="41"/>
  <c r="AE50" i="41" s="1"/>
  <c r="K50" i="41"/>
  <c r="G50" i="41"/>
  <c r="AF49" i="41"/>
  <c r="AE49" i="41"/>
  <c r="X49" i="41"/>
  <c r="W49" i="41"/>
  <c r="V49" i="41"/>
  <c r="O49" i="41"/>
  <c r="N49" i="41"/>
  <c r="M49" i="41"/>
  <c r="K49" i="41"/>
  <c r="P49" i="41" s="1"/>
  <c r="G49" i="41"/>
  <c r="AD48" i="41"/>
  <c r="Z48" i="41"/>
  <c r="Y48" i="41"/>
  <c r="O48" i="41"/>
  <c r="K48" i="41"/>
  <c r="V47" i="41"/>
  <c r="U47" i="41"/>
  <c r="O47" i="41"/>
  <c r="M47" i="41"/>
  <c r="N47" i="41" s="1"/>
  <c r="K47" i="41"/>
  <c r="G47" i="41"/>
  <c r="AF46" i="41"/>
  <c r="AE46" i="41"/>
  <c r="V46" i="41"/>
  <c r="U46" i="41"/>
  <c r="Q46" i="41"/>
  <c r="O46" i="41"/>
  <c r="N46" i="41"/>
  <c r="P46" i="41" s="1"/>
  <c r="M46" i="41"/>
  <c r="K46" i="41"/>
  <c r="G46" i="41"/>
  <c r="V45" i="41"/>
  <c r="U45" i="41"/>
  <c r="O45" i="41"/>
  <c r="M45" i="41"/>
  <c r="AE45" i="41" s="1"/>
  <c r="K45" i="41"/>
  <c r="G45" i="41"/>
  <c r="V44" i="41"/>
  <c r="M44" i="41" s="1"/>
  <c r="U44" i="41"/>
  <c r="O44" i="41"/>
  <c r="K44" i="41"/>
  <c r="G44" i="41"/>
  <c r="V43" i="41"/>
  <c r="U43" i="41"/>
  <c r="O43" i="41"/>
  <c r="M43" i="41"/>
  <c r="AF43" i="41" s="1"/>
  <c r="K43" i="41"/>
  <c r="G43" i="41"/>
  <c r="AF42" i="41"/>
  <c r="AE42" i="41"/>
  <c r="X42" i="41"/>
  <c r="W42" i="41"/>
  <c r="V42" i="41"/>
  <c r="O42" i="41"/>
  <c r="N42" i="41"/>
  <c r="M42" i="41"/>
  <c r="K42" i="41"/>
  <c r="P42" i="41" s="1"/>
  <c r="G42" i="41"/>
  <c r="AD41" i="41"/>
  <c r="Z41" i="41"/>
  <c r="Y41" i="41"/>
  <c r="O41" i="41"/>
  <c r="K41" i="41"/>
  <c r="V40" i="41"/>
  <c r="U40" i="41"/>
  <c r="O40" i="41"/>
  <c r="M40" i="41"/>
  <c r="AF40" i="41" s="1"/>
  <c r="K40" i="41"/>
  <c r="G40" i="41"/>
  <c r="X39" i="41"/>
  <c r="W39" i="41"/>
  <c r="V39" i="41"/>
  <c r="M39" i="41" s="1"/>
  <c r="U39" i="41"/>
  <c r="O39" i="41"/>
  <c r="K39" i="41"/>
  <c r="G39" i="41"/>
  <c r="V38" i="41"/>
  <c r="U38" i="41"/>
  <c r="O38" i="41"/>
  <c r="M38" i="41"/>
  <c r="AE38" i="41" s="1"/>
  <c r="K38" i="41"/>
  <c r="G38" i="41"/>
  <c r="AF37" i="41"/>
  <c r="AE37" i="41"/>
  <c r="V37" i="41"/>
  <c r="U37" i="41"/>
  <c r="O37" i="41"/>
  <c r="N37" i="41"/>
  <c r="Q37" i="41" s="1"/>
  <c r="M37" i="41"/>
  <c r="K37" i="41"/>
  <c r="G37" i="41"/>
  <c r="V36" i="41"/>
  <c r="M36" i="41" s="1"/>
  <c r="U36" i="41"/>
  <c r="O36" i="41"/>
  <c r="K36" i="41"/>
  <c r="G36" i="41"/>
  <c r="X35" i="41"/>
  <c r="W35" i="41"/>
  <c r="V35" i="41"/>
  <c r="O35" i="41"/>
  <c r="M35" i="41"/>
  <c r="N35" i="41" s="1"/>
  <c r="K35" i="41"/>
  <c r="G35" i="41"/>
  <c r="AD34" i="41"/>
  <c r="Z34" i="41"/>
  <c r="Y34" i="41"/>
  <c r="G18" i="40" s="1"/>
  <c r="O34" i="41"/>
  <c r="K34" i="41"/>
  <c r="V33" i="41"/>
  <c r="U33" i="41"/>
  <c r="O33" i="41"/>
  <c r="M33" i="41"/>
  <c r="AE33" i="41" s="1"/>
  <c r="K33" i="41"/>
  <c r="G33" i="41"/>
  <c r="V32" i="41"/>
  <c r="M32" i="41" s="1"/>
  <c r="U32" i="41"/>
  <c r="O32" i="41"/>
  <c r="K32" i="41"/>
  <c r="G32" i="41"/>
  <c r="X31" i="41"/>
  <c r="W31" i="41"/>
  <c r="V31" i="41"/>
  <c r="M31" i="41" s="1"/>
  <c r="U31" i="41"/>
  <c r="O31" i="41"/>
  <c r="K31" i="41"/>
  <c r="G31" i="41"/>
  <c r="AF30" i="41"/>
  <c r="AE30" i="41"/>
  <c r="V30" i="41"/>
  <c r="U30" i="41"/>
  <c r="O30" i="41"/>
  <c r="N30" i="41"/>
  <c r="Q30" i="41" s="1"/>
  <c r="M30" i="41"/>
  <c r="K30" i="41"/>
  <c r="G30" i="41"/>
  <c r="V29" i="41"/>
  <c r="M29" i="41" s="1"/>
  <c r="U29" i="41"/>
  <c r="O29" i="41"/>
  <c r="K29" i="41"/>
  <c r="G29" i="41"/>
  <c r="V28" i="41"/>
  <c r="U28" i="41"/>
  <c r="O28" i="41"/>
  <c r="M28" i="41"/>
  <c r="AF28" i="41" s="1"/>
  <c r="K28" i="41"/>
  <c r="G28" i="41"/>
  <c r="V27" i="41"/>
  <c r="M27" i="41" s="1"/>
  <c r="U27" i="41"/>
  <c r="O27" i="41"/>
  <c r="K27" i="41"/>
  <c r="G27" i="41"/>
  <c r="V26" i="41"/>
  <c r="U26" i="41"/>
  <c r="O26" i="41"/>
  <c r="M26" i="41"/>
  <c r="N26" i="41" s="1"/>
  <c r="K26" i="41"/>
  <c r="G26" i="41"/>
  <c r="AF25" i="41"/>
  <c r="AE25" i="41"/>
  <c r="V25" i="41"/>
  <c r="U25" i="41"/>
  <c r="O25" i="41"/>
  <c r="M25" i="41"/>
  <c r="N25" i="41" s="1"/>
  <c r="K25" i="41"/>
  <c r="G25" i="41"/>
  <c r="V24" i="41"/>
  <c r="U24" i="41"/>
  <c r="O24" i="41"/>
  <c r="M24" i="41"/>
  <c r="AE24" i="41" s="1"/>
  <c r="K24" i="41"/>
  <c r="G24" i="41"/>
  <c r="AF23" i="41"/>
  <c r="AE23" i="41"/>
  <c r="V23" i="41"/>
  <c r="O23" i="41"/>
  <c r="N23" i="41"/>
  <c r="Q23" i="41" s="1"/>
  <c r="M23" i="41"/>
  <c r="K23" i="41"/>
  <c r="G23" i="41"/>
  <c r="AD22" i="41"/>
  <c r="F21" i="40" s="1"/>
  <c r="Z22" i="41"/>
  <c r="F19" i="40" s="1"/>
  <c r="Y22" i="41"/>
  <c r="F18" i="40" s="1"/>
  <c r="O22" i="41"/>
  <c r="K22" i="41"/>
  <c r="AF21" i="41"/>
  <c r="AE21" i="41"/>
  <c r="V21" i="41"/>
  <c r="U21" i="41"/>
  <c r="O21" i="41"/>
  <c r="N21" i="41"/>
  <c r="Q21" i="41" s="1"/>
  <c r="M21" i="41"/>
  <c r="K21" i="41"/>
  <c r="G21" i="41"/>
  <c r="V20" i="41"/>
  <c r="M20" i="41" s="1"/>
  <c r="U20" i="41"/>
  <c r="O20" i="41"/>
  <c r="K20" i="41"/>
  <c r="G20" i="41"/>
  <c r="X19" i="41"/>
  <c r="W19" i="41"/>
  <c r="V19" i="41"/>
  <c r="U19" i="41"/>
  <c r="O19" i="41"/>
  <c r="M19" i="41"/>
  <c r="AF19" i="41" s="1"/>
  <c r="K19" i="41"/>
  <c r="G19" i="41"/>
  <c r="AF18" i="41"/>
  <c r="AE18" i="41"/>
  <c r="V18" i="41"/>
  <c r="U18" i="41"/>
  <c r="O18" i="41"/>
  <c r="M18" i="41"/>
  <c r="N18" i="41" s="1"/>
  <c r="K18" i="41"/>
  <c r="G18" i="41"/>
  <c r="V17" i="41"/>
  <c r="U17" i="41"/>
  <c r="O17" i="41"/>
  <c r="M17" i="41"/>
  <c r="AF17" i="41" s="1"/>
  <c r="K17" i="41"/>
  <c r="G17" i="41"/>
  <c r="AF16" i="41"/>
  <c r="AE16" i="41"/>
  <c r="V16" i="41"/>
  <c r="U16" i="41"/>
  <c r="O16" i="41"/>
  <c r="N16" i="41"/>
  <c r="Q16" i="41" s="1"/>
  <c r="M16" i="41"/>
  <c r="K16" i="41"/>
  <c r="G16" i="41"/>
  <c r="V15" i="41"/>
  <c r="M15" i="41" s="1"/>
  <c r="U15" i="41"/>
  <c r="O15" i="41"/>
  <c r="K15" i="41"/>
  <c r="G15" i="41"/>
  <c r="AF14" i="41"/>
  <c r="AE14" i="41"/>
  <c r="V14" i="41"/>
  <c r="U14" i="41"/>
  <c r="O14" i="41"/>
  <c r="N14" i="41"/>
  <c r="P14" i="41" s="1"/>
  <c r="M14" i="41"/>
  <c r="K14" i="41"/>
  <c r="G14" i="41"/>
  <c r="V13" i="41"/>
  <c r="M13" i="41" s="1"/>
  <c r="O13" i="41"/>
  <c r="K13" i="41"/>
  <c r="G13" i="41"/>
  <c r="AD12" i="41"/>
  <c r="Z12" i="41"/>
  <c r="Y12" i="41"/>
  <c r="O12" i="41"/>
  <c r="K12" i="41"/>
  <c r="E13" i="40" s="1"/>
  <c r="V11" i="41"/>
  <c r="M11" i="41" s="1"/>
  <c r="U11" i="41"/>
  <c r="O11" i="41"/>
  <c r="K11" i="41"/>
  <c r="G11" i="41"/>
  <c r="X10" i="41"/>
  <c r="W10" i="41"/>
  <c r="V10" i="41"/>
  <c r="O10" i="41"/>
  <c r="M10" i="41"/>
  <c r="AF10" i="41" s="1"/>
  <c r="K10" i="41"/>
  <c r="G10" i="41"/>
  <c r="AD9" i="41"/>
  <c r="Z9" i="41"/>
  <c r="Y9" i="41"/>
  <c r="O9" i="41"/>
  <c r="K9" i="41"/>
  <c r="V8" i="41"/>
  <c r="M8" i="41" s="1"/>
  <c r="U8" i="41"/>
  <c r="O8" i="41"/>
  <c r="K8" i="41"/>
  <c r="G8" i="41"/>
  <c r="AF7" i="41"/>
  <c r="AE7" i="41"/>
  <c r="V7" i="41"/>
  <c r="U7" i="41"/>
  <c r="O7" i="41"/>
  <c r="N7" i="41"/>
  <c r="Q7" i="41" s="1"/>
  <c r="M7" i="41"/>
  <c r="K7" i="41"/>
  <c r="G7" i="41"/>
  <c r="V6" i="41"/>
  <c r="M6" i="41" s="1"/>
  <c r="U6" i="41"/>
  <c r="O6" i="41"/>
  <c r="K6" i="41"/>
  <c r="G6" i="41"/>
  <c r="V5" i="41"/>
  <c r="O5" i="41"/>
  <c r="M5" i="41"/>
  <c r="M9" i="41" s="1"/>
  <c r="K5" i="41"/>
  <c r="G5" i="41"/>
  <c r="F1" i="41" s="1"/>
  <c r="AD2" i="41"/>
  <c r="N6" i="40" s="1"/>
  <c r="Z2" i="41"/>
  <c r="L6" i="40" s="1"/>
  <c r="H2" i="41"/>
  <c r="H1" i="41"/>
  <c r="D1" i="41"/>
  <c r="M22" i="40"/>
  <c r="L22" i="40"/>
  <c r="K22" i="40"/>
  <c r="J22" i="40"/>
  <c r="I22" i="40"/>
  <c r="H22" i="40"/>
  <c r="G22" i="40"/>
  <c r="F22" i="40"/>
  <c r="E22" i="40"/>
  <c r="D22" i="40"/>
  <c r="M21" i="40"/>
  <c r="L21" i="40"/>
  <c r="K21" i="40"/>
  <c r="J21" i="40"/>
  <c r="I21" i="40"/>
  <c r="H21" i="40"/>
  <c r="G21" i="40"/>
  <c r="E21" i="40"/>
  <c r="D21" i="40"/>
  <c r="M20" i="40"/>
  <c r="L20" i="40"/>
  <c r="K20" i="40"/>
  <c r="J20" i="40"/>
  <c r="I20" i="40"/>
  <c r="H20" i="40"/>
  <c r="G20" i="40"/>
  <c r="F20" i="40"/>
  <c r="E20" i="40"/>
  <c r="D20" i="40"/>
  <c r="M19" i="40"/>
  <c r="L19" i="40"/>
  <c r="K19" i="40"/>
  <c r="J19" i="40"/>
  <c r="I19" i="40"/>
  <c r="H19" i="40"/>
  <c r="G19" i="40"/>
  <c r="E19" i="40"/>
  <c r="D19" i="40"/>
  <c r="M18" i="40"/>
  <c r="L18" i="40"/>
  <c r="K18" i="40"/>
  <c r="J18" i="40"/>
  <c r="I18" i="40"/>
  <c r="E18" i="40"/>
  <c r="D18" i="40"/>
  <c r="M17" i="40"/>
  <c r="L17" i="40"/>
  <c r="K17" i="40"/>
  <c r="J17" i="40"/>
  <c r="I17" i="40"/>
  <c r="H17" i="40"/>
  <c r="G17" i="40"/>
  <c r="F17" i="40"/>
  <c r="E17" i="40"/>
  <c r="D17" i="40"/>
  <c r="M16" i="40"/>
  <c r="L16" i="40"/>
  <c r="K16" i="40"/>
  <c r="J16" i="40"/>
  <c r="I16" i="40"/>
  <c r="H16" i="40"/>
  <c r="G16" i="40"/>
  <c r="F16" i="40"/>
  <c r="E16" i="40"/>
  <c r="D16" i="40"/>
  <c r="M13" i="40"/>
  <c r="L13" i="40"/>
  <c r="K13" i="40"/>
  <c r="I6" i="40" s="1"/>
  <c r="J13" i="40"/>
  <c r="I13" i="40"/>
  <c r="H13" i="40"/>
  <c r="G13" i="40"/>
  <c r="F13" i="40"/>
  <c r="D13" i="40"/>
  <c r="M6" i="40"/>
  <c r="F3" i="40"/>
  <c r="C3" i="40"/>
  <c r="D15" i="46" l="1"/>
  <c r="E7" i="46"/>
  <c r="G7" i="46"/>
  <c r="F7" i="46"/>
  <c r="I7" i="46"/>
  <c r="I8" i="46"/>
  <c r="Q12" i="45"/>
  <c r="R10" i="45" s="1"/>
  <c r="P12" i="45"/>
  <c r="E14" i="44"/>
  <c r="E15" i="44" s="1"/>
  <c r="Q69" i="45"/>
  <c r="R64" i="45" s="1"/>
  <c r="J14" i="44"/>
  <c r="J15" i="44" s="1"/>
  <c r="P69" i="45"/>
  <c r="H14" i="44"/>
  <c r="H15" i="44" s="1"/>
  <c r="Q55" i="45"/>
  <c r="R48" i="45" s="1"/>
  <c r="P55" i="45"/>
  <c r="P47" i="45"/>
  <c r="L14" i="44"/>
  <c r="L15" i="44" s="1"/>
  <c r="Q47" i="45"/>
  <c r="R40" i="45" s="1"/>
  <c r="M14" i="44"/>
  <c r="M15" i="44" s="1"/>
  <c r="Q75" i="45"/>
  <c r="R70" i="45" s="1"/>
  <c r="P75" i="45"/>
  <c r="G14" i="44"/>
  <c r="G15" i="44" s="1"/>
  <c r="Q33" i="45"/>
  <c r="R23" i="45" s="1"/>
  <c r="P33" i="45"/>
  <c r="K15" i="44"/>
  <c r="Q9" i="45"/>
  <c r="R5" i="45" s="1"/>
  <c r="P9" i="45"/>
  <c r="D14" i="44"/>
  <c r="D2" i="45"/>
  <c r="F14" i="44"/>
  <c r="F15" i="44" s="1"/>
  <c r="Q22" i="45"/>
  <c r="R13" i="45" s="1"/>
  <c r="P22" i="45"/>
  <c r="P63" i="45"/>
  <c r="I14" i="44"/>
  <c r="I15" i="44" s="1"/>
  <c r="Q63" i="45"/>
  <c r="R56" i="45" s="1"/>
  <c r="Q46" i="43"/>
  <c r="P46" i="43"/>
  <c r="AF50" i="43"/>
  <c r="AG41" i="43" s="1"/>
  <c r="AE50" i="43"/>
  <c r="N50" i="43"/>
  <c r="Q39" i="43"/>
  <c r="P39" i="43"/>
  <c r="Q79" i="43"/>
  <c r="P79" i="43"/>
  <c r="K14" i="42"/>
  <c r="Q40" i="43"/>
  <c r="R34" i="43" s="1"/>
  <c r="P40" i="43"/>
  <c r="Q58" i="43"/>
  <c r="P58" i="43"/>
  <c r="Q60" i="43"/>
  <c r="P60" i="43"/>
  <c r="Q25" i="43"/>
  <c r="P25" i="43"/>
  <c r="P9" i="43"/>
  <c r="D14" i="42"/>
  <c r="Q9" i="43"/>
  <c r="R5" i="43" s="1"/>
  <c r="Q80" i="43"/>
  <c r="R74" i="43" s="1"/>
  <c r="P80" i="43"/>
  <c r="M14" i="42"/>
  <c r="M15" i="42" s="1"/>
  <c r="Q18" i="43"/>
  <c r="P18" i="43"/>
  <c r="P59" i="43"/>
  <c r="H14" i="42"/>
  <c r="H15" i="42" s="1"/>
  <c r="Q59" i="43"/>
  <c r="R51" i="43" s="1"/>
  <c r="Q73" i="43"/>
  <c r="R68" i="43" s="1"/>
  <c r="P73" i="43"/>
  <c r="J14" i="42"/>
  <c r="J15" i="42" s="1"/>
  <c r="AF22" i="43"/>
  <c r="AG13" i="43" s="1"/>
  <c r="AE22" i="43"/>
  <c r="N22" i="43"/>
  <c r="Q33" i="43"/>
  <c r="R23" i="43" s="1"/>
  <c r="G14" i="42"/>
  <c r="G15" i="42" s="1"/>
  <c r="P33" i="43"/>
  <c r="I14" i="42"/>
  <c r="I15" i="42" s="1"/>
  <c r="Q67" i="43"/>
  <c r="R60" i="43" s="1"/>
  <c r="P67" i="43"/>
  <c r="Q69" i="43"/>
  <c r="P69" i="43"/>
  <c r="Q41" i="43"/>
  <c r="P41" i="43"/>
  <c r="Q7" i="43"/>
  <c r="P7" i="43"/>
  <c r="P35" i="41"/>
  <c r="Q35" i="41"/>
  <c r="P47" i="41"/>
  <c r="Q47" i="41"/>
  <c r="N62" i="41"/>
  <c r="AF62" i="41"/>
  <c r="AE62" i="41"/>
  <c r="N71" i="41"/>
  <c r="AF71" i="41"/>
  <c r="AE71" i="41"/>
  <c r="I3" i="40"/>
  <c r="F2" i="41"/>
  <c r="AE36" i="41"/>
  <c r="AF36" i="41"/>
  <c r="N36" i="41"/>
  <c r="N27" i="41"/>
  <c r="AF27" i="41"/>
  <c r="AE27" i="41"/>
  <c r="AF57" i="41"/>
  <c r="N57" i="41"/>
  <c r="AE57" i="41"/>
  <c r="AF66" i="41"/>
  <c r="N66" i="41"/>
  <c r="AE66" i="41"/>
  <c r="AE31" i="41"/>
  <c r="AF31" i="41"/>
  <c r="N31" i="41"/>
  <c r="P77" i="41"/>
  <c r="Q77" i="41"/>
  <c r="N44" i="41"/>
  <c r="AF44" i="41"/>
  <c r="AE44" i="41"/>
  <c r="N74" i="41"/>
  <c r="AF74" i="41"/>
  <c r="AE74" i="41"/>
  <c r="AE29" i="41"/>
  <c r="N29" i="41"/>
  <c r="AF29" i="41"/>
  <c r="Q26" i="41"/>
  <c r="P26" i="41"/>
  <c r="N32" i="41"/>
  <c r="AF32" i="41"/>
  <c r="AE32" i="41"/>
  <c r="AE20" i="41"/>
  <c r="AF20" i="41"/>
  <c r="N20" i="41"/>
  <c r="N11" i="41"/>
  <c r="AF11" i="41"/>
  <c r="AE11" i="41"/>
  <c r="Q18" i="41"/>
  <c r="P18" i="41"/>
  <c r="AE9" i="41"/>
  <c r="N9" i="41"/>
  <c r="AF9" i="41"/>
  <c r="AG5" i="41" s="1"/>
  <c r="AE8" i="41"/>
  <c r="AF8" i="41"/>
  <c r="N8" i="41"/>
  <c r="N51" i="41"/>
  <c r="AF51" i="41"/>
  <c r="AE51" i="41"/>
  <c r="AF6" i="41"/>
  <c r="AE6" i="41"/>
  <c r="N6" i="41"/>
  <c r="AF13" i="41"/>
  <c r="AE13" i="41"/>
  <c r="M22" i="41"/>
  <c r="N13" i="41"/>
  <c r="E6" i="40"/>
  <c r="G6" i="40"/>
  <c r="F6" i="40"/>
  <c r="AE39" i="41"/>
  <c r="N39" i="41"/>
  <c r="AF39" i="41"/>
  <c r="AF15" i="41"/>
  <c r="N15" i="41"/>
  <c r="AE15" i="41"/>
  <c r="Q60" i="41"/>
  <c r="P60" i="41"/>
  <c r="Q25" i="41"/>
  <c r="P25" i="41"/>
  <c r="N55" i="41"/>
  <c r="AF55" i="41"/>
  <c r="AE55" i="41"/>
  <c r="M67" i="41"/>
  <c r="P70" i="41"/>
  <c r="Q70" i="41"/>
  <c r="N64" i="41"/>
  <c r="N73" i="41"/>
  <c r="N78" i="41"/>
  <c r="Y2" i="41"/>
  <c r="K6" i="40" s="1"/>
  <c r="N10" i="41"/>
  <c r="N28" i="41"/>
  <c r="AE73" i="41"/>
  <c r="N38" i="41"/>
  <c r="N61" i="41"/>
  <c r="M79" i="41"/>
  <c r="N19" i="41"/>
  <c r="AE64" i="41"/>
  <c r="N54" i="41"/>
  <c r="AE17" i="41"/>
  <c r="AF24" i="41"/>
  <c r="AF75" i="41"/>
  <c r="M59" i="41"/>
  <c r="N17" i="41"/>
  <c r="N68" i="41"/>
  <c r="M12" i="41"/>
  <c r="N5" i="41"/>
  <c r="M72" i="41"/>
  <c r="P7" i="41"/>
  <c r="P21" i="41"/>
  <c r="AE26" i="41"/>
  <c r="P30" i="41"/>
  <c r="AF33" i="41"/>
  <c r="Q42" i="41"/>
  <c r="AF45" i="41"/>
  <c r="Q49" i="41"/>
  <c r="AF52" i="41"/>
  <c r="Q56" i="41"/>
  <c r="Q63" i="41"/>
  <c r="AE5" i="41"/>
  <c r="AF26" i="41"/>
  <c r="AE40" i="41"/>
  <c r="AE47" i="41"/>
  <c r="AE61" i="41"/>
  <c r="P65" i="41"/>
  <c r="AE70" i="41"/>
  <c r="N24" i="41"/>
  <c r="N40" i="41"/>
  <c r="AF5" i="41"/>
  <c r="Q14" i="41"/>
  <c r="AE19" i="41"/>
  <c r="P23" i="41"/>
  <c r="AE28" i="41"/>
  <c r="M34" i="41"/>
  <c r="P37" i="41"/>
  <c r="AF47" i="41"/>
  <c r="AF54" i="41"/>
  <c r="AF61" i="41"/>
  <c r="AF70" i="41"/>
  <c r="P16" i="41"/>
  <c r="AE35" i="41"/>
  <c r="P58" i="41"/>
  <c r="AE77" i="41"/>
  <c r="N43" i="41"/>
  <c r="N50" i="41"/>
  <c r="N33" i="41"/>
  <c r="N75" i="41"/>
  <c r="AF38" i="41"/>
  <c r="AF50" i="41"/>
  <c r="AF77" i="41"/>
  <c r="N52" i="41"/>
  <c r="AE43" i="41"/>
  <c r="AF35" i="41"/>
  <c r="M41" i="41"/>
  <c r="M48" i="41"/>
  <c r="N45" i="41"/>
  <c r="AE78" i="41"/>
  <c r="AE68" i="41"/>
  <c r="AE10" i="41"/>
  <c r="AD84" i="39"/>
  <c r="AC84" i="39"/>
  <c r="Z84" i="39"/>
  <c r="Y84" i="39"/>
  <c r="M18" i="38" s="1"/>
  <c r="O84" i="39"/>
  <c r="K84" i="39"/>
  <c r="M13" i="38" s="1"/>
  <c r="V83" i="39"/>
  <c r="M83" i="39" s="1"/>
  <c r="U83" i="39"/>
  <c r="O83" i="39"/>
  <c r="K83" i="39"/>
  <c r="G83" i="39"/>
  <c r="X82" i="39"/>
  <c r="W82" i="39"/>
  <c r="V82" i="39"/>
  <c r="U82" i="39"/>
  <c r="O82" i="39"/>
  <c r="M82" i="39"/>
  <c r="AF82" i="39" s="1"/>
  <c r="K82" i="39"/>
  <c r="G82" i="39"/>
  <c r="V81" i="39"/>
  <c r="M81" i="39" s="1"/>
  <c r="U81" i="39"/>
  <c r="O81" i="39"/>
  <c r="K81" i="39"/>
  <c r="G81" i="39"/>
  <c r="V80" i="39"/>
  <c r="U80" i="39"/>
  <c r="O80" i="39"/>
  <c r="M80" i="39"/>
  <c r="AF80" i="39" s="1"/>
  <c r="K80" i="39"/>
  <c r="G80" i="39"/>
  <c r="AF79" i="39"/>
  <c r="AE79" i="39"/>
  <c r="V79" i="39"/>
  <c r="U79" i="39"/>
  <c r="O79" i="39"/>
  <c r="M79" i="39"/>
  <c r="N79" i="39" s="1"/>
  <c r="K79" i="39"/>
  <c r="G79" i="39"/>
  <c r="X78" i="39"/>
  <c r="W78" i="39"/>
  <c r="V78" i="39"/>
  <c r="M78" i="39" s="1"/>
  <c r="O78" i="39"/>
  <c r="K78" i="39"/>
  <c r="G78" i="39"/>
  <c r="AD77" i="39"/>
  <c r="J21" i="38" s="1"/>
  <c r="AC77" i="39"/>
  <c r="Z77" i="39"/>
  <c r="Y77" i="39"/>
  <c r="O77" i="39"/>
  <c r="K77" i="39"/>
  <c r="V76" i="39"/>
  <c r="M76" i="39" s="1"/>
  <c r="U76" i="39"/>
  <c r="O76" i="39"/>
  <c r="K76" i="39"/>
  <c r="G76" i="39"/>
  <c r="X75" i="39"/>
  <c r="W75" i="39"/>
  <c r="V75" i="39"/>
  <c r="M75" i="39" s="1"/>
  <c r="U75" i="39"/>
  <c r="O75" i="39"/>
  <c r="K75" i="39"/>
  <c r="G75" i="39"/>
  <c r="AF74" i="39"/>
  <c r="AE74" i="39"/>
  <c r="V74" i="39"/>
  <c r="U74" i="39"/>
  <c r="O74" i="39"/>
  <c r="N74" i="39"/>
  <c r="Q74" i="39" s="1"/>
  <c r="M74" i="39"/>
  <c r="K74" i="39"/>
  <c r="G74" i="39"/>
  <c r="V73" i="39"/>
  <c r="U73" i="39"/>
  <c r="O73" i="39"/>
  <c r="M73" i="39"/>
  <c r="AF73" i="39" s="1"/>
  <c r="K73" i="39"/>
  <c r="G73" i="39"/>
  <c r="V72" i="39"/>
  <c r="O72" i="39"/>
  <c r="M72" i="39"/>
  <c r="AF72" i="39" s="1"/>
  <c r="K72" i="39"/>
  <c r="G72" i="39"/>
  <c r="AD71" i="39"/>
  <c r="AC71" i="39"/>
  <c r="Z71" i="39"/>
  <c r="I19" i="38" s="1"/>
  <c r="Y71" i="39"/>
  <c r="O71" i="39"/>
  <c r="K71" i="39"/>
  <c r="I13" i="38" s="1"/>
  <c r="V70" i="39"/>
  <c r="U70" i="39"/>
  <c r="O70" i="39"/>
  <c r="M70" i="39"/>
  <c r="AF70" i="39" s="1"/>
  <c r="K70" i="39"/>
  <c r="G70" i="39"/>
  <c r="V69" i="39"/>
  <c r="M69" i="39" s="1"/>
  <c r="U69" i="39"/>
  <c r="O69" i="39"/>
  <c r="K69" i="39"/>
  <c r="G69" i="39"/>
  <c r="V68" i="39"/>
  <c r="U68" i="39"/>
  <c r="O68" i="39"/>
  <c r="M68" i="39"/>
  <c r="AF68" i="39" s="1"/>
  <c r="K68" i="39"/>
  <c r="G68" i="39"/>
  <c r="AF67" i="39"/>
  <c r="AE67" i="39"/>
  <c r="V67" i="39"/>
  <c r="U67" i="39"/>
  <c r="O67" i="39"/>
  <c r="M67" i="39"/>
  <c r="N67" i="39" s="1"/>
  <c r="K67" i="39"/>
  <c r="G67" i="39"/>
  <c r="V66" i="39"/>
  <c r="U66" i="39"/>
  <c r="O66" i="39"/>
  <c r="M66" i="39"/>
  <c r="AF66" i="39" s="1"/>
  <c r="K66" i="39"/>
  <c r="G66" i="39"/>
  <c r="AF65" i="39"/>
  <c r="AE65" i="39"/>
  <c r="V65" i="39"/>
  <c r="U65" i="39"/>
  <c r="P65" i="39"/>
  <c r="O65" i="39"/>
  <c r="N65" i="39"/>
  <c r="M65" i="39"/>
  <c r="K65" i="39"/>
  <c r="Q65" i="39" s="1"/>
  <c r="G65" i="39"/>
  <c r="V64" i="39"/>
  <c r="M64" i="39" s="1"/>
  <c r="O64" i="39"/>
  <c r="K64" i="39"/>
  <c r="G64" i="39"/>
  <c r="AD63" i="39"/>
  <c r="H21" i="38" s="1"/>
  <c r="AC63" i="39"/>
  <c r="Z63" i="39"/>
  <c r="Y63" i="39"/>
  <c r="O63" i="39"/>
  <c r="K63" i="39"/>
  <c r="V62" i="39"/>
  <c r="M62" i="39" s="1"/>
  <c r="U62" i="39"/>
  <c r="O62" i="39"/>
  <c r="K62" i="39"/>
  <c r="G62" i="39"/>
  <c r="AF61" i="39"/>
  <c r="V61" i="39"/>
  <c r="U61" i="39"/>
  <c r="O61" i="39"/>
  <c r="N61" i="39"/>
  <c r="Q61" i="39" s="1"/>
  <c r="M61" i="39"/>
  <c r="AE61" i="39" s="1"/>
  <c r="K61" i="39"/>
  <c r="G61" i="39"/>
  <c r="AF60" i="39"/>
  <c r="AE60" i="39"/>
  <c r="X60" i="39"/>
  <c r="W60" i="39"/>
  <c r="V60" i="39"/>
  <c r="U60" i="39"/>
  <c r="O60" i="39"/>
  <c r="N60" i="39"/>
  <c r="Q60" i="39" s="1"/>
  <c r="M60" i="39"/>
  <c r="K60" i="39"/>
  <c r="G60" i="39"/>
  <c r="V59" i="39"/>
  <c r="U59" i="39"/>
  <c r="O59" i="39"/>
  <c r="M59" i="39"/>
  <c r="AE59" i="39" s="1"/>
  <c r="K59" i="39"/>
  <c r="G59" i="39"/>
  <c r="AF58" i="39"/>
  <c r="V58" i="39"/>
  <c r="U58" i="39"/>
  <c r="O58" i="39"/>
  <c r="M58" i="39"/>
  <c r="AE58" i="39" s="1"/>
  <c r="K58" i="39"/>
  <c r="G58" i="39"/>
  <c r="V57" i="39"/>
  <c r="M57" i="39" s="1"/>
  <c r="U57" i="39"/>
  <c r="O57" i="39"/>
  <c r="K57" i="39"/>
  <c r="G57" i="39"/>
  <c r="V56" i="39"/>
  <c r="U56" i="39"/>
  <c r="O56" i="39"/>
  <c r="M56" i="39"/>
  <c r="AF56" i="39" s="1"/>
  <c r="K56" i="39"/>
  <c r="G56" i="39"/>
  <c r="V55" i="39"/>
  <c r="M55" i="39" s="1"/>
  <c r="U55" i="39"/>
  <c r="O55" i="39"/>
  <c r="K55" i="39"/>
  <c r="G55" i="39"/>
  <c r="V54" i="39"/>
  <c r="U54" i="39"/>
  <c r="O54" i="39"/>
  <c r="M54" i="39"/>
  <c r="AE54" i="39" s="1"/>
  <c r="K54" i="39"/>
  <c r="G54" i="39"/>
  <c r="V53" i="39"/>
  <c r="M53" i="39" s="1"/>
  <c r="U53" i="39"/>
  <c r="O53" i="39"/>
  <c r="K53" i="39"/>
  <c r="G53" i="39"/>
  <c r="X52" i="39"/>
  <c r="W52" i="39"/>
  <c r="V52" i="39"/>
  <c r="O52" i="39"/>
  <c r="M52" i="39"/>
  <c r="AF52" i="39" s="1"/>
  <c r="K52" i="39"/>
  <c r="G52" i="39"/>
  <c r="AD51" i="39"/>
  <c r="AC51" i="39"/>
  <c r="Z51" i="39"/>
  <c r="Y51" i="39"/>
  <c r="O51" i="39"/>
  <c r="K51" i="39"/>
  <c r="L13" i="38" s="1"/>
  <c r="AF50" i="39"/>
  <c r="AE50" i="39"/>
  <c r="V50" i="39"/>
  <c r="U50" i="39"/>
  <c r="Q50" i="39"/>
  <c r="P50" i="39"/>
  <c r="O50" i="39"/>
  <c r="N50" i="39"/>
  <c r="M50" i="39"/>
  <c r="K50" i="39"/>
  <c r="G50" i="39"/>
  <c r="AE49" i="39"/>
  <c r="X49" i="39"/>
  <c r="W49" i="39"/>
  <c r="V49" i="39"/>
  <c r="U49" i="39"/>
  <c r="O49" i="39"/>
  <c r="N49" i="39"/>
  <c r="Q49" i="39" s="1"/>
  <c r="M49" i="39"/>
  <c r="AF49" i="39" s="1"/>
  <c r="K49" i="39"/>
  <c r="G49" i="39"/>
  <c r="V48" i="39"/>
  <c r="M48" i="39" s="1"/>
  <c r="U48" i="39"/>
  <c r="O48" i="39"/>
  <c r="K48" i="39"/>
  <c r="G48" i="39"/>
  <c r="V47" i="39"/>
  <c r="M47" i="39" s="1"/>
  <c r="U47" i="39"/>
  <c r="O47" i="39"/>
  <c r="K47" i="39"/>
  <c r="G47" i="39"/>
  <c r="AF46" i="39"/>
  <c r="AE46" i="39"/>
  <c r="V46" i="39"/>
  <c r="U46" i="39"/>
  <c r="O46" i="39"/>
  <c r="N46" i="39"/>
  <c r="Q46" i="39" s="1"/>
  <c r="M46" i="39"/>
  <c r="K46" i="39"/>
  <c r="G46" i="39"/>
  <c r="V45" i="39"/>
  <c r="U45" i="39"/>
  <c r="O45" i="39"/>
  <c r="M45" i="39"/>
  <c r="AF45" i="39" s="1"/>
  <c r="K45" i="39"/>
  <c r="G45" i="39"/>
  <c r="AF44" i="39"/>
  <c r="V44" i="39"/>
  <c r="U44" i="39"/>
  <c r="O44" i="39"/>
  <c r="M44" i="39"/>
  <c r="AE44" i="39" s="1"/>
  <c r="K44" i="39"/>
  <c r="G44" i="39"/>
  <c r="X43" i="39"/>
  <c r="W43" i="39"/>
  <c r="V43" i="39"/>
  <c r="M43" i="39" s="1"/>
  <c r="O43" i="39"/>
  <c r="K43" i="39"/>
  <c r="G43" i="39"/>
  <c r="AD42" i="39"/>
  <c r="AC42" i="39"/>
  <c r="Z42" i="39"/>
  <c r="Y42" i="39"/>
  <c r="O42" i="39"/>
  <c r="K42" i="39"/>
  <c r="K13" i="38" s="1"/>
  <c r="AF41" i="39"/>
  <c r="AE41" i="39"/>
  <c r="V41" i="39"/>
  <c r="U41" i="39"/>
  <c r="O41" i="39"/>
  <c r="M41" i="39"/>
  <c r="N41" i="39" s="1"/>
  <c r="K41" i="39"/>
  <c r="G41" i="39"/>
  <c r="V40" i="39"/>
  <c r="U40" i="39"/>
  <c r="O40" i="39"/>
  <c r="M40" i="39"/>
  <c r="AF40" i="39" s="1"/>
  <c r="K40" i="39"/>
  <c r="G40" i="39"/>
  <c r="X39" i="39"/>
  <c r="W39" i="39"/>
  <c r="V39" i="39"/>
  <c r="U39" i="39"/>
  <c r="O39" i="39"/>
  <c r="M39" i="39"/>
  <c r="AF39" i="39" s="1"/>
  <c r="K39" i="39"/>
  <c r="G39" i="39"/>
  <c r="AF38" i="39"/>
  <c r="AE38" i="39"/>
  <c r="V38" i="39"/>
  <c r="U38" i="39"/>
  <c r="Q38" i="39"/>
  <c r="P38" i="39"/>
  <c r="O38" i="39"/>
  <c r="N38" i="39"/>
  <c r="M38" i="39"/>
  <c r="K38" i="39"/>
  <c r="G38" i="39"/>
  <c r="V37" i="39"/>
  <c r="U37" i="39"/>
  <c r="O37" i="39"/>
  <c r="M37" i="39"/>
  <c r="AE37" i="39" s="1"/>
  <c r="K37" i="39"/>
  <c r="G37" i="39"/>
  <c r="V36" i="39"/>
  <c r="M36" i="39" s="1"/>
  <c r="U36" i="39"/>
  <c r="O36" i="39"/>
  <c r="K36" i="39"/>
  <c r="G36" i="39"/>
  <c r="X35" i="39"/>
  <c r="W35" i="39"/>
  <c r="V35" i="39"/>
  <c r="O35" i="39"/>
  <c r="M35" i="39"/>
  <c r="AF35" i="39" s="1"/>
  <c r="K35" i="39"/>
  <c r="G35" i="39"/>
  <c r="AD34" i="39"/>
  <c r="AC34" i="39"/>
  <c r="Z34" i="39"/>
  <c r="Y34" i="39"/>
  <c r="O34" i="39"/>
  <c r="K34" i="39"/>
  <c r="G13" i="38" s="1"/>
  <c r="V33" i="39"/>
  <c r="M33" i="39" s="1"/>
  <c r="U33" i="39"/>
  <c r="O33" i="39"/>
  <c r="K33" i="39"/>
  <c r="G33" i="39"/>
  <c r="V32" i="39"/>
  <c r="U32" i="39"/>
  <c r="O32" i="39"/>
  <c r="M32" i="39"/>
  <c r="AF32" i="39" s="1"/>
  <c r="K32" i="39"/>
  <c r="G32" i="39"/>
  <c r="X31" i="39"/>
  <c r="W31" i="39"/>
  <c r="V31" i="39"/>
  <c r="M31" i="39" s="1"/>
  <c r="U31" i="39"/>
  <c r="O31" i="39"/>
  <c r="K31" i="39"/>
  <c r="G31" i="39"/>
  <c r="V30" i="39"/>
  <c r="U30" i="39"/>
  <c r="O30" i="39"/>
  <c r="M30" i="39"/>
  <c r="AF30" i="39" s="1"/>
  <c r="K30" i="39"/>
  <c r="G30" i="39"/>
  <c r="AF29" i="39"/>
  <c r="AE29" i="39"/>
  <c r="V29" i="39"/>
  <c r="U29" i="39"/>
  <c r="O29" i="39"/>
  <c r="M29" i="39"/>
  <c r="N29" i="39" s="1"/>
  <c r="K29" i="39"/>
  <c r="G29" i="39"/>
  <c r="V28" i="39"/>
  <c r="U28" i="39"/>
  <c r="O28" i="39"/>
  <c r="M28" i="39"/>
  <c r="AF28" i="39" s="1"/>
  <c r="K28" i="39"/>
  <c r="G28" i="39"/>
  <c r="AF27" i="39"/>
  <c r="AE27" i="39"/>
  <c r="V27" i="39"/>
  <c r="U27" i="39"/>
  <c r="P27" i="39"/>
  <c r="O27" i="39"/>
  <c r="N27" i="39"/>
  <c r="M27" i="39"/>
  <c r="K27" i="39"/>
  <c r="Q27" i="39" s="1"/>
  <c r="G27" i="39"/>
  <c r="V26" i="39"/>
  <c r="U26" i="39"/>
  <c r="O26" i="39"/>
  <c r="M26" i="39"/>
  <c r="AF26" i="39" s="1"/>
  <c r="K26" i="39"/>
  <c r="G26" i="39"/>
  <c r="V25" i="39"/>
  <c r="U25" i="39"/>
  <c r="O25" i="39"/>
  <c r="M25" i="39"/>
  <c r="AF25" i="39" s="1"/>
  <c r="K25" i="39"/>
  <c r="G25" i="39"/>
  <c r="AF24" i="39"/>
  <c r="AE24" i="39"/>
  <c r="V24" i="39"/>
  <c r="U24" i="39"/>
  <c r="Q24" i="39"/>
  <c r="P24" i="39"/>
  <c r="O24" i="39"/>
  <c r="N24" i="39"/>
  <c r="M24" i="39"/>
  <c r="K24" i="39"/>
  <c r="G24" i="39"/>
  <c r="V23" i="39"/>
  <c r="O23" i="39"/>
  <c r="M23" i="39"/>
  <c r="AE23" i="39" s="1"/>
  <c r="K23" i="39"/>
  <c r="G23" i="39"/>
  <c r="AD22" i="39"/>
  <c r="F21" i="38" s="1"/>
  <c r="AC22" i="39"/>
  <c r="F20" i="38" s="1"/>
  <c r="Z22" i="39"/>
  <c r="Y22" i="39"/>
  <c r="O22" i="39"/>
  <c r="K22" i="39"/>
  <c r="V21" i="39"/>
  <c r="M21" i="39" s="1"/>
  <c r="U21" i="39"/>
  <c r="O21" i="39"/>
  <c r="K21" i="39"/>
  <c r="G21" i="39"/>
  <c r="AF20" i="39"/>
  <c r="AE20" i="39"/>
  <c r="V20" i="39"/>
  <c r="U20" i="39"/>
  <c r="O20" i="39"/>
  <c r="N20" i="39"/>
  <c r="Q20" i="39" s="1"/>
  <c r="M20" i="39"/>
  <c r="K20" i="39"/>
  <c r="G20" i="39"/>
  <c r="X19" i="39"/>
  <c r="W19" i="39"/>
  <c r="V19" i="39"/>
  <c r="M19" i="39" s="1"/>
  <c r="U19" i="39"/>
  <c r="O19" i="39"/>
  <c r="K19" i="39"/>
  <c r="G19" i="39"/>
  <c r="V18" i="39"/>
  <c r="U18" i="39"/>
  <c r="O18" i="39"/>
  <c r="M18" i="39"/>
  <c r="AF18" i="39" s="1"/>
  <c r="K18" i="39"/>
  <c r="G18" i="39"/>
  <c r="V17" i="39"/>
  <c r="M17" i="39" s="1"/>
  <c r="U17" i="39"/>
  <c r="O17" i="39"/>
  <c r="K17" i="39"/>
  <c r="G17" i="39"/>
  <c r="V16" i="39"/>
  <c r="U16" i="39"/>
  <c r="O16" i="39"/>
  <c r="M16" i="39"/>
  <c r="AE16" i="39" s="1"/>
  <c r="K16" i="39"/>
  <c r="G16" i="39"/>
  <c r="V15" i="39"/>
  <c r="M15" i="39" s="1"/>
  <c r="U15" i="39"/>
  <c r="O15" i="39"/>
  <c r="K15" i="39"/>
  <c r="G15" i="39"/>
  <c r="V14" i="39"/>
  <c r="U14" i="39"/>
  <c r="O14" i="39"/>
  <c r="M14" i="39"/>
  <c r="K14" i="39"/>
  <c r="G14" i="39"/>
  <c r="F1" i="39" s="1"/>
  <c r="AF13" i="39"/>
  <c r="AE13" i="39"/>
  <c r="V13" i="39"/>
  <c r="O13" i="39"/>
  <c r="N13" i="39"/>
  <c r="Q13" i="39" s="1"/>
  <c r="M13" i="39"/>
  <c r="K13" i="39"/>
  <c r="G13" i="39"/>
  <c r="AD12" i="39"/>
  <c r="AC12" i="39"/>
  <c r="E20" i="38" s="1"/>
  <c r="Z12" i="39"/>
  <c r="Y12" i="39"/>
  <c r="O12" i="39"/>
  <c r="K12" i="39"/>
  <c r="V11" i="39"/>
  <c r="U11" i="39"/>
  <c r="O11" i="39"/>
  <c r="M11" i="39"/>
  <c r="AF11" i="39" s="1"/>
  <c r="K11" i="39"/>
  <c r="G11" i="39"/>
  <c r="X10" i="39"/>
  <c r="W10" i="39"/>
  <c r="V10" i="39"/>
  <c r="M10" i="39" s="1"/>
  <c r="O10" i="39"/>
  <c r="K10" i="39"/>
  <c r="G10" i="39"/>
  <c r="AD9" i="39"/>
  <c r="AD2" i="39" s="1"/>
  <c r="N6" i="38" s="1"/>
  <c r="AC9" i="39"/>
  <c r="AC2" i="39" s="1"/>
  <c r="M6" i="38" s="1"/>
  <c r="Z9" i="39"/>
  <c r="Z2" i="39" s="1"/>
  <c r="L6" i="38" s="1"/>
  <c r="Y9" i="39"/>
  <c r="D18" i="38" s="1"/>
  <c r="O9" i="39"/>
  <c r="K9" i="39"/>
  <c r="AF8" i="39"/>
  <c r="AE8" i="39"/>
  <c r="V8" i="39"/>
  <c r="U8" i="39"/>
  <c r="O8" i="39"/>
  <c r="N8" i="39"/>
  <c r="Q8" i="39" s="1"/>
  <c r="M8" i="39"/>
  <c r="K8" i="39"/>
  <c r="G8" i="39"/>
  <c r="V7" i="39"/>
  <c r="U7" i="39"/>
  <c r="O7" i="39"/>
  <c r="M7" i="39"/>
  <c r="AF7" i="39" s="1"/>
  <c r="K7" i="39"/>
  <c r="G7" i="39"/>
  <c r="AF6" i="39"/>
  <c r="V6" i="39"/>
  <c r="U6" i="39"/>
  <c r="O6" i="39"/>
  <c r="M6" i="39"/>
  <c r="AE6" i="39" s="1"/>
  <c r="K6" i="39"/>
  <c r="G6" i="39"/>
  <c r="V5" i="39"/>
  <c r="M5" i="39" s="1"/>
  <c r="O5" i="39"/>
  <c r="K5" i="39"/>
  <c r="G5" i="39"/>
  <c r="H2" i="39"/>
  <c r="H1" i="39"/>
  <c r="D1" i="39"/>
  <c r="F3" i="38" s="1"/>
  <c r="M22" i="38"/>
  <c r="L22" i="38"/>
  <c r="K22" i="38"/>
  <c r="J22" i="38"/>
  <c r="I22" i="38"/>
  <c r="H22" i="38"/>
  <c r="G22" i="38"/>
  <c r="F22" i="38"/>
  <c r="E22" i="38"/>
  <c r="D22" i="38"/>
  <c r="M21" i="38"/>
  <c r="L21" i="38"/>
  <c r="K21" i="38"/>
  <c r="I21" i="38"/>
  <c r="G21" i="38"/>
  <c r="E21" i="38"/>
  <c r="D21" i="38"/>
  <c r="M20" i="38"/>
  <c r="L20" i="38"/>
  <c r="K20" i="38"/>
  <c r="J20" i="38"/>
  <c r="I20" i="38"/>
  <c r="H20" i="38"/>
  <c r="G20" i="38"/>
  <c r="M19" i="38"/>
  <c r="L19" i="38"/>
  <c r="K19" i="38"/>
  <c r="J19" i="38"/>
  <c r="H19" i="38"/>
  <c r="G19" i="38"/>
  <c r="F19" i="38"/>
  <c r="E19" i="38"/>
  <c r="D19" i="38"/>
  <c r="L18" i="38"/>
  <c r="K18" i="38"/>
  <c r="J18" i="38"/>
  <c r="I18" i="38"/>
  <c r="H18" i="38"/>
  <c r="G18" i="38"/>
  <c r="F18" i="38"/>
  <c r="E18" i="38"/>
  <c r="M17" i="38"/>
  <c r="L17" i="38"/>
  <c r="K17" i="38"/>
  <c r="J17" i="38"/>
  <c r="I17" i="38"/>
  <c r="H17" i="38"/>
  <c r="G17" i="38"/>
  <c r="F17" i="38"/>
  <c r="E17" i="38"/>
  <c r="D17" i="38"/>
  <c r="M16" i="38"/>
  <c r="L16" i="38"/>
  <c r="K16" i="38"/>
  <c r="J16" i="38"/>
  <c r="I16" i="38"/>
  <c r="H16" i="38"/>
  <c r="G16" i="38"/>
  <c r="F16" i="38"/>
  <c r="E16" i="38"/>
  <c r="D16" i="38"/>
  <c r="J13" i="38"/>
  <c r="H13" i="38"/>
  <c r="F13" i="38"/>
  <c r="E13" i="38"/>
  <c r="D13" i="38"/>
  <c r="C3" i="38"/>
  <c r="F8" i="46" l="1"/>
  <c r="G8" i="46"/>
  <c r="E8" i="46"/>
  <c r="E7" i="44"/>
  <c r="D15" i="44"/>
  <c r="G7" i="44"/>
  <c r="F7" i="44"/>
  <c r="I7" i="44"/>
  <c r="I8" i="44"/>
  <c r="Q22" i="43"/>
  <c r="R13" i="43" s="1"/>
  <c r="F14" i="42"/>
  <c r="F15" i="42" s="1"/>
  <c r="P22" i="43"/>
  <c r="G7" i="42"/>
  <c r="D15" i="42"/>
  <c r="K15" i="42"/>
  <c r="L14" i="42"/>
  <c r="L15" i="42" s="1"/>
  <c r="P50" i="43"/>
  <c r="Q50" i="43"/>
  <c r="R41" i="43" s="1"/>
  <c r="D2" i="43"/>
  <c r="Q51" i="41"/>
  <c r="P51" i="41"/>
  <c r="P45" i="41"/>
  <c r="Q45" i="41"/>
  <c r="P15" i="41"/>
  <c r="Q15" i="41"/>
  <c r="AE34" i="41"/>
  <c r="N34" i="41"/>
  <c r="AF34" i="41"/>
  <c r="AG23" i="41" s="1"/>
  <c r="Q74" i="41"/>
  <c r="P74" i="41"/>
  <c r="Q55" i="41"/>
  <c r="P55" i="41"/>
  <c r="Q8" i="41"/>
  <c r="P8" i="41"/>
  <c r="P52" i="41"/>
  <c r="Q52" i="41"/>
  <c r="AF72" i="41"/>
  <c r="AG68" i="41" s="1"/>
  <c r="AE72" i="41"/>
  <c r="N72" i="41"/>
  <c r="P33" i="41"/>
  <c r="Q33" i="41"/>
  <c r="Q20" i="41"/>
  <c r="P20" i="41"/>
  <c r="Q43" i="41"/>
  <c r="P43" i="41"/>
  <c r="Q17" i="41"/>
  <c r="P17" i="41"/>
  <c r="N67" i="41"/>
  <c r="AE67" i="41"/>
  <c r="AF67" i="41"/>
  <c r="AG60" i="41" s="1"/>
  <c r="Q32" i="41"/>
  <c r="P32" i="41"/>
  <c r="Q29" i="41"/>
  <c r="P29" i="41"/>
  <c r="Q9" i="41"/>
  <c r="R5" i="41" s="1"/>
  <c r="P9" i="41"/>
  <c r="D14" i="40"/>
  <c r="Q39" i="41"/>
  <c r="P39" i="41"/>
  <c r="Q40" i="41"/>
  <c r="P40" i="41"/>
  <c r="P73" i="41"/>
  <c r="Q73" i="41"/>
  <c r="P31" i="41"/>
  <c r="Q31" i="41"/>
  <c r="AF12" i="41"/>
  <c r="AG10" i="41" s="1"/>
  <c r="AE12" i="41"/>
  <c r="N12" i="41"/>
  <c r="Q50" i="41"/>
  <c r="P50" i="41"/>
  <c r="Q62" i="41"/>
  <c r="P62" i="41"/>
  <c r="AF59" i="41"/>
  <c r="AG49" i="41" s="1"/>
  <c r="AE59" i="41"/>
  <c r="N59" i="41"/>
  <c r="D2" i="41" s="1"/>
  <c r="Q6" i="41"/>
  <c r="P6" i="41"/>
  <c r="Q66" i="41"/>
  <c r="P66" i="41"/>
  <c r="Q57" i="41"/>
  <c r="P57" i="41"/>
  <c r="Q54" i="41"/>
  <c r="P54" i="41"/>
  <c r="Q19" i="41"/>
  <c r="P19" i="41"/>
  <c r="AF79" i="41"/>
  <c r="AG73" i="41" s="1"/>
  <c r="N79" i="41"/>
  <c r="AE79" i="41"/>
  <c r="P27" i="41"/>
  <c r="Q27" i="41"/>
  <c r="AF48" i="41"/>
  <c r="AG42" i="41" s="1"/>
  <c r="N48" i="41"/>
  <c r="AE48" i="41"/>
  <c r="Q61" i="41"/>
  <c r="P61" i="41"/>
  <c r="P36" i="41"/>
  <c r="Q36" i="41"/>
  <c r="AF41" i="41"/>
  <c r="AG35" i="41" s="1"/>
  <c r="N41" i="41"/>
  <c r="AE41" i="41"/>
  <c r="Q38" i="41"/>
  <c r="P38" i="41"/>
  <c r="P28" i="41"/>
  <c r="Q28" i="41"/>
  <c r="P10" i="41"/>
  <c r="Q10" i="41"/>
  <c r="Q44" i="41"/>
  <c r="P44" i="41"/>
  <c r="P78" i="41"/>
  <c r="Q78" i="41"/>
  <c r="Q71" i="41"/>
  <c r="P71" i="41"/>
  <c r="P75" i="41"/>
  <c r="Q75" i="41"/>
  <c r="P24" i="41"/>
  <c r="Q24" i="41"/>
  <c r="Q5" i="41"/>
  <c r="P5" i="41"/>
  <c r="P64" i="41"/>
  <c r="Q64" i="41"/>
  <c r="Q13" i="41"/>
  <c r="P13" i="41"/>
  <c r="P11" i="41"/>
  <c r="Q11" i="41"/>
  <c r="AE22" i="41"/>
  <c r="AF22" i="41"/>
  <c r="AG13" i="41" s="1"/>
  <c r="N22" i="41"/>
  <c r="Q68" i="41"/>
  <c r="P68" i="41"/>
  <c r="Q29" i="39"/>
  <c r="P29" i="39"/>
  <c r="AF21" i="39"/>
  <c r="AE21" i="39"/>
  <c r="N21" i="39"/>
  <c r="N36" i="39"/>
  <c r="AF36" i="39"/>
  <c r="AE36" i="39"/>
  <c r="N62" i="39"/>
  <c r="AF62" i="39"/>
  <c r="AE62" i="39"/>
  <c r="N81" i="39"/>
  <c r="AF81" i="39"/>
  <c r="AE81" i="39"/>
  <c r="N15" i="39"/>
  <c r="AF15" i="39"/>
  <c r="AE15" i="39"/>
  <c r="AF33" i="39"/>
  <c r="AE33" i="39"/>
  <c r="N33" i="39"/>
  <c r="N53" i="39"/>
  <c r="M63" i="39"/>
  <c r="AF53" i="39"/>
  <c r="AE53" i="39"/>
  <c r="N48" i="39"/>
  <c r="AE48" i="39"/>
  <c r="AF48" i="39"/>
  <c r="AF75" i="39"/>
  <c r="M77" i="39"/>
  <c r="AE75" i="39"/>
  <c r="N75" i="39"/>
  <c r="Q79" i="39"/>
  <c r="P79" i="39"/>
  <c r="M12" i="39"/>
  <c r="N10" i="39"/>
  <c r="AF10" i="39"/>
  <c r="AE10" i="39"/>
  <c r="N31" i="39"/>
  <c r="AF31" i="39"/>
  <c r="AE31" i="39"/>
  <c r="N43" i="39"/>
  <c r="M51" i="39"/>
  <c r="AF43" i="39"/>
  <c r="AE43" i="39"/>
  <c r="Q67" i="39"/>
  <c r="P67" i="39"/>
  <c r="N76" i="39"/>
  <c r="AF76" i="39"/>
  <c r="AE76" i="39"/>
  <c r="M71" i="39"/>
  <c r="AF64" i="39"/>
  <c r="AE64" i="39"/>
  <c r="N64" i="39"/>
  <c r="AF57" i="39"/>
  <c r="AE57" i="39"/>
  <c r="N57" i="39"/>
  <c r="N5" i="39"/>
  <c r="AF5" i="39"/>
  <c r="AE5" i="39"/>
  <c r="M9" i="39"/>
  <c r="N69" i="39"/>
  <c r="AF69" i="39"/>
  <c r="AE69" i="39"/>
  <c r="I3" i="38"/>
  <c r="F2" i="39"/>
  <c r="N17" i="39"/>
  <c r="AF17" i="39"/>
  <c r="AE17" i="39"/>
  <c r="N55" i="39"/>
  <c r="AF55" i="39"/>
  <c r="AE55" i="39"/>
  <c r="M22" i="39"/>
  <c r="Q41" i="39"/>
  <c r="P41" i="39"/>
  <c r="AF83" i="39"/>
  <c r="AE83" i="39"/>
  <c r="N83" i="39"/>
  <c r="AF47" i="39"/>
  <c r="AE47" i="39"/>
  <c r="N47" i="39"/>
  <c r="AF19" i="39"/>
  <c r="AE19" i="39"/>
  <c r="N19" i="39"/>
  <c r="G6" i="38"/>
  <c r="I6" i="38"/>
  <c r="AE78" i="39"/>
  <c r="AF78" i="39"/>
  <c r="M84" i="39"/>
  <c r="N78" i="39"/>
  <c r="N7" i="39"/>
  <c r="N45" i="39"/>
  <c r="N52" i="39"/>
  <c r="N59" i="39"/>
  <c r="N73" i="39"/>
  <c r="N28" i="39"/>
  <c r="N35" i="39"/>
  <c r="N40" i="39"/>
  <c r="M42" i="39"/>
  <c r="N66" i="39"/>
  <c r="N26" i="39"/>
  <c r="N14" i="39"/>
  <c r="N30" i="39"/>
  <c r="N68" i="39"/>
  <c r="N80" i="39"/>
  <c r="N16" i="39"/>
  <c r="N23" i="39"/>
  <c r="AE26" i="39"/>
  <c r="AE7" i="39"/>
  <c r="N37" i="39"/>
  <c r="AE45" i="39"/>
  <c r="P49" i="39"/>
  <c r="P61" i="39"/>
  <c r="AE73" i="39"/>
  <c r="N18" i="39"/>
  <c r="AE28" i="39"/>
  <c r="N32" i="39"/>
  <c r="M34" i="39"/>
  <c r="AE40" i="39"/>
  <c r="N56" i="39"/>
  <c r="AF59" i="39"/>
  <c r="AE66" i="39"/>
  <c r="E6" i="38"/>
  <c r="N11" i="39"/>
  <c r="N25" i="39"/>
  <c r="N39" i="39"/>
  <c r="AE52" i="39"/>
  <c r="N72" i="39"/>
  <c r="F6" i="38"/>
  <c r="N6" i="39"/>
  <c r="AE14" i="39"/>
  <c r="AE30" i="39"/>
  <c r="AE35" i="39"/>
  <c r="N44" i="39"/>
  <c r="N58" i="39"/>
  <c r="AE68" i="39"/>
  <c r="AE80" i="39"/>
  <c r="Y2" i="39"/>
  <c r="K6" i="38" s="1"/>
  <c r="AF14" i="39"/>
  <c r="N54" i="39"/>
  <c r="N70" i="39"/>
  <c r="N82" i="39"/>
  <c r="AE70" i="39"/>
  <c r="P8" i="39"/>
  <c r="P13" i="39"/>
  <c r="AE18" i="39"/>
  <c r="P20" i="39"/>
  <c r="AE32" i="39"/>
  <c r="AF37" i="39"/>
  <c r="P46" i="39"/>
  <c r="AE56" i="39"/>
  <c r="P60" i="39"/>
  <c r="P74" i="39"/>
  <c r="AE82" i="39"/>
  <c r="D20" i="38"/>
  <c r="AE11" i="39"/>
  <c r="AE25" i="39"/>
  <c r="AE72" i="39"/>
  <c r="AF16" i="39"/>
  <c r="AF23" i="39"/>
  <c r="AF54" i="39"/>
  <c r="AE39" i="39"/>
  <c r="AD77" i="37"/>
  <c r="AC77" i="37"/>
  <c r="Z77" i="37"/>
  <c r="Y77" i="37"/>
  <c r="O77" i="37"/>
  <c r="K77" i="37"/>
  <c r="V76" i="37"/>
  <c r="M76" i="37" s="1"/>
  <c r="AF76" i="37" s="1"/>
  <c r="U76" i="37"/>
  <c r="O76" i="37"/>
  <c r="N76" i="37"/>
  <c r="Q76" i="37" s="1"/>
  <c r="K76" i="37"/>
  <c r="G76" i="37"/>
  <c r="V75" i="37"/>
  <c r="U75" i="37"/>
  <c r="O75" i="37"/>
  <c r="N75" i="37"/>
  <c r="M75" i="37"/>
  <c r="K75" i="37"/>
  <c r="G75" i="37"/>
  <c r="V74" i="37"/>
  <c r="M74" i="37" s="1"/>
  <c r="N74" i="37" s="1"/>
  <c r="U74" i="37"/>
  <c r="Q74" i="37"/>
  <c r="P74" i="37"/>
  <c r="O74" i="37"/>
  <c r="K74" i="37"/>
  <c r="G74" i="37"/>
  <c r="AE73" i="37"/>
  <c r="V73" i="37"/>
  <c r="U73" i="37"/>
  <c r="O73" i="37"/>
  <c r="N73" i="37"/>
  <c r="Q73" i="37" s="1"/>
  <c r="M73" i="37"/>
  <c r="AF73" i="37" s="1"/>
  <c r="K73" i="37"/>
  <c r="G73" i="37"/>
  <c r="AF72" i="37"/>
  <c r="AE72" i="37"/>
  <c r="X72" i="37"/>
  <c r="W72" i="37"/>
  <c r="V72" i="37"/>
  <c r="O72" i="37"/>
  <c r="N72" i="37"/>
  <c r="M72" i="37"/>
  <c r="K72" i="37"/>
  <c r="G72" i="37"/>
  <c r="AD71" i="37"/>
  <c r="J21" i="36" s="1"/>
  <c r="AC71" i="37"/>
  <c r="J20" i="36" s="1"/>
  <c r="Z71" i="37"/>
  <c r="J19" i="36" s="1"/>
  <c r="Y71" i="37"/>
  <c r="J18" i="36" s="1"/>
  <c r="O71" i="37"/>
  <c r="K71" i="37"/>
  <c r="V70" i="37"/>
  <c r="U70" i="37"/>
  <c r="O70" i="37"/>
  <c r="M70" i="37"/>
  <c r="K70" i="37"/>
  <c r="G70" i="37"/>
  <c r="V69" i="37"/>
  <c r="M69" i="37" s="1"/>
  <c r="N69" i="37" s="1"/>
  <c r="P69" i="37" s="1"/>
  <c r="U69" i="37"/>
  <c r="Q69" i="37"/>
  <c r="O69" i="37"/>
  <c r="K69" i="37"/>
  <c r="G69" i="37"/>
  <c r="V68" i="37"/>
  <c r="U68" i="37"/>
  <c r="O68" i="37"/>
  <c r="M68" i="37"/>
  <c r="N68" i="37" s="1"/>
  <c r="K68" i="37"/>
  <c r="G68" i="37"/>
  <c r="V67" i="37"/>
  <c r="M67" i="37" s="1"/>
  <c r="AE67" i="37" s="1"/>
  <c r="O67" i="37"/>
  <c r="K67" i="37"/>
  <c r="G67" i="37"/>
  <c r="AD66" i="37"/>
  <c r="AC66" i="37"/>
  <c r="I20" i="36" s="1"/>
  <c r="Z66" i="37"/>
  <c r="I19" i="36" s="1"/>
  <c r="Y66" i="37"/>
  <c r="I18" i="36" s="1"/>
  <c r="O66" i="37"/>
  <c r="K66" i="37"/>
  <c r="I13" i="36" s="1"/>
  <c r="AF65" i="37"/>
  <c r="V65" i="37"/>
  <c r="U65" i="37"/>
  <c r="O65" i="37"/>
  <c r="N65" i="37"/>
  <c r="M65" i="37"/>
  <c r="AE65" i="37" s="1"/>
  <c r="K65" i="37"/>
  <c r="G65" i="37"/>
  <c r="V64" i="37"/>
  <c r="M64" i="37" s="1"/>
  <c r="U64" i="37"/>
  <c r="O64" i="37"/>
  <c r="K64" i="37"/>
  <c r="G64" i="37"/>
  <c r="V63" i="37"/>
  <c r="U63" i="37"/>
  <c r="O63" i="37"/>
  <c r="M63" i="37"/>
  <c r="AF63" i="37" s="1"/>
  <c r="K63" i="37"/>
  <c r="G63" i="37"/>
  <c r="V62" i="37"/>
  <c r="M62" i="37" s="1"/>
  <c r="AF62" i="37" s="1"/>
  <c r="U62" i="37"/>
  <c r="O62" i="37"/>
  <c r="N62" i="37"/>
  <c r="Q62" i="37" s="1"/>
  <c r="K62" i="37"/>
  <c r="G62" i="37"/>
  <c r="V61" i="37"/>
  <c r="U61" i="37"/>
  <c r="O61" i="37"/>
  <c r="M61" i="37"/>
  <c r="N61" i="37" s="1"/>
  <c r="K61" i="37"/>
  <c r="G61" i="37"/>
  <c r="V60" i="37"/>
  <c r="M60" i="37" s="1"/>
  <c r="N60" i="37" s="1"/>
  <c r="U60" i="37"/>
  <c r="Q60" i="37"/>
  <c r="P60" i="37"/>
  <c r="O60" i="37"/>
  <c r="K60" i="37"/>
  <c r="G60" i="37"/>
  <c r="AF59" i="37"/>
  <c r="V59" i="37"/>
  <c r="O59" i="37"/>
  <c r="M59" i="37"/>
  <c r="AE59" i="37" s="1"/>
  <c r="K59" i="37"/>
  <c r="G59" i="37"/>
  <c r="AD58" i="37"/>
  <c r="H21" i="36" s="1"/>
  <c r="AC58" i="37"/>
  <c r="Z58" i="37"/>
  <c r="Y58" i="37"/>
  <c r="O58" i="37"/>
  <c r="K58" i="37"/>
  <c r="V57" i="37"/>
  <c r="M57" i="37" s="1"/>
  <c r="U57" i="37"/>
  <c r="O57" i="37"/>
  <c r="K57" i="37"/>
  <c r="G57" i="37"/>
  <c r="V56" i="37"/>
  <c r="U56" i="37"/>
  <c r="O56" i="37"/>
  <c r="M56" i="37"/>
  <c r="AF56" i="37" s="1"/>
  <c r="K56" i="37"/>
  <c r="G56" i="37"/>
  <c r="V55" i="37"/>
  <c r="M55" i="37" s="1"/>
  <c r="U55" i="37"/>
  <c r="O55" i="37"/>
  <c r="K55" i="37"/>
  <c r="G55" i="37"/>
  <c r="V54" i="37"/>
  <c r="U54" i="37"/>
  <c r="O54" i="37"/>
  <c r="M54" i="37"/>
  <c r="K54" i="37"/>
  <c r="G54" i="37"/>
  <c r="V53" i="37"/>
  <c r="M53" i="37" s="1"/>
  <c r="N53" i="37" s="1"/>
  <c r="U53" i="37"/>
  <c r="Q53" i="37"/>
  <c r="P53" i="37"/>
  <c r="O53" i="37"/>
  <c r="K53" i="37"/>
  <c r="G53" i="37"/>
  <c r="V52" i="37"/>
  <c r="U52" i="37"/>
  <c r="O52" i="37"/>
  <c r="N52" i="37"/>
  <c r="M52" i="37"/>
  <c r="K52" i="37"/>
  <c r="G52" i="37"/>
  <c r="V51" i="37"/>
  <c r="M51" i="37" s="1"/>
  <c r="N51" i="37" s="1"/>
  <c r="P51" i="37" s="1"/>
  <c r="U51" i="37"/>
  <c r="Q51" i="37"/>
  <c r="O51" i="37"/>
  <c r="K51" i="37"/>
  <c r="G51" i="37"/>
  <c r="AF50" i="37"/>
  <c r="V50" i="37"/>
  <c r="U50" i="37"/>
  <c r="O50" i="37"/>
  <c r="M50" i="37"/>
  <c r="AE50" i="37" s="1"/>
  <c r="K50" i="37"/>
  <c r="G50" i="37"/>
  <c r="AF49" i="37"/>
  <c r="AE49" i="37"/>
  <c r="X49" i="37"/>
  <c r="W49" i="37"/>
  <c r="V49" i="37"/>
  <c r="O49" i="37"/>
  <c r="M49" i="37"/>
  <c r="K49" i="37"/>
  <c r="G49" i="37"/>
  <c r="AD48" i="37"/>
  <c r="L21" i="36" s="1"/>
  <c r="AC48" i="37"/>
  <c r="L20" i="36" s="1"/>
  <c r="Z48" i="37"/>
  <c r="L19" i="36" s="1"/>
  <c r="Y48" i="37"/>
  <c r="L18" i="36" s="1"/>
  <c r="O48" i="37"/>
  <c r="K48" i="37"/>
  <c r="V47" i="37"/>
  <c r="U47" i="37"/>
  <c r="O47" i="37"/>
  <c r="M47" i="37"/>
  <c r="K47" i="37"/>
  <c r="G47" i="37"/>
  <c r="AE46" i="37"/>
  <c r="V46" i="37"/>
  <c r="M46" i="37" s="1"/>
  <c r="N46" i="37" s="1"/>
  <c r="U46" i="37"/>
  <c r="Q46" i="37"/>
  <c r="P46" i="37"/>
  <c r="O46" i="37"/>
  <c r="K46" i="37"/>
  <c r="G46" i="37"/>
  <c r="V45" i="37"/>
  <c r="U45" i="37"/>
  <c r="O45" i="37"/>
  <c r="M45" i="37"/>
  <c r="AF45" i="37" s="1"/>
  <c r="K45" i="37"/>
  <c r="G45" i="37"/>
  <c r="V44" i="37"/>
  <c r="M44" i="37" s="1"/>
  <c r="N44" i="37" s="1"/>
  <c r="U44" i="37"/>
  <c r="O44" i="37"/>
  <c r="K44" i="37"/>
  <c r="G44" i="37"/>
  <c r="V43" i="37"/>
  <c r="U43" i="37"/>
  <c r="Q43" i="37"/>
  <c r="P43" i="37"/>
  <c r="O43" i="37"/>
  <c r="N43" i="37"/>
  <c r="M43" i="37"/>
  <c r="K43" i="37"/>
  <c r="G43" i="37"/>
  <c r="AF42" i="37"/>
  <c r="AE42" i="37"/>
  <c r="V42" i="37"/>
  <c r="U42" i="37"/>
  <c r="O42" i="37"/>
  <c r="N42" i="37"/>
  <c r="P42" i="37" s="1"/>
  <c r="M42" i="37"/>
  <c r="K42" i="37"/>
  <c r="G42" i="37"/>
  <c r="X41" i="37"/>
  <c r="W41" i="37"/>
  <c r="V41" i="37"/>
  <c r="M41" i="37" s="1"/>
  <c r="M48" i="37" s="1"/>
  <c r="N48" i="37" s="1"/>
  <c r="L14" i="36" s="1"/>
  <c r="O41" i="37"/>
  <c r="K41" i="37"/>
  <c r="G41" i="37"/>
  <c r="AD40" i="37"/>
  <c r="AC40" i="37"/>
  <c r="Z40" i="37"/>
  <c r="Y40" i="37"/>
  <c r="O40" i="37"/>
  <c r="K40" i="37"/>
  <c r="K13" i="36" s="1"/>
  <c r="V39" i="37"/>
  <c r="M39" i="37" s="1"/>
  <c r="N39" i="37" s="1"/>
  <c r="P39" i="37" s="1"/>
  <c r="U39" i="37"/>
  <c r="O39" i="37"/>
  <c r="K39" i="37"/>
  <c r="G39" i="37"/>
  <c r="V38" i="37"/>
  <c r="U38" i="37"/>
  <c r="O38" i="37"/>
  <c r="M38" i="37"/>
  <c r="AE38" i="37" s="1"/>
  <c r="K38" i="37"/>
  <c r="G38" i="37"/>
  <c r="V37" i="37"/>
  <c r="M37" i="37" s="1"/>
  <c r="N37" i="37" s="1"/>
  <c r="U37" i="37"/>
  <c r="O37" i="37"/>
  <c r="K37" i="37"/>
  <c r="G37" i="37"/>
  <c r="V36" i="37"/>
  <c r="U36" i="37"/>
  <c r="O36" i="37"/>
  <c r="M36" i="37"/>
  <c r="AF36" i="37" s="1"/>
  <c r="K36" i="37"/>
  <c r="G36" i="37"/>
  <c r="X35" i="37"/>
  <c r="W35" i="37"/>
  <c r="V35" i="37"/>
  <c r="O35" i="37"/>
  <c r="M35" i="37"/>
  <c r="N35" i="37" s="1"/>
  <c r="K35" i="37"/>
  <c r="G35" i="37"/>
  <c r="AD34" i="37"/>
  <c r="G21" i="36" s="1"/>
  <c r="AC34" i="37"/>
  <c r="Z34" i="37"/>
  <c r="G19" i="36" s="1"/>
  <c r="Y34" i="37"/>
  <c r="G18" i="36" s="1"/>
  <c r="O34" i="37"/>
  <c r="K34" i="37"/>
  <c r="G13" i="36" s="1"/>
  <c r="V33" i="37"/>
  <c r="U33" i="37"/>
  <c r="O33" i="37"/>
  <c r="M33" i="37"/>
  <c r="AF33" i="37" s="1"/>
  <c r="K33" i="37"/>
  <c r="G33" i="37"/>
  <c r="AE32" i="37"/>
  <c r="V32" i="37"/>
  <c r="M32" i="37" s="1"/>
  <c r="N32" i="37" s="1"/>
  <c r="U32" i="37"/>
  <c r="O32" i="37"/>
  <c r="K32" i="37"/>
  <c r="G32" i="37"/>
  <c r="X31" i="37"/>
  <c r="W31" i="37"/>
  <c r="V31" i="37"/>
  <c r="U31" i="37"/>
  <c r="O31" i="37"/>
  <c r="M31" i="37"/>
  <c r="K31" i="37"/>
  <c r="G31" i="37"/>
  <c r="V30" i="37"/>
  <c r="U30" i="37"/>
  <c r="O30" i="37"/>
  <c r="M30" i="37"/>
  <c r="AF30" i="37" s="1"/>
  <c r="K30" i="37"/>
  <c r="G30" i="37"/>
  <c r="V29" i="37"/>
  <c r="U29" i="37"/>
  <c r="O29" i="37"/>
  <c r="M29" i="37"/>
  <c r="AE29" i="37" s="1"/>
  <c r="K29" i="37"/>
  <c r="G29" i="37"/>
  <c r="V28" i="37"/>
  <c r="U28" i="37"/>
  <c r="O28" i="37"/>
  <c r="N28" i="37"/>
  <c r="P28" i="37" s="1"/>
  <c r="M28" i="37"/>
  <c r="K28" i="37"/>
  <c r="G28" i="37"/>
  <c r="V27" i="37"/>
  <c r="M27" i="37" s="1"/>
  <c r="N27" i="37" s="1"/>
  <c r="U27" i="37"/>
  <c r="Q27" i="37"/>
  <c r="P27" i="37"/>
  <c r="O27" i="37"/>
  <c r="K27" i="37"/>
  <c r="G27" i="37"/>
  <c r="V26" i="37"/>
  <c r="U26" i="37"/>
  <c r="O26" i="37"/>
  <c r="M26" i="37"/>
  <c r="K26" i="37"/>
  <c r="G26" i="37"/>
  <c r="AE25" i="37"/>
  <c r="V25" i="37"/>
  <c r="M25" i="37" s="1"/>
  <c r="N25" i="37" s="1"/>
  <c r="P25" i="37" s="1"/>
  <c r="U25" i="37"/>
  <c r="Q25" i="37"/>
  <c r="O25" i="37"/>
  <c r="K25" i="37"/>
  <c r="G25" i="37"/>
  <c r="V24" i="37"/>
  <c r="U24" i="37"/>
  <c r="O24" i="37"/>
  <c r="M24" i="37"/>
  <c r="AF24" i="37" s="1"/>
  <c r="K24" i="37"/>
  <c r="G24" i="37"/>
  <c r="AF23" i="37"/>
  <c r="AE23" i="37"/>
  <c r="V23" i="37"/>
  <c r="O23" i="37"/>
  <c r="N23" i="37"/>
  <c r="P23" i="37" s="1"/>
  <c r="M23" i="37"/>
  <c r="K23" i="37"/>
  <c r="G23" i="37"/>
  <c r="AD22" i="37"/>
  <c r="AC22" i="37"/>
  <c r="F20" i="36" s="1"/>
  <c r="Z22" i="37"/>
  <c r="Y22" i="37"/>
  <c r="F18" i="36" s="1"/>
  <c r="O22" i="37"/>
  <c r="K22" i="37"/>
  <c r="V21" i="37"/>
  <c r="U21" i="37"/>
  <c r="O21" i="37"/>
  <c r="M21" i="37"/>
  <c r="K21" i="37"/>
  <c r="G21" i="37"/>
  <c r="V20" i="37"/>
  <c r="M20" i="37" s="1"/>
  <c r="AF20" i="37" s="1"/>
  <c r="U20" i="37"/>
  <c r="O20" i="37"/>
  <c r="N20" i="37"/>
  <c r="Q20" i="37" s="1"/>
  <c r="K20" i="37"/>
  <c r="G20" i="37"/>
  <c r="X19" i="37"/>
  <c r="W19" i="37"/>
  <c r="V19" i="37"/>
  <c r="U19" i="37"/>
  <c r="O19" i="37"/>
  <c r="N19" i="37"/>
  <c r="Q19" i="37" s="1"/>
  <c r="M19" i="37"/>
  <c r="K19" i="37"/>
  <c r="P19" i="37" s="1"/>
  <c r="G19" i="37"/>
  <c r="V18" i="37"/>
  <c r="M18" i="37" s="1"/>
  <c r="N18" i="37" s="1"/>
  <c r="U18" i="37"/>
  <c r="O18" i="37"/>
  <c r="K18" i="37"/>
  <c r="G18" i="37"/>
  <c r="V17" i="37"/>
  <c r="U17" i="37"/>
  <c r="O17" i="37"/>
  <c r="N17" i="37"/>
  <c r="P17" i="37" s="1"/>
  <c r="M17" i="37"/>
  <c r="K17" i="37"/>
  <c r="G17" i="37"/>
  <c r="AF16" i="37"/>
  <c r="AE16" i="37"/>
  <c r="V16" i="37"/>
  <c r="U16" i="37"/>
  <c r="O16" i="37"/>
  <c r="N16" i="37"/>
  <c r="P16" i="37" s="1"/>
  <c r="M16" i="37"/>
  <c r="K16" i="37"/>
  <c r="G16" i="37"/>
  <c r="V15" i="37"/>
  <c r="M15" i="37" s="1"/>
  <c r="U15" i="37"/>
  <c r="O15" i="37"/>
  <c r="K15" i="37"/>
  <c r="G15" i="37"/>
  <c r="V14" i="37"/>
  <c r="U14" i="37"/>
  <c r="O14" i="37"/>
  <c r="M14" i="37"/>
  <c r="AF14" i="37" s="1"/>
  <c r="K14" i="37"/>
  <c r="G14" i="37"/>
  <c r="V13" i="37"/>
  <c r="M13" i="37" s="1"/>
  <c r="AF13" i="37" s="1"/>
  <c r="O13" i="37"/>
  <c r="N13" i="37"/>
  <c r="Q13" i="37" s="1"/>
  <c r="K13" i="37"/>
  <c r="G13" i="37"/>
  <c r="AD12" i="37"/>
  <c r="AC12" i="37"/>
  <c r="Z12" i="37"/>
  <c r="Y12" i="37"/>
  <c r="O12" i="37"/>
  <c r="K12" i="37"/>
  <c r="E13" i="36" s="1"/>
  <c r="V11" i="37"/>
  <c r="M11" i="37" s="1"/>
  <c r="N11" i="37" s="1"/>
  <c r="U11" i="37"/>
  <c r="O11" i="37"/>
  <c r="K11" i="37"/>
  <c r="Q11" i="37" s="1"/>
  <c r="G11" i="37"/>
  <c r="X10" i="37"/>
  <c r="W10" i="37"/>
  <c r="V10" i="37"/>
  <c r="O10" i="37"/>
  <c r="M10" i="37"/>
  <c r="K10" i="37"/>
  <c r="G10" i="37"/>
  <c r="AD9" i="37"/>
  <c r="AC9" i="37"/>
  <c r="Z9" i="37"/>
  <c r="Y9" i="37"/>
  <c r="O9" i="37"/>
  <c r="K9" i="37"/>
  <c r="D13" i="36" s="1"/>
  <c r="AF8" i="37"/>
  <c r="V8" i="37"/>
  <c r="M8" i="37" s="1"/>
  <c r="AE8" i="37" s="1"/>
  <c r="U8" i="37"/>
  <c r="O8" i="37"/>
  <c r="N8" i="37"/>
  <c r="Q8" i="37" s="1"/>
  <c r="K8" i="37"/>
  <c r="G8" i="37"/>
  <c r="V7" i="37"/>
  <c r="U7" i="37"/>
  <c r="O7" i="37"/>
  <c r="M7" i="37"/>
  <c r="AF7" i="37" s="1"/>
  <c r="K7" i="37"/>
  <c r="G7" i="37"/>
  <c r="V6" i="37"/>
  <c r="M6" i="37" s="1"/>
  <c r="N6" i="37" s="1"/>
  <c r="Q6" i="37" s="1"/>
  <c r="U6" i="37"/>
  <c r="O6" i="37"/>
  <c r="K6" i="37"/>
  <c r="G6" i="37"/>
  <c r="V5" i="37"/>
  <c r="O5" i="37"/>
  <c r="N5" i="37"/>
  <c r="Q5" i="37" s="1"/>
  <c r="M5" i="37"/>
  <c r="AE5" i="37" s="1"/>
  <c r="K5" i="37"/>
  <c r="G5" i="37"/>
  <c r="AD2" i="37"/>
  <c r="N6" i="36" s="1"/>
  <c r="AC2" i="37"/>
  <c r="M6" i="36" s="1"/>
  <c r="Z2" i="37"/>
  <c r="L6" i="36" s="1"/>
  <c r="H2" i="37"/>
  <c r="H1" i="37"/>
  <c r="D1" i="37"/>
  <c r="M22" i="36"/>
  <c r="L22" i="36"/>
  <c r="K22" i="36"/>
  <c r="J22" i="36"/>
  <c r="I22" i="36"/>
  <c r="H22" i="36"/>
  <c r="G22" i="36"/>
  <c r="F22" i="36"/>
  <c r="E22" i="36"/>
  <c r="D22" i="36"/>
  <c r="M21" i="36"/>
  <c r="K21" i="36"/>
  <c r="I21" i="36"/>
  <c r="F21" i="36"/>
  <c r="E21" i="36"/>
  <c r="D21" i="36"/>
  <c r="M20" i="36"/>
  <c r="K20" i="36"/>
  <c r="H20" i="36"/>
  <c r="G20" i="36"/>
  <c r="E20" i="36"/>
  <c r="D20" i="36"/>
  <c r="M19" i="36"/>
  <c r="K19" i="36"/>
  <c r="H19" i="36"/>
  <c r="F19" i="36"/>
  <c r="E19" i="36"/>
  <c r="D19" i="36"/>
  <c r="M18" i="36"/>
  <c r="K18" i="36"/>
  <c r="H18" i="36"/>
  <c r="E18" i="36"/>
  <c r="D18" i="36"/>
  <c r="M17" i="36"/>
  <c r="L17" i="36"/>
  <c r="K17" i="36"/>
  <c r="J17" i="36"/>
  <c r="I17" i="36"/>
  <c r="H17" i="36"/>
  <c r="G17" i="36"/>
  <c r="F17" i="36"/>
  <c r="E17" i="36"/>
  <c r="D17" i="36"/>
  <c r="M16" i="36"/>
  <c r="L16" i="36"/>
  <c r="K16" i="36"/>
  <c r="J16" i="36"/>
  <c r="I16" i="36"/>
  <c r="H16" i="36"/>
  <c r="G16" i="36"/>
  <c r="F16" i="36"/>
  <c r="E16" i="36"/>
  <c r="D16" i="36"/>
  <c r="M13" i="36"/>
  <c r="L13" i="36"/>
  <c r="J13" i="36"/>
  <c r="H13" i="36"/>
  <c r="F13" i="36"/>
  <c r="F3" i="36"/>
  <c r="C3" i="36"/>
  <c r="G8" i="44" l="1"/>
  <c r="E8" i="44"/>
  <c r="F8" i="44"/>
  <c r="F7" i="42"/>
  <c r="I7" i="42"/>
  <c r="E7" i="42"/>
  <c r="I8" i="42"/>
  <c r="G8" i="42"/>
  <c r="F8" i="42"/>
  <c r="E8" i="42"/>
  <c r="L15" i="36"/>
  <c r="I6" i="36"/>
  <c r="Q34" i="41"/>
  <c r="R23" i="41" s="1"/>
  <c r="P34" i="41"/>
  <c r="G14" i="40"/>
  <c r="G15" i="40" s="1"/>
  <c r="L14" i="40"/>
  <c r="L15" i="40" s="1"/>
  <c r="P48" i="41"/>
  <c r="Q48" i="41"/>
  <c r="R42" i="41" s="1"/>
  <c r="K14" i="40"/>
  <c r="P41" i="41"/>
  <c r="Q41" i="41"/>
  <c r="R35" i="41" s="1"/>
  <c r="Q72" i="41"/>
  <c r="R68" i="41" s="1"/>
  <c r="P72" i="41"/>
  <c r="J14" i="40"/>
  <c r="J15" i="40" s="1"/>
  <c r="P12" i="41"/>
  <c r="Q12" i="41"/>
  <c r="R10" i="41" s="1"/>
  <c r="E14" i="40"/>
  <c r="E15" i="40" s="1"/>
  <c r="P79" i="41"/>
  <c r="M14" i="40"/>
  <c r="M15" i="40" s="1"/>
  <c r="Q79" i="41"/>
  <c r="R73" i="41" s="1"/>
  <c r="Q59" i="41"/>
  <c r="R49" i="41" s="1"/>
  <c r="P59" i="41"/>
  <c r="H14" i="40"/>
  <c r="H15" i="40" s="1"/>
  <c r="D15" i="40"/>
  <c r="Q22" i="41"/>
  <c r="R13" i="41" s="1"/>
  <c r="P22" i="41"/>
  <c r="F14" i="40"/>
  <c r="F15" i="40" s="1"/>
  <c r="I14" i="40"/>
  <c r="I15" i="40" s="1"/>
  <c r="Q67" i="41"/>
  <c r="R60" i="41" s="1"/>
  <c r="P67" i="41"/>
  <c r="Q70" i="39"/>
  <c r="P70" i="39"/>
  <c r="Q26" i="39"/>
  <c r="P26" i="39"/>
  <c r="Q47" i="39"/>
  <c r="P47" i="39"/>
  <c r="AF9" i="39"/>
  <c r="AG5" i="39" s="1"/>
  <c r="AE9" i="39"/>
  <c r="N9" i="39"/>
  <c r="Q33" i="39"/>
  <c r="P33" i="39"/>
  <c r="AF42" i="39"/>
  <c r="AG35" i="39" s="1"/>
  <c r="AE42" i="39"/>
  <c r="N42" i="39"/>
  <c r="Q31" i="39"/>
  <c r="P31" i="39"/>
  <c r="AF34" i="39"/>
  <c r="AG23" i="39" s="1"/>
  <c r="AE34" i="39"/>
  <c r="N34" i="39"/>
  <c r="Q40" i="39"/>
  <c r="P40" i="39"/>
  <c r="Q83" i="39"/>
  <c r="P83" i="39"/>
  <c r="Q5" i="39"/>
  <c r="P5" i="39"/>
  <c r="Q32" i="39"/>
  <c r="P32" i="39"/>
  <c r="Q35" i="39"/>
  <c r="P35" i="39"/>
  <c r="Q57" i="39"/>
  <c r="P57" i="39"/>
  <c r="Q28" i="39"/>
  <c r="P28" i="39"/>
  <c r="Q10" i="39"/>
  <c r="P10" i="39"/>
  <c r="Q15" i="39"/>
  <c r="P15" i="39"/>
  <c r="Q56" i="39"/>
  <c r="P56" i="39"/>
  <c r="Q18" i="39"/>
  <c r="P18" i="39"/>
  <c r="Q81" i="39"/>
  <c r="P81" i="39"/>
  <c r="Q75" i="39"/>
  <c r="P75" i="39"/>
  <c r="Q7" i="39"/>
  <c r="P7" i="39"/>
  <c r="N71" i="39"/>
  <c r="AF71" i="39"/>
  <c r="AG64" i="39" s="1"/>
  <c r="AE71" i="39"/>
  <c r="P58" i="39"/>
  <c r="Q58" i="39"/>
  <c r="Q39" i="39"/>
  <c r="P39" i="39"/>
  <c r="Q16" i="39"/>
  <c r="P16" i="39"/>
  <c r="Q48" i="39"/>
  <c r="P48" i="39"/>
  <c r="P21" i="39"/>
  <c r="Q21" i="39"/>
  <c r="Q52" i="39"/>
  <c r="P52" i="39"/>
  <c r="Q6" i="39"/>
  <c r="P6" i="39"/>
  <c r="Q37" i="39"/>
  <c r="P37" i="39"/>
  <c r="Q78" i="39"/>
  <c r="P78" i="39"/>
  <c r="P62" i="39"/>
  <c r="Q62" i="39"/>
  <c r="Q25" i="39"/>
  <c r="P25" i="39"/>
  <c r="Q80" i="39"/>
  <c r="P80" i="39"/>
  <c r="Q54" i="39"/>
  <c r="P54" i="39"/>
  <c r="AE12" i="39"/>
  <c r="AF12" i="39"/>
  <c r="AG10" i="39" s="1"/>
  <c r="N12" i="39"/>
  <c r="Q44" i="39"/>
  <c r="P44" i="39"/>
  <c r="Q64" i="39"/>
  <c r="P64" i="39"/>
  <c r="Q55" i="39"/>
  <c r="P55" i="39"/>
  <c r="AF84" i="39"/>
  <c r="AG78" i="39" s="1"/>
  <c r="AE84" i="39"/>
  <c r="N84" i="39"/>
  <c r="P36" i="39"/>
  <c r="Q36" i="39"/>
  <c r="Q11" i="39"/>
  <c r="P11" i="39"/>
  <c r="Q68" i="39"/>
  <c r="P68" i="39"/>
  <c r="Q19" i="39"/>
  <c r="P19" i="39"/>
  <c r="Q45" i="39"/>
  <c r="P45" i="39"/>
  <c r="AF77" i="39"/>
  <c r="AG72" i="39" s="1"/>
  <c r="AE77" i="39"/>
  <c r="N77" i="39"/>
  <c r="Q72" i="39"/>
  <c r="P72" i="39"/>
  <c r="Q23" i="39"/>
  <c r="P23" i="39"/>
  <c r="Q17" i="39"/>
  <c r="P17" i="39"/>
  <c r="Q30" i="39"/>
  <c r="P30" i="39"/>
  <c r="AF51" i="39"/>
  <c r="AG43" i="39" s="1"/>
  <c r="AE51" i="39"/>
  <c r="N51" i="39"/>
  <c r="AF63" i="39"/>
  <c r="AG52" i="39" s="1"/>
  <c r="AE63" i="39"/>
  <c r="N63" i="39"/>
  <c r="Q66" i="39"/>
  <c r="P66" i="39"/>
  <c r="Q73" i="39"/>
  <c r="P73" i="39"/>
  <c r="Q59" i="39"/>
  <c r="P59" i="39"/>
  <c r="N22" i="39"/>
  <c r="AF22" i="39"/>
  <c r="AG13" i="39" s="1"/>
  <c r="AE22" i="39"/>
  <c r="P76" i="39"/>
  <c r="Q76" i="39"/>
  <c r="Q82" i="39"/>
  <c r="P82" i="39"/>
  <c r="Q14" i="39"/>
  <c r="P14" i="39"/>
  <c r="Q69" i="39"/>
  <c r="P69" i="39"/>
  <c r="P43" i="39"/>
  <c r="Q43" i="39"/>
  <c r="Q53" i="39"/>
  <c r="P53" i="39"/>
  <c r="AF55" i="37"/>
  <c r="AE55" i="37"/>
  <c r="N55" i="37"/>
  <c r="AF57" i="37"/>
  <c r="N57" i="37"/>
  <c r="AE57" i="37"/>
  <c r="N64" i="37"/>
  <c r="AF64" i="37"/>
  <c r="AE64" i="37"/>
  <c r="AF15" i="37"/>
  <c r="N15" i="37"/>
  <c r="AE15" i="37"/>
  <c r="M22" i="37"/>
  <c r="G6" i="36"/>
  <c r="E6" i="36"/>
  <c r="F6" i="36"/>
  <c r="P35" i="37"/>
  <c r="Q35" i="37"/>
  <c r="Q61" i="37"/>
  <c r="P61" i="37"/>
  <c r="Q68" i="37"/>
  <c r="P68" i="37"/>
  <c r="AF26" i="37"/>
  <c r="AE26" i="37"/>
  <c r="Q28" i="37"/>
  <c r="AE39" i="37"/>
  <c r="P62" i="37"/>
  <c r="P73" i="37"/>
  <c r="AE6" i="37"/>
  <c r="AF35" i="37"/>
  <c r="AE35" i="37"/>
  <c r="Q17" i="37"/>
  <c r="N26" i="37"/>
  <c r="N33" i="37"/>
  <c r="Q37" i="37"/>
  <c r="P37" i="37"/>
  <c r="AF39" i="37"/>
  <c r="N7" i="37"/>
  <c r="Y2" i="37"/>
  <c r="K6" i="36" s="1"/>
  <c r="AE62" i="37"/>
  <c r="AE69" i="37"/>
  <c r="P76" i="37"/>
  <c r="M9" i="37"/>
  <c r="AF44" i="37"/>
  <c r="AF67" i="37"/>
  <c r="AE70" i="37"/>
  <c r="AF70" i="37"/>
  <c r="N70" i="37"/>
  <c r="AE76" i="37"/>
  <c r="F1" i="37"/>
  <c r="P13" i="37"/>
  <c r="AE37" i="37"/>
  <c r="AE48" i="37"/>
  <c r="AE13" i="37"/>
  <c r="P20" i="37"/>
  <c r="N29" i="37"/>
  <c r="AE53" i="37"/>
  <c r="AE33" i="37"/>
  <c r="N38" i="37"/>
  <c r="AE44" i="37"/>
  <c r="AF53" i="37"/>
  <c r="AE60" i="37"/>
  <c r="Q65" i="37"/>
  <c r="P65" i="37"/>
  <c r="Q72" i="37"/>
  <c r="P72" i="37"/>
  <c r="M12" i="37"/>
  <c r="AE18" i="37"/>
  <c r="AF47" i="37"/>
  <c r="AE47" i="37"/>
  <c r="N36" i="37"/>
  <c r="N47" i="37"/>
  <c r="AE51" i="37"/>
  <c r="AE54" i="37"/>
  <c r="AF54" i="37"/>
  <c r="N54" i="37"/>
  <c r="P8" i="37"/>
  <c r="AF19" i="37"/>
  <c r="AE19" i="37"/>
  <c r="AE27" i="37"/>
  <c r="AF29" i="37"/>
  <c r="AF38" i="37"/>
  <c r="M66" i="37"/>
  <c r="M58" i="37"/>
  <c r="M71" i="37"/>
  <c r="N67" i="37"/>
  <c r="AF60" i="37"/>
  <c r="AF18" i="37"/>
  <c r="N45" i="37"/>
  <c r="AF21" i="37"/>
  <c r="AE21" i="37"/>
  <c r="N21" i="37"/>
  <c r="AF27" i="37"/>
  <c r="N41" i="37"/>
  <c r="AF52" i="37"/>
  <c r="AE52" i="37"/>
  <c r="N59" i="37"/>
  <c r="AF51" i="37"/>
  <c r="AF61" i="37"/>
  <c r="AE61" i="37"/>
  <c r="AE74" i="37"/>
  <c r="AF68" i="37"/>
  <c r="AE68" i="37"/>
  <c r="AF74" i="37"/>
  <c r="P6" i="37"/>
  <c r="Q32" i="37"/>
  <c r="P32" i="37"/>
  <c r="AF43" i="37"/>
  <c r="AE43" i="37"/>
  <c r="Q52" i="37"/>
  <c r="P52" i="37"/>
  <c r="AF75" i="37"/>
  <c r="AE75" i="37"/>
  <c r="AF6" i="37"/>
  <c r="M34" i="37"/>
  <c r="AE24" i="37"/>
  <c r="AF31" i="37"/>
  <c r="AE31" i="37"/>
  <c r="AE41" i="37"/>
  <c r="N24" i="37"/>
  <c r="N31" i="37"/>
  <c r="AF37" i="37"/>
  <c r="M40" i="37"/>
  <c r="AF41" i="37"/>
  <c r="AF48" i="37"/>
  <c r="AG41" i="37" s="1"/>
  <c r="P11" i="37"/>
  <c r="AF69" i="37"/>
  <c r="AE11" i="37"/>
  <c r="Q44" i="37"/>
  <c r="P44" i="37"/>
  <c r="AF46" i="37"/>
  <c r="P5" i="37"/>
  <c r="AF11" i="37"/>
  <c r="AE7" i="37"/>
  <c r="Q18" i="37"/>
  <c r="P18" i="37"/>
  <c r="AF10" i="37"/>
  <c r="AE10" i="37"/>
  <c r="AE20" i="37"/>
  <c r="AF5" i="37"/>
  <c r="N10" i="37"/>
  <c r="M77" i="37"/>
  <c r="AE36" i="37"/>
  <c r="P48" i="37"/>
  <c r="Q75" i="37"/>
  <c r="P75" i="37"/>
  <c r="AF17" i="37"/>
  <c r="AE17" i="37"/>
  <c r="AF25" i="37"/>
  <c r="AE28" i="37"/>
  <c r="AF28" i="37"/>
  <c r="AF32" i="37"/>
  <c r="Q39" i="37"/>
  <c r="AE45" i="37"/>
  <c r="Q48" i="37"/>
  <c r="R41" i="37" s="1"/>
  <c r="N50" i="37"/>
  <c r="N63" i="37"/>
  <c r="N14" i="37"/>
  <c r="N30" i="37"/>
  <c r="N49" i="37"/>
  <c r="N56" i="37"/>
  <c r="Q16" i="37"/>
  <c r="Q23" i="37"/>
  <c r="Q42" i="37"/>
  <c r="AE63" i="37"/>
  <c r="AE14" i="37"/>
  <c r="AE30" i="37"/>
  <c r="AE56" i="37"/>
  <c r="AD77" i="35"/>
  <c r="Z77" i="35"/>
  <c r="Y77" i="35"/>
  <c r="M18" i="34" s="1"/>
  <c r="O77" i="35"/>
  <c r="K77" i="35"/>
  <c r="AF76" i="35"/>
  <c r="V76" i="35"/>
  <c r="U76" i="35"/>
  <c r="O76" i="35"/>
  <c r="M76" i="35"/>
  <c r="AE76" i="35" s="1"/>
  <c r="K76" i="35"/>
  <c r="G76" i="35"/>
  <c r="AF75" i="35"/>
  <c r="AE75" i="35"/>
  <c r="V75" i="35"/>
  <c r="U75" i="35"/>
  <c r="O75" i="35"/>
  <c r="M75" i="35"/>
  <c r="N75" i="35" s="1"/>
  <c r="K75" i="35"/>
  <c r="G75" i="35"/>
  <c r="V74" i="35"/>
  <c r="M74" i="35" s="1"/>
  <c r="U74" i="35"/>
  <c r="O74" i="35"/>
  <c r="K74" i="35"/>
  <c r="G74" i="35"/>
  <c r="V73" i="35"/>
  <c r="M73" i="35" s="1"/>
  <c r="U73" i="35"/>
  <c r="O73" i="35"/>
  <c r="K73" i="35"/>
  <c r="G73" i="35"/>
  <c r="AF72" i="35"/>
  <c r="AE72" i="35"/>
  <c r="X72" i="35"/>
  <c r="W72" i="35"/>
  <c r="V72" i="35"/>
  <c r="O72" i="35"/>
  <c r="M72" i="35"/>
  <c r="N72" i="35" s="1"/>
  <c r="K72" i="35"/>
  <c r="G72" i="35"/>
  <c r="AD71" i="35"/>
  <c r="Z71" i="35"/>
  <c r="Y71" i="35"/>
  <c r="O71" i="35"/>
  <c r="K71" i="35"/>
  <c r="V70" i="35"/>
  <c r="M70" i="35" s="1"/>
  <c r="U70" i="35"/>
  <c r="O70" i="35"/>
  <c r="K70" i="35"/>
  <c r="G70" i="35"/>
  <c r="V69" i="35"/>
  <c r="M69" i="35" s="1"/>
  <c r="U69" i="35"/>
  <c r="O69" i="35"/>
  <c r="K69" i="35"/>
  <c r="G69" i="35"/>
  <c r="V68" i="35"/>
  <c r="M68" i="35" s="1"/>
  <c r="U68" i="35"/>
  <c r="O68" i="35"/>
  <c r="K68" i="35"/>
  <c r="G68" i="35"/>
  <c r="V67" i="35"/>
  <c r="M67" i="35" s="1"/>
  <c r="O67" i="35"/>
  <c r="K67" i="35"/>
  <c r="G67" i="35"/>
  <c r="AD66" i="35"/>
  <c r="Z66" i="35"/>
  <c r="I19" i="34" s="1"/>
  <c r="Y66" i="35"/>
  <c r="I18" i="34" s="1"/>
  <c r="O66" i="35"/>
  <c r="K66" i="35"/>
  <c r="V65" i="35"/>
  <c r="M65" i="35" s="1"/>
  <c r="U65" i="35"/>
  <c r="O65" i="35"/>
  <c r="K65" i="35"/>
  <c r="G65" i="35"/>
  <c r="V64" i="35"/>
  <c r="U64" i="35"/>
  <c r="O64" i="35"/>
  <c r="N64" i="35"/>
  <c r="Q64" i="35" s="1"/>
  <c r="M64" i="35"/>
  <c r="AF64" i="35" s="1"/>
  <c r="K64" i="35"/>
  <c r="G64" i="35"/>
  <c r="V63" i="35"/>
  <c r="U63" i="35"/>
  <c r="O63" i="35"/>
  <c r="M63" i="35"/>
  <c r="AF63" i="35" s="1"/>
  <c r="K63" i="35"/>
  <c r="G63" i="35"/>
  <c r="V62" i="35"/>
  <c r="U62" i="35"/>
  <c r="O62" i="35"/>
  <c r="M62" i="35"/>
  <c r="AF62" i="35" s="1"/>
  <c r="K62" i="35"/>
  <c r="G62" i="35"/>
  <c r="V61" i="35"/>
  <c r="U61" i="35"/>
  <c r="O61" i="35"/>
  <c r="M61" i="35"/>
  <c r="AF61" i="35" s="1"/>
  <c r="K61" i="35"/>
  <c r="G61" i="35"/>
  <c r="V60" i="35"/>
  <c r="U60" i="35"/>
  <c r="O60" i="35"/>
  <c r="M60" i="35"/>
  <c r="AE60" i="35" s="1"/>
  <c r="K60" i="35"/>
  <c r="G60" i="35"/>
  <c r="V59" i="35"/>
  <c r="O59" i="35"/>
  <c r="M59" i="35"/>
  <c r="AE59" i="35" s="1"/>
  <c r="K59" i="35"/>
  <c r="G59" i="35"/>
  <c r="AD58" i="35"/>
  <c r="Z58" i="35"/>
  <c r="Y58" i="35"/>
  <c r="O58" i="35"/>
  <c r="K58" i="35"/>
  <c r="V57" i="35"/>
  <c r="M57" i="35" s="1"/>
  <c r="U57" i="35"/>
  <c r="O57" i="35"/>
  <c r="K57" i="35"/>
  <c r="G57" i="35"/>
  <c r="V56" i="35"/>
  <c r="M56" i="35" s="1"/>
  <c r="U56" i="35"/>
  <c r="O56" i="35"/>
  <c r="K56" i="35"/>
  <c r="G56" i="35"/>
  <c r="V55" i="35"/>
  <c r="M55" i="35" s="1"/>
  <c r="U55" i="35"/>
  <c r="O55" i="35"/>
  <c r="K55" i="35"/>
  <c r="G55" i="35"/>
  <c r="V54" i="35"/>
  <c r="M54" i="35" s="1"/>
  <c r="U54" i="35"/>
  <c r="O54" i="35"/>
  <c r="K54" i="35"/>
  <c r="G54" i="35"/>
  <c r="V53" i="35"/>
  <c r="M53" i="35" s="1"/>
  <c r="U53" i="35"/>
  <c r="O53" i="35"/>
  <c r="K53" i="35"/>
  <c r="G53" i="35"/>
  <c r="V52" i="35"/>
  <c r="M52" i="35" s="1"/>
  <c r="U52" i="35"/>
  <c r="O52" i="35"/>
  <c r="K52" i="35"/>
  <c r="G52" i="35"/>
  <c r="V51" i="35"/>
  <c r="U51" i="35"/>
  <c r="O51" i="35"/>
  <c r="N51" i="35"/>
  <c r="Q51" i="35" s="1"/>
  <c r="M51" i="35"/>
  <c r="AF51" i="35" s="1"/>
  <c r="K51" i="35"/>
  <c r="G51" i="35"/>
  <c r="V50" i="35"/>
  <c r="U50" i="35"/>
  <c r="O50" i="35"/>
  <c r="M50" i="35"/>
  <c r="AF50" i="35" s="1"/>
  <c r="K50" i="35"/>
  <c r="G50" i="35"/>
  <c r="X49" i="35"/>
  <c r="W49" i="35"/>
  <c r="V49" i="35"/>
  <c r="M49" i="35" s="1"/>
  <c r="O49" i="35"/>
  <c r="K49" i="35"/>
  <c r="G49" i="35"/>
  <c r="AD48" i="35"/>
  <c r="Z48" i="35"/>
  <c r="L19" i="34" s="1"/>
  <c r="Y48" i="35"/>
  <c r="L18" i="34" s="1"/>
  <c r="O48" i="35"/>
  <c r="K48" i="35"/>
  <c r="V47" i="35"/>
  <c r="U47" i="35"/>
  <c r="O47" i="35"/>
  <c r="M47" i="35"/>
  <c r="AF47" i="35" s="1"/>
  <c r="K47" i="35"/>
  <c r="G47" i="35"/>
  <c r="V46" i="35"/>
  <c r="U46" i="35"/>
  <c r="O46" i="35"/>
  <c r="M46" i="35"/>
  <c r="AF46" i="35" s="1"/>
  <c r="K46" i="35"/>
  <c r="G46" i="35"/>
  <c r="V45" i="35"/>
  <c r="U45" i="35"/>
  <c r="O45" i="35"/>
  <c r="M45" i="35"/>
  <c r="AF45" i="35" s="1"/>
  <c r="K45" i="35"/>
  <c r="G45" i="35"/>
  <c r="V44" i="35"/>
  <c r="U44" i="35"/>
  <c r="O44" i="35"/>
  <c r="M44" i="35"/>
  <c r="AE44" i="35" s="1"/>
  <c r="K44" i="35"/>
  <c r="G44" i="35"/>
  <c r="AF43" i="35"/>
  <c r="AE43" i="35"/>
  <c r="V43" i="35"/>
  <c r="U43" i="35"/>
  <c r="O43" i="35"/>
  <c r="M43" i="35"/>
  <c r="N43" i="35" s="1"/>
  <c r="K43" i="35"/>
  <c r="G43" i="35"/>
  <c r="V42" i="35"/>
  <c r="M42" i="35" s="1"/>
  <c r="U42" i="35"/>
  <c r="O42" i="35"/>
  <c r="K42" i="35"/>
  <c r="G42" i="35"/>
  <c r="AF41" i="35"/>
  <c r="AE41" i="35"/>
  <c r="X41" i="35"/>
  <c r="W41" i="35"/>
  <c r="V41" i="35"/>
  <c r="O41" i="35"/>
  <c r="M41" i="35"/>
  <c r="K41" i="35"/>
  <c r="G41" i="35"/>
  <c r="AD40" i="35"/>
  <c r="Z40" i="35"/>
  <c r="Y40" i="35"/>
  <c r="O40" i="35"/>
  <c r="K40" i="35"/>
  <c r="V39" i="35"/>
  <c r="M39" i="35" s="1"/>
  <c r="U39" i="35"/>
  <c r="O39" i="35"/>
  <c r="K39" i="35"/>
  <c r="G39" i="35"/>
  <c r="V38" i="35"/>
  <c r="M38" i="35" s="1"/>
  <c r="U38" i="35"/>
  <c r="O38" i="35"/>
  <c r="K38" i="35"/>
  <c r="G38" i="35"/>
  <c r="V37" i="35"/>
  <c r="M37" i="35" s="1"/>
  <c r="U37" i="35"/>
  <c r="O37" i="35"/>
  <c r="K37" i="35"/>
  <c r="G37" i="35"/>
  <c r="V36" i="35"/>
  <c r="M36" i="35" s="1"/>
  <c r="U36" i="35"/>
  <c r="O36" i="35"/>
  <c r="K36" i="35"/>
  <c r="G36" i="35"/>
  <c r="X35" i="35"/>
  <c r="W35" i="35"/>
  <c r="V35" i="35"/>
  <c r="M35" i="35" s="1"/>
  <c r="O35" i="35"/>
  <c r="K35" i="35"/>
  <c r="G35" i="35"/>
  <c r="AD34" i="35"/>
  <c r="G21" i="34" s="1"/>
  <c r="Z34" i="35"/>
  <c r="G19" i="34" s="1"/>
  <c r="Y34" i="35"/>
  <c r="G18" i="34" s="1"/>
  <c r="O34" i="35"/>
  <c r="K34" i="35"/>
  <c r="V33" i="35"/>
  <c r="M33" i="35" s="1"/>
  <c r="U33" i="35"/>
  <c r="O33" i="35"/>
  <c r="K33" i="35"/>
  <c r="G33" i="35"/>
  <c r="V32" i="35"/>
  <c r="M32" i="35" s="1"/>
  <c r="U32" i="35"/>
  <c r="O32" i="35"/>
  <c r="K32" i="35"/>
  <c r="G32" i="35"/>
  <c r="X31" i="35"/>
  <c r="W31" i="35"/>
  <c r="V31" i="35"/>
  <c r="M31" i="35" s="1"/>
  <c r="U31" i="35"/>
  <c r="O31" i="35"/>
  <c r="K31" i="35"/>
  <c r="G31" i="35"/>
  <c r="V30" i="35"/>
  <c r="M30" i="35" s="1"/>
  <c r="U30" i="35"/>
  <c r="O30" i="35"/>
  <c r="K30" i="35"/>
  <c r="G30" i="35"/>
  <c r="V29" i="35"/>
  <c r="M29" i="35" s="1"/>
  <c r="U29" i="35"/>
  <c r="O29" i="35"/>
  <c r="K29" i="35"/>
  <c r="G29" i="35"/>
  <c r="V28" i="35"/>
  <c r="U28" i="35"/>
  <c r="O28" i="35"/>
  <c r="N28" i="35"/>
  <c r="M28" i="35"/>
  <c r="AF28" i="35" s="1"/>
  <c r="K28" i="35"/>
  <c r="G28" i="35"/>
  <c r="V27" i="35"/>
  <c r="U27" i="35"/>
  <c r="O27" i="35"/>
  <c r="M27" i="35"/>
  <c r="K27" i="35"/>
  <c r="G27" i="35"/>
  <c r="V26" i="35"/>
  <c r="U26" i="35"/>
  <c r="O26" i="35"/>
  <c r="M26" i="35"/>
  <c r="AF26" i="35" s="1"/>
  <c r="K26" i="35"/>
  <c r="G26" i="35"/>
  <c r="V25" i="35"/>
  <c r="U25" i="35"/>
  <c r="O25" i="35"/>
  <c r="M25" i="35"/>
  <c r="AF25" i="35" s="1"/>
  <c r="K25" i="35"/>
  <c r="G25" i="35"/>
  <c r="V24" i="35"/>
  <c r="U24" i="35"/>
  <c r="O24" i="35"/>
  <c r="M24" i="35"/>
  <c r="AE24" i="35" s="1"/>
  <c r="K24" i="35"/>
  <c r="G24" i="35"/>
  <c r="V23" i="35"/>
  <c r="O23" i="35"/>
  <c r="M23" i="35"/>
  <c r="AE23" i="35" s="1"/>
  <c r="K23" i="35"/>
  <c r="G23" i="35"/>
  <c r="AD22" i="35"/>
  <c r="Z22" i="35"/>
  <c r="Y22" i="35"/>
  <c r="O22" i="35"/>
  <c r="K22" i="35"/>
  <c r="V21" i="35"/>
  <c r="M21" i="35" s="1"/>
  <c r="U21" i="35"/>
  <c r="O21" i="35"/>
  <c r="K21" i="35"/>
  <c r="G21" i="35"/>
  <c r="V20" i="35"/>
  <c r="M20" i="35" s="1"/>
  <c r="U20" i="35"/>
  <c r="O20" i="35"/>
  <c r="K20" i="35"/>
  <c r="G20" i="35"/>
  <c r="X19" i="35"/>
  <c r="W19" i="35"/>
  <c r="V19" i="35"/>
  <c r="M19" i="35" s="1"/>
  <c r="U19" i="35"/>
  <c r="O19" i="35"/>
  <c r="K19" i="35"/>
  <c r="G19" i="35"/>
  <c r="V18" i="35"/>
  <c r="M18" i="35" s="1"/>
  <c r="U18" i="35"/>
  <c r="O18" i="35"/>
  <c r="K18" i="35"/>
  <c r="G18" i="35"/>
  <c r="V17" i="35"/>
  <c r="M17" i="35" s="1"/>
  <c r="U17" i="35"/>
  <c r="O17" i="35"/>
  <c r="K17" i="35"/>
  <c r="G17" i="35"/>
  <c r="V16" i="35"/>
  <c r="M16" i="35" s="1"/>
  <c r="U16" i="35"/>
  <c r="O16" i="35"/>
  <c r="K16" i="35"/>
  <c r="G16" i="35"/>
  <c r="V15" i="35"/>
  <c r="M15" i="35" s="1"/>
  <c r="U15" i="35"/>
  <c r="O15" i="35"/>
  <c r="K15" i="35"/>
  <c r="G15" i="35"/>
  <c r="V14" i="35"/>
  <c r="M14" i="35" s="1"/>
  <c r="U14" i="35"/>
  <c r="O14" i="35"/>
  <c r="K14" i="35"/>
  <c r="G14" i="35"/>
  <c r="V13" i="35"/>
  <c r="M13" i="35" s="1"/>
  <c r="O13" i="35"/>
  <c r="K13" i="35"/>
  <c r="G13" i="35"/>
  <c r="AD12" i="35"/>
  <c r="Z12" i="35"/>
  <c r="Y12" i="35"/>
  <c r="O12" i="35"/>
  <c r="K12" i="35"/>
  <c r="V11" i="35"/>
  <c r="U11" i="35"/>
  <c r="O11" i="35"/>
  <c r="M11" i="35"/>
  <c r="K11" i="35"/>
  <c r="G11" i="35"/>
  <c r="X10" i="35"/>
  <c r="W10" i="35"/>
  <c r="V10" i="35"/>
  <c r="M10" i="35" s="1"/>
  <c r="O10" i="35"/>
  <c r="K10" i="35"/>
  <c r="G10" i="35"/>
  <c r="AD9" i="35"/>
  <c r="Z9" i="35"/>
  <c r="Z2" i="35" s="1"/>
  <c r="Y9" i="35"/>
  <c r="Y2" i="35" s="1"/>
  <c r="O9" i="35"/>
  <c r="K9" i="35"/>
  <c r="V8" i="35"/>
  <c r="U8" i="35"/>
  <c r="O8" i="35"/>
  <c r="M8" i="35"/>
  <c r="K8" i="35"/>
  <c r="G8" i="35"/>
  <c r="V7" i="35"/>
  <c r="U7" i="35"/>
  <c r="O7" i="35"/>
  <c r="M7" i="35"/>
  <c r="AF7" i="35" s="1"/>
  <c r="K7" i="35"/>
  <c r="G7" i="35"/>
  <c r="V6" i="35"/>
  <c r="U6" i="35"/>
  <c r="O6" i="35"/>
  <c r="M6" i="35"/>
  <c r="AF6" i="35" s="1"/>
  <c r="K6" i="35"/>
  <c r="G6" i="35"/>
  <c r="V5" i="35"/>
  <c r="O5" i="35"/>
  <c r="M5" i="35"/>
  <c r="K5" i="35"/>
  <c r="G5" i="35"/>
  <c r="F1" i="35" s="1"/>
  <c r="F2" i="35" s="1"/>
  <c r="H2" i="35"/>
  <c r="H1" i="35"/>
  <c r="D1" i="35"/>
  <c r="M22" i="34"/>
  <c r="L22" i="34"/>
  <c r="K22" i="34"/>
  <c r="J22" i="34"/>
  <c r="I22" i="34"/>
  <c r="H22" i="34"/>
  <c r="G22" i="34"/>
  <c r="F22" i="34"/>
  <c r="E22" i="34"/>
  <c r="D22" i="34"/>
  <c r="M21" i="34"/>
  <c r="L21" i="34"/>
  <c r="K21" i="34"/>
  <c r="J21" i="34"/>
  <c r="I21" i="34"/>
  <c r="H21" i="34"/>
  <c r="F21" i="34"/>
  <c r="E21" i="34"/>
  <c r="D21" i="34"/>
  <c r="M20" i="34"/>
  <c r="L20" i="34"/>
  <c r="K20" i="34"/>
  <c r="J20" i="34"/>
  <c r="I20" i="34"/>
  <c r="H20" i="34"/>
  <c r="G20" i="34"/>
  <c r="F20" i="34"/>
  <c r="E20" i="34"/>
  <c r="D20" i="34"/>
  <c r="M19" i="34"/>
  <c r="K19" i="34"/>
  <c r="J19" i="34"/>
  <c r="H19" i="34"/>
  <c r="F19" i="34"/>
  <c r="E19" i="34"/>
  <c r="D19" i="34"/>
  <c r="K18" i="34"/>
  <c r="J18" i="34"/>
  <c r="H18" i="34"/>
  <c r="F18" i="34"/>
  <c r="E18" i="34"/>
  <c r="D18" i="34"/>
  <c r="M17" i="34"/>
  <c r="L17" i="34"/>
  <c r="K17" i="34"/>
  <c r="J17" i="34"/>
  <c r="I17" i="34"/>
  <c r="H17" i="34"/>
  <c r="G17" i="34"/>
  <c r="F17" i="34"/>
  <c r="E17" i="34"/>
  <c r="D17" i="34"/>
  <c r="M16" i="34"/>
  <c r="L16" i="34"/>
  <c r="K16" i="34"/>
  <c r="J16" i="34"/>
  <c r="I16" i="34"/>
  <c r="H16" i="34"/>
  <c r="G16" i="34"/>
  <c r="F16" i="34"/>
  <c r="E16" i="34"/>
  <c r="D16" i="34"/>
  <c r="M13" i="34"/>
  <c r="L13" i="34"/>
  <c r="K13" i="34"/>
  <c r="I6" i="34" s="1"/>
  <c r="J13" i="34"/>
  <c r="I13" i="34"/>
  <c r="H13" i="34"/>
  <c r="G13" i="34"/>
  <c r="F13" i="34"/>
  <c r="E13" i="34"/>
  <c r="D13" i="34"/>
  <c r="G6" i="34" s="1"/>
  <c r="M6" i="34"/>
  <c r="L6" i="34"/>
  <c r="K6" i="34"/>
  <c r="F3" i="34"/>
  <c r="C3" i="34"/>
  <c r="I7" i="40" l="1"/>
  <c r="K15" i="40"/>
  <c r="I8" i="40" s="1"/>
  <c r="G8" i="40"/>
  <c r="F8" i="40"/>
  <c r="E8" i="40"/>
  <c r="G7" i="40"/>
  <c r="F7" i="40"/>
  <c r="E7" i="40"/>
  <c r="E14" i="38"/>
  <c r="E15" i="38" s="1"/>
  <c r="Q12" i="39"/>
  <c r="R10" i="39" s="1"/>
  <c r="P12" i="39"/>
  <c r="G14" i="38"/>
  <c r="G15" i="38" s="1"/>
  <c r="Q34" i="39"/>
  <c r="R23" i="39" s="1"/>
  <c r="P34" i="39"/>
  <c r="Q42" i="39"/>
  <c r="R35" i="39" s="1"/>
  <c r="P42" i="39"/>
  <c r="K14" i="38"/>
  <c r="Q63" i="39"/>
  <c r="R52" i="39" s="1"/>
  <c r="P63" i="39"/>
  <c r="H14" i="38"/>
  <c r="H15" i="38" s="1"/>
  <c r="Q51" i="39"/>
  <c r="R43" i="39" s="1"/>
  <c r="P51" i="39"/>
  <c r="L14" i="38"/>
  <c r="L15" i="38" s="1"/>
  <c r="Q84" i="39"/>
  <c r="R78" i="39" s="1"/>
  <c r="P84" i="39"/>
  <c r="M14" i="38"/>
  <c r="M15" i="38" s="1"/>
  <c r="D14" i="38"/>
  <c r="Q9" i="39"/>
  <c r="R5" i="39" s="1"/>
  <c r="D2" i="39"/>
  <c r="P9" i="39"/>
  <c r="F14" i="38"/>
  <c r="F15" i="38" s="1"/>
  <c r="Q22" i="39"/>
  <c r="R13" i="39" s="1"/>
  <c r="P22" i="39"/>
  <c r="P71" i="39"/>
  <c r="Q71" i="39"/>
  <c r="R64" i="39" s="1"/>
  <c r="I14" i="38"/>
  <c r="I15" i="38" s="1"/>
  <c r="Q77" i="39"/>
  <c r="R72" i="39" s="1"/>
  <c r="P77" i="39"/>
  <c r="J14" i="38"/>
  <c r="J15" i="38" s="1"/>
  <c r="I3" i="36"/>
  <c r="F2" i="37"/>
  <c r="AE71" i="37"/>
  <c r="N71" i="37"/>
  <c r="AF71" i="37"/>
  <c r="AG67" i="37" s="1"/>
  <c r="Q30" i="37"/>
  <c r="P30" i="37"/>
  <c r="Q38" i="37"/>
  <c r="P38" i="37"/>
  <c r="P50" i="37"/>
  <c r="Q50" i="37"/>
  <c r="P54" i="37"/>
  <c r="Q54" i="37"/>
  <c r="P33" i="37"/>
  <c r="Q33" i="37"/>
  <c r="Q26" i="37"/>
  <c r="P26" i="37"/>
  <c r="P15" i="37"/>
  <c r="Q15" i="37"/>
  <c r="Q45" i="37"/>
  <c r="P45" i="37"/>
  <c r="P70" i="37"/>
  <c r="Q70" i="37"/>
  <c r="Q49" i="37"/>
  <c r="P49" i="37"/>
  <c r="Q7" i="37"/>
  <c r="P7" i="37"/>
  <c r="P29" i="37"/>
  <c r="Q29" i="37"/>
  <c r="Q41" i="37"/>
  <c r="P41" i="37"/>
  <c r="Q24" i="37"/>
  <c r="P24" i="37"/>
  <c r="Q14" i="37"/>
  <c r="P14" i="37"/>
  <c r="Q63" i="37"/>
  <c r="P63" i="37"/>
  <c r="Q59" i="37"/>
  <c r="P59" i="37"/>
  <c r="N34" i="37"/>
  <c r="AF34" i="37"/>
  <c r="AG23" i="37" s="1"/>
  <c r="AE34" i="37"/>
  <c r="AF22" i="37"/>
  <c r="AG13" i="37" s="1"/>
  <c r="AE22" i="37"/>
  <c r="N22" i="37"/>
  <c r="Q21" i="37"/>
  <c r="P21" i="37"/>
  <c r="Q47" i="37"/>
  <c r="P47" i="37"/>
  <c r="P36" i="37"/>
  <c r="Q36" i="37"/>
  <c r="AF12" i="37"/>
  <c r="AG10" i="37" s="1"/>
  <c r="AE12" i="37"/>
  <c r="N12" i="37"/>
  <c r="Q64" i="37"/>
  <c r="P64" i="37"/>
  <c r="Q67" i="37"/>
  <c r="P67" i="37"/>
  <c r="P57" i="37"/>
  <c r="Q57" i="37"/>
  <c r="AF58" i="37"/>
  <c r="AG49" i="37" s="1"/>
  <c r="N58" i="37"/>
  <c r="AE58" i="37"/>
  <c r="AF40" i="37"/>
  <c r="AG35" i="37" s="1"/>
  <c r="AE40" i="37"/>
  <c r="N40" i="37"/>
  <c r="AF66" i="37"/>
  <c r="AG59" i="37" s="1"/>
  <c r="AE66" i="37"/>
  <c r="N66" i="37"/>
  <c r="AF9" i="37"/>
  <c r="AG5" i="37" s="1"/>
  <c r="AE9" i="37"/>
  <c r="N9" i="37"/>
  <c r="Q55" i="37"/>
  <c r="P55" i="37"/>
  <c r="AF77" i="37"/>
  <c r="AG72" i="37" s="1"/>
  <c r="AE77" i="37"/>
  <c r="N77" i="37"/>
  <c r="Q56" i="37"/>
  <c r="P56" i="37"/>
  <c r="Q10" i="37"/>
  <c r="P10" i="37"/>
  <c r="Q31" i="37"/>
  <c r="P31" i="37"/>
  <c r="N17" i="35"/>
  <c r="AF17" i="35"/>
  <c r="AE17" i="35"/>
  <c r="N56" i="35"/>
  <c r="AF56" i="35"/>
  <c r="AE56" i="35"/>
  <c r="N67" i="35"/>
  <c r="M71" i="35"/>
  <c r="AF67" i="35"/>
  <c r="AE67" i="35"/>
  <c r="AF65" i="35"/>
  <c r="AE65" i="35"/>
  <c r="N65" i="35"/>
  <c r="N70" i="35"/>
  <c r="AF70" i="35"/>
  <c r="AE70" i="35"/>
  <c r="N74" i="35"/>
  <c r="AF74" i="35"/>
  <c r="AE74" i="35"/>
  <c r="M9" i="35"/>
  <c r="M48" i="35"/>
  <c r="AF52" i="35"/>
  <c r="AE52" i="35"/>
  <c r="N52" i="35"/>
  <c r="F6" i="34"/>
  <c r="N18" i="35"/>
  <c r="AF18" i="35"/>
  <c r="AE18" i="35"/>
  <c r="N20" i="35"/>
  <c r="AF20" i="35"/>
  <c r="AE20" i="35"/>
  <c r="N30" i="35"/>
  <c r="AF30" i="35"/>
  <c r="AE30" i="35"/>
  <c r="N36" i="35"/>
  <c r="AF36" i="35"/>
  <c r="AE36" i="35"/>
  <c r="N57" i="35"/>
  <c r="AF57" i="35"/>
  <c r="AE57" i="35"/>
  <c r="N68" i="35"/>
  <c r="AF68" i="35"/>
  <c r="AE68" i="35"/>
  <c r="Q28" i="35"/>
  <c r="P28" i="35"/>
  <c r="N38" i="35"/>
  <c r="AF38" i="35"/>
  <c r="AE38" i="35"/>
  <c r="N42" i="35"/>
  <c r="AF42" i="35"/>
  <c r="AE42" i="35"/>
  <c r="E6" i="34"/>
  <c r="Q43" i="35"/>
  <c r="P43" i="35"/>
  <c r="Q75" i="35"/>
  <c r="P75" i="35"/>
  <c r="AF14" i="35"/>
  <c r="AE14" i="35"/>
  <c r="N14" i="35"/>
  <c r="N16" i="35"/>
  <c r="AF16" i="35"/>
  <c r="AE16" i="35"/>
  <c r="N32" i="35"/>
  <c r="AF32" i="35"/>
  <c r="AE32" i="35"/>
  <c r="N55" i="35"/>
  <c r="AF55" i="35"/>
  <c r="AE55" i="35"/>
  <c r="AF11" i="35"/>
  <c r="AE11" i="35"/>
  <c r="N11" i="35"/>
  <c r="N54" i="35"/>
  <c r="AF54" i="35"/>
  <c r="AE54" i="35"/>
  <c r="I3" i="34"/>
  <c r="AF27" i="35"/>
  <c r="AE27" i="35"/>
  <c r="N27" i="35"/>
  <c r="N39" i="35"/>
  <c r="AF39" i="35"/>
  <c r="AE39" i="35"/>
  <c r="AF49" i="35"/>
  <c r="AE49" i="35"/>
  <c r="M58" i="35"/>
  <c r="N49" i="35"/>
  <c r="N15" i="35"/>
  <c r="AF15" i="35"/>
  <c r="AE15" i="35"/>
  <c r="N33" i="35"/>
  <c r="AF33" i="35"/>
  <c r="AE33" i="35"/>
  <c r="AF13" i="35"/>
  <c r="AE13" i="35"/>
  <c r="M22" i="35"/>
  <c r="N13" i="35"/>
  <c r="AF8" i="35"/>
  <c r="AE8" i="35"/>
  <c r="N8" i="35"/>
  <c r="M12" i="35"/>
  <c r="AF10" i="35"/>
  <c r="AE10" i="35"/>
  <c r="N10" i="35"/>
  <c r="N53" i="35"/>
  <c r="AF53" i="35"/>
  <c r="AE53" i="35"/>
  <c r="N19" i="35"/>
  <c r="AF19" i="35"/>
  <c r="AE19" i="35"/>
  <c r="N21" i="35"/>
  <c r="AF21" i="35"/>
  <c r="N35" i="35"/>
  <c r="AF35" i="35"/>
  <c r="M40" i="35"/>
  <c r="AE35" i="35"/>
  <c r="N37" i="35"/>
  <c r="AF37" i="35"/>
  <c r="AE37" i="35"/>
  <c r="N69" i="35"/>
  <c r="AF69" i="35"/>
  <c r="AE69" i="35"/>
  <c r="N73" i="35"/>
  <c r="AF73" i="35"/>
  <c r="M77" i="35"/>
  <c r="AE73" i="35"/>
  <c r="AE21" i="35"/>
  <c r="AF29" i="35"/>
  <c r="AE29" i="35"/>
  <c r="N29" i="35"/>
  <c r="N31" i="35"/>
  <c r="AF31" i="35"/>
  <c r="AE31" i="35"/>
  <c r="Q72" i="35"/>
  <c r="P72" i="35"/>
  <c r="AD2" i="35"/>
  <c r="N6" i="34" s="1"/>
  <c r="AF23" i="35"/>
  <c r="AF24" i="35"/>
  <c r="AF44" i="35"/>
  <c r="AF59" i="35"/>
  <c r="AF60" i="35"/>
  <c r="N47" i="35"/>
  <c r="N50" i="35"/>
  <c r="N63" i="35"/>
  <c r="N7" i="35"/>
  <c r="N26" i="35"/>
  <c r="N46" i="35"/>
  <c r="P51" i="35"/>
  <c r="N62" i="35"/>
  <c r="P64" i="35"/>
  <c r="N5" i="35"/>
  <c r="N6" i="35"/>
  <c r="N25" i="35"/>
  <c r="N45" i="35"/>
  <c r="N61" i="35"/>
  <c r="N23" i="35"/>
  <c r="N24" i="35"/>
  <c r="N41" i="35"/>
  <c r="N44" i="35"/>
  <c r="N59" i="35"/>
  <c r="N60" i="35"/>
  <c r="N76" i="35"/>
  <c r="AE28" i="35"/>
  <c r="M34" i="35"/>
  <c r="AE51" i="35"/>
  <c r="AE64" i="35"/>
  <c r="AE47" i="35"/>
  <c r="AE50" i="35"/>
  <c r="AE63" i="35"/>
  <c r="AE7" i="35"/>
  <c r="AE26" i="35"/>
  <c r="AE46" i="35"/>
  <c r="AE62" i="35"/>
  <c r="M66" i="35"/>
  <c r="AE5" i="35"/>
  <c r="AE6" i="35"/>
  <c r="AE25" i="35"/>
  <c r="AE45" i="35"/>
  <c r="AE61" i="35"/>
  <c r="AF5" i="35"/>
  <c r="F7" i="38" l="1"/>
  <c r="E7" i="38"/>
  <c r="G7" i="38"/>
  <c r="D15" i="38"/>
  <c r="K15" i="38"/>
  <c r="I8" i="38" s="1"/>
  <c r="I7" i="38"/>
  <c r="P22" i="37"/>
  <c r="F14" i="36"/>
  <c r="F15" i="36" s="1"/>
  <c r="Q22" i="37"/>
  <c r="R13" i="37" s="1"/>
  <c r="P34" i="37"/>
  <c r="Q34" i="37"/>
  <c r="R23" i="37" s="1"/>
  <c r="G14" i="36"/>
  <c r="G15" i="36" s="1"/>
  <c r="P77" i="37"/>
  <c r="M14" i="36"/>
  <c r="M15" i="36" s="1"/>
  <c r="Q77" i="37"/>
  <c r="R72" i="37" s="1"/>
  <c r="P12" i="37"/>
  <c r="E14" i="36"/>
  <c r="E15" i="36" s="1"/>
  <c r="Q12" i="37"/>
  <c r="R10" i="37" s="1"/>
  <c r="D2" i="37"/>
  <c r="P9" i="37"/>
  <c r="Q9" i="37"/>
  <c r="R5" i="37" s="1"/>
  <c r="D14" i="36"/>
  <c r="Q66" i="37"/>
  <c r="R59" i="37" s="1"/>
  <c r="P66" i="37"/>
  <c r="I14" i="36"/>
  <c r="I15" i="36" s="1"/>
  <c r="Q40" i="37"/>
  <c r="R35" i="37" s="1"/>
  <c r="K14" i="36"/>
  <c r="P40" i="37"/>
  <c r="Q71" i="37"/>
  <c r="R67" i="37" s="1"/>
  <c r="P71" i="37"/>
  <c r="J14" i="36"/>
  <c r="J15" i="36" s="1"/>
  <c r="Q58" i="37"/>
  <c r="R49" i="37" s="1"/>
  <c r="P58" i="37"/>
  <c r="H14" i="36"/>
  <c r="H15" i="36" s="1"/>
  <c r="Q41" i="35"/>
  <c r="P41" i="35"/>
  <c r="N58" i="35"/>
  <c r="AF58" i="35"/>
  <c r="AG49" i="35" s="1"/>
  <c r="AE58" i="35"/>
  <c r="Q54" i="35"/>
  <c r="P54" i="35"/>
  <c r="Q52" i="35"/>
  <c r="P52" i="35"/>
  <c r="Q24" i="35"/>
  <c r="P24" i="35"/>
  <c r="Q7" i="35"/>
  <c r="P7" i="35"/>
  <c r="Q13" i="35"/>
  <c r="P13" i="35"/>
  <c r="Q11" i="35"/>
  <c r="P11" i="35"/>
  <c r="Q14" i="35"/>
  <c r="P14" i="35"/>
  <c r="Q36" i="35"/>
  <c r="P36" i="35"/>
  <c r="Q23" i="35"/>
  <c r="P23" i="35"/>
  <c r="Q63" i="35"/>
  <c r="P63" i="35"/>
  <c r="P69" i="35"/>
  <c r="Q69" i="35"/>
  <c r="Q19" i="35"/>
  <c r="P19" i="35"/>
  <c r="N22" i="35"/>
  <c r="AE22" i="35"/>
  <c r="AF22" i="35"/>
  <c r="AG13" i="35" s="1"/>
  <c r="Q38" i="35"/>
  <c r="P38" i="35"/>
  <c r="P16" i="35"/>
  <c r="Q16" i="35"/>
  <c r="Q59" i="35"/>
  <c r="P59" i="35"/>
  <c r="Q44" i="35"/>
  <c r="P44" i="35"/>
  <c r="Q26" i="35"/>
  <c r="P26" i="35"/>
  <c r="Q61" i="35"/>
  <c r="P61" i="35"/>
  <c r="Q50" i="35"/>
  <c r="P50" i="35"/>
  <c r="P31" i="35"/>
  <c r="Q31" i="35"/>
  <c r="AF48" i="35"/>
  <c r="AG41" i="35" s="1"/>
  <c r="AE48" i="35"/>
  <c r="N48" i="35"/>
  <c r="Q45" i="35"/>
  <c r="P45" i="35"/>
  <c r="Q47" i="35"/>
  <c r="P47" i="35"/>
  <c r="Q29" i="35"/>
  <c r="P29" i="35"/>
  <c r="Q30" i="35"/>
  <c r="P30" i="35"/>
  <c r="AF9" i="35"/>
  <c r="AG5" i="35" s="1"/>
  <c r="AE9" i="35"/>
  <c r="N9" i="35"/>
  <c r="N71" i="35"/>
  <c r="AF71" i="35"/>
  <c r="AG67" i="35" s="1"/>
  <c r="AE71" i="35"/>
  <c r="Q25" i="35"/>
  <c r="P25" i="35"/>
  <c r="P37" i="35"/>
  <c r="Q37" i="35"/>
  <c r="Q53" i="35"/>
  <c r="P53" i="35"/>
  <c r="Q39" i="35"/>
  <c r="P39" i="35"/>
  <c r="Q67" i="35"/>
  <c r="P67" i="35"/>
  <c r="N34" i="35"/>
  <c r="AF34" i="35"/>
  <c r="AG23" i="35" s="1"/>
  <c r="AE34" i="35"/>
  <c r="Q6" i="35"/>
  <c r="P6" i="35"/>
  <c r="Q10" i="35"/>
  <c r="P10" i="35"/>
  <c r="Q27" i="35"/>
  <c r="P27" i="35"/>
  <c r="P55" i="35"/>
  <c r="Q55" i="35"/>
  <c r="Q5" i="35"/>
  <c r="P5" i="35"/>
  <c r="N40" i="35"/>
  <c r="AF40" i="35"/>
  <c r="AG35" i="35" s="1"/>
  <c r="AE40" i="35"/>
  <c r="P33" i="35"/>
  <c r="Q33" i="35"/>
  <c r="Q68" i="35"/>
  <c r="P68" i="35"/>
  <c r="Q20" i="35"/>
  <c r="P20" i="35"/>
  <c r="Q74" i="35"/>
  <c r="P74" i="35"/>
  <c r="N66" i="35"/>
  <c r="AF66" i="35"/>
  <c r="AG59" i="35" s="1"/>
  <c r="AE66" i="35"/>
  <c r="Q76" i="35"/>
  <c r="P76" i="35"/>
  <c r="Q56" i="35"/>
  <c r="P56" i="35"/>
  <c r="Q60" i="35"/>
  <c r="P60" i="35"/>
  <c r="Q62" i="35"/>
  <c r="P62" i="35"/>
  <c r="AF77" i="35"/>
  <c r="AG72" i="35" s="1"/>
  <c r="AE77" i="35"/>
  <c r="N77" i="35"/>
  <c r="Q35" i="35"/>
  <c r="P35" i="35"/>
  <c r="AF12" i="35"/>
  <c r="AG10" i="35" s="1"/>
  <c r="AE12" i="35"/>
  <c r="N12" i="35"/>
  <c r="Q32" i="35"/>
  <c r="P32" i="35"/>
  <c r="Q8" i="35"/>
  <c r="P8" i="35"/>
  <c r="Q15" i="35"/>
  <c r="P15" i="35"/>
  <c r="Q57" i="35"/>
  <c r="P57" i="35"/>
  <c r="Q18" i="35"/>
  <c r="P18" i="35"/>
  <c r="Q70" i="35"/>
  <c r="P70" i="35"/>
  <c r="Q46" i="35"/>
  <c r="P46" i="35"/>
  <c r="Q73" i="35"/>
  <c r="P73" i="35"/>
  <c r="Q21" i="35"/>
  <c r="P21" i="35"/>
  <c r="Q49" i="35"/>
  <c r="P49" i="35"/>
  <c r="Q42" i="35"/>
  <c r="P42" i="35"/>
  <c r="Q65" i="35"/>
  <c r="P65" i="35"/>
  <c r="P17" i="35"/>
  <c r="Q17" i="35"/>
  <c r="G8" i="38" l="1"/>
  <c r="E8" i="38"/>
  <c r="F8" i="38"/>
  <c r="E7" i="36"/>
  <c r="D15" i="36"/>
  <c r="G7" i="36"/>
  <c r="F7" i="36"/>
  <c r="I7" i="36"/>
  <c r="K15" i="36"/>
  <c r="I8" i="36" s="1"/>
  <c r="Q48" i="35"/>
  <c r="R41" i="35" s="1"/>
  <c r="P48" i="35"/>
  <c r="L14" i="34"/>
  <c r="L15" i="34" s="1"/>
  <c r="Q71" i="35"/>
  <c r="R67" i="35" s="1"/>
  <c r="P71" i="35"/>
  <c r="J14" i="34"/>
  <c r="J15" i="34" s="1"/>
  <c r="Q58" i="35"/>
  <c r="R49" i="35" s="1"/>
  <c r="P58" i="35"/>
  <c r="H14" i="34"/>
  <c r="H15" i="34" s="1"/>
  <c r="D2" i="35"/>
  <c r="Q9" i="35"/>
  <c r="R5" i="35" s="1"/>
  <c r="P9" i="35"/>
  <c r="D14" i="34"/>
  <c r="Q12" i="35"/>
  <c r="R10" i="35" s="1"/>
  <c r="P12" i="35"/>
  <c r="E14" i="34"/>
  <c r="E15" i="34" s="1"/>
  <c r="Q22" i="35"/>
  <c r="R13" i="35" s="1"/>
  <c r="P22" i="35"/>
  <c r="F14" i="34"/>
  <c r="F15" i="34" s="1"/>
  <c r="Q77" i="35"/>
  <c r="R72" i="35" s="1"/>
  <c r="P77" i="35"/>
  <c r="M14" i="34"/>
  <c r="M15" i="34" s="1"/>
  <c r="Q40" i="35"/>
  <c r="R35" i="35" s="1"/>
  <c r="P40" i="35"/>
  <c r="K14" i="34"/>
  <c r="I14" i="34"/>
  <c r="I15" i="34" s="1"/>
  <c r="Q66" i="35"/>
  <c r="R59" i="35" s="1"/>
  <c r="P66" i="35"/>
  <c r="Q34" i="35"/>
  <c r="R23" i="35" s="1"/>
  <c r="P34" i="35"/>
  <c r="G14" i="34"/>
  <c r="G15" i="34" s="1"/>
  <c r="G8" i="36" l="1"/>
  <c r="F8" i="36"/>
  <c r="E8" i="36"/>
  <c r="K15" i="34"/>
  <c r="I8" i="34" s="1"/>
  <c r="I7" i="34"/>
  <c r="E7" i="34"/>
  <c r="D15" i="34"/>
  <c r="F7" i="34"/>
  <c r="G7" i="34"/>
  <c r="E8" i="34" l="1"/>
  <c r="F8" i="34"/>
  <c r="G8" i="34"/>
  <c r="AD81" i="33" l="1"/>
  <c r="Z81" i="33"/>
  <c r="Y81" i="33"/>
  <c r="M18" i="32" s="1"/>
  <c r="O81" i="33"/>
  <c r="M81" i="33"/>
  <c r="N81" i="33" s="1"/>
  <c r="K81" i="33"/>
  <c r="V80" i="33"/>
  <c r="U80" i="33"/>
  <c r="P80" i="33"/>
  <c r="O80" i="33"/>
  <c r="N80" i="33"/>
  <c r="Q80" i="33" s="1"/>
  <c r="M80" i="33"/>
  <c r="K80" i="33"/>
  <c r="G80" i="33"/>
  <c r="AF79" i="33"/>
  <c r="V79" i="33"/>
  <c r="U79" i="33"/>
  <c r="O79" i="33"/>
  <c r="N79" i="33"/>
  <c r="M79" i="33"/>
  <c r="AE79" i="33" s="1"/>
  <c r="K79" i="33"/>
  <c r="G79" i="33"/>
  <c r="AF78" i="33"/>
  <c r="AE78" i="33"/>
  <c r="V78" i="33"/>
  <c r="U78" i="33"/>
  <c r="O78" i="33"/>
  <c r="N78" i="33"/>
  <c r="M78" i="33"/>
  <c r="K78" i="33"/>
  <c r="G78" i="33"/>
  <c r="AF77" i="33"/>
  <c r="AE77" i="33"/>
  <c r="V77" i="33"/>
  <c r="U77" i="33"/>
  <c r="O77" i="33"/>
  <c r="M77" i="33"/>
  <c r="N77" i="33" s="1"/>
  <c r="K77" i="33"/>
  <c r="G77" i="33"/>
  <c r="AF76" i="33"/>
  <c r="AE76" i="33"/>
  <c r="X76" i="33"/>
  <c r="W76" i="33"/>
  <c r="V76" i="33"/>
  <c r="O76" i="33"/>
  <c r="N76" i="33"/>
  <c r="M76" i="33"/>
  <c r="K76" i="33"/>
  <c r="G76" i="33"/>
  <c r="AF75" i="33"/>
  <c r="AE75" i="33"/>
  <c r="AD75" i="33"/>
  <c r="Z75" i="33"/>
  <c r="Y75" i="33"/>
  <c r="O75" i="33"/>
  <c r="N75" i="33"/>
  <c r="M75" i="33"/>
  <c r="K75" i="33"/>
  <c r="AF74" i="33"/>
  <c r="AE74" i="33"/>
  <c r="V74" i="33"/>
  <c r="U74" i="33"/>
  <c r="O74" i="33"/>
  <c r="M74" i="33"/>
  <c r="N74" i="33" s="1"/>
  <c r="K74" i="33"/>
  <c r="G74" i="33"/>
  <c r="AF73" i="33"/>
  <c r="AE73" i="33"/>
  <c r="V73" i="33"/>
  <c r="M73" i="33" s="1"/>
  <c r="N73" i="33" s="1"/>
  <c r="U73" i="33"/>
  <c r="O73" i="33"/>
  <c r="K73" i="33"/>
  <c r="G73" i="33"/>
  <c r="AF72" i="33"/>
  <c r="AE72" i="33"/>
  <c r="V72" i="33"/>
  <c r="M72" i="33" s="1"/>
  <c r="N72" i="33" s="1"/>
  <c r="P72" i="33" s="1"/>
  <c r="U72" i="33"/>
  <c r="Q72" i="33"/>
  <c r="O72" i="33"/>
  <c r="K72" i="33"/>
  <c r="G72" i="33"/>
  <c r="AG71" i="33"/>
  <c r="AF71" i="33"/>
  <c r="AE71" i="33"/>
  <c r="V71" i="33"/>
  <c r="M71" i="33" s="1"/>
  <c r="N71" i="33" s="1"/>
  <c r="P71" i="33" s="1"/>
  <c r="Q71" i="33"/>
  <c r="O71" i="33"/>
  <c r="K71" i="33"/>
  <c r="G71" i="33"/>
  <c r="AD70" i="33"/>
  <c r="I21" i="32" s="1"/>
  <c r="Z70" i="33"/>
  <c r="Y70" i="33"/>
  <c r="O70" i="33"/>
  <c r="K70" i="33"/>
  <c r="AF69" i="33"/>
  <c r="AE69" i="33"/>
  <c r="V69" i="33"/>
  <c r="M69" i="33" s="1"/>
  <c r="N69" i="33" s="1"/>
  <c r="U69" i="33"/>
  <c r="Q69" i="33"/>
  <c r="P69" i="33"/>
  <c r="O69" i="33"/>
  <c r="K69" i="33"/>
  <c r="G69" i="33"/>
  <c r="AE68" i="33"/>
  <c r="V68" i="33"/>
  <c r="M68" i="33" s="1"/>
  <c r="AF68" i="33" s="1"/>
  <c r="U68" i="33"/>
  <c r="Q68" i="33"/>
  <c r="P68" i="33"/>
  <c r="O68" i="33"/>
  <c r="N68" i="33"/>
  <c r="K68" i="33"/>
  <c r="G68" i="33"/>
  <c r="V67" i="33"/>
  <c r="U67" i="33"/>
  <c r="Q67" i="33"/>
  <c r="P67" i="33"/>
  <c r="O67" i="33"/>
  <c r="N67" i="33"/>
  <c r="M67" i="33"/>
  <c r="K67" i="33"/>
  <c r="G67" i="33"/>
  <c r="V66" i="33"/>
  <c r="U66" i="33"/>
  <c r="Q66" i="33"/>
  <c r="O66" i="33"/>
  <c r="N66" i="33"/>
  <c r="P66" i="33" s="1"/>
  <c r="M66" i="33"/>
  <c r="K66" i="33"/>
  <c r="G66" i="33"/>
  <c r="V65" i="33"/>
  <c r="U65" i="33"/>
  <c r="Q65" i="33"/>
  <c r="P65" i="33"/>
  <c r="O65" i="33"/>
  <c r="N65" i="33"/>
  <c r="M65" i="33"/>
  <c r="K65" i="33"/>
  <c r="G65" i="33"/>
  <c r="V64" i="33"/>
  <c r="U64" i="33"/>
  <c r="O64" i="33"/>
  <c r="N64" i="33"/>
  <c r="Q64" i="33" s="1"/>
  <c r="M64" i="33"/>
  <c r="K64" i="33"/>
  <c r="G64" i="33"/>
  <c r="V63" i="33"/>
  <c r="P63" i="33"/>
  <c r="O63" i="33"/>
  <c r="N63" i="33"/>
  <c r="Q63" i="33" s="1"/>
  <c r="M63" i="33"/>
  <c r="K63" i="33"/>
  <c r="G63" i="33"/>
  <c r="AD62" i="33"/>
  <c r="Z62" i="33"/>
  <c r="Y62" i="33"/>
  <c r="O62" i="33"/>
  <c r="M62" i="33"/>
  <c r="AE62" i="33" s="1"/>
  <c r="K62" i="33"/>
  <c r="AF61" i="33"/>
  <c r="AE61" i="33"/>
  <c r="V61" i="33"/>
  <c r="U61" i="33"/>
  <c r="O61" i="33"/>
  <c r="N61" i="33"/>
  <c r="M61" i="33"/>
  <c r="K61" i="33"/>
  <c r="G61" i="33"/>
  <c r="AF60" i="33"/>
  <c r="AE60" i="33"/>
  <c r="V60" i="33"/>
  <c r="U60" i="33"/>
  <c r="O60" i="33"/>
  <c r="M60" i="33"/>
  <c r="N60" i="33" s="1"/>
  <c r="K60" i="33"/>
  <c r="G60" i="33"/>
  <c r="AF59" i="33"/>
  <c r="AE59" i="33"/>
  <c r="X59" i="33"/>
  <c r="W59" i="33"/>
  <c r="V59" i="33"/>
  <c r="U59" i="33"/>
  <c r="O59" i="33"/>
  <c r="N59" i="33"/>
  <c r="M59" i="33"/>
  <c r="K59" i="33"/>
  <c r="G59" i="33"/>
  <c r="AF58" i="33"/>
  <c r="AE58" i="33"/>
  <c r="V58" i="33"/>
  <c r="U58" i="33"/>
  <c r="O58" i="33"/>
  <c r="M58" i="33"/>
  <c r="N58" i="33" s="1"/>
  <c r="K58" i="33"/>
  <c r="G58" i="33"/>
  <c r="AF57" i="33"/>
  <c r="AE57" i="33"/>
  <c r="V57" i="33"/>
  <c r="M57" i="33" s="1"/>
  <c r="N57" i="33" s="1"/>
  <c r="U57" i="33"/>
  <c r="O57" i="33"/>
  <c r="K57" i="33"/>
  <c r="G57" i="33"/>
  <c r="AF56" i="33"/>
  <c r="AE56" i="33"/>
  <c r="V56" i="33"/>
  <c r="M56" i="33" s="1"/>
  <c r="N56" i="33" s="1"/>
  <c r="P56" i="33" s="1"/>
  <c r="U56" i="33"/>
  <c r="Q56" i="33"/>
  <c r="O56" i="33"/>
  <c r="K56" i="33"/>
  <c r="G56" i="33"/>
  <c r="AF55" i="33"/>
  <c r="AE55" i="33"/>
  <c r="V55" i="33"/>
  <c r="M55" i="33" s="1"/>
  <c r="N55" i="33" s="1"/>
  <c r="U55" i="33"/>
  <c r="Q55" i="33"/>
  <c r="P55" i="33"/>
  <c r="O55" i="33"/>
  <c r="K55" i="33"/>
  <c r="G55" i="33"/>
  <c r="AF54" i="33"/>
  <c r="AE54" i="33"/>
  <c r="V54" i="33"/>
  <c r="M54" i="33" s="1"/>
  <c r="N54" i="33" s="1"/>
  <c r="U54" i="33"/>
  <c r="Q54" i="33"/>
  <c r="P54" i="33"/>
  <c r="O54" i="33"/>
  <c r="K54" i="33"/>
  <c r="G54" i="33"/>
  <c r="AE53" i="33"/>
  <c r="V53" i="33"/>
  <c r="M53" i="33" s="1"/>
  <c r="AF53" i="33" s="1"/>
  <c r="U53" i="33"/>
  <c r="O53" i="33"/>
  <c r="N53" i="33"/>
  <c r="Q53" i="33" s="1"/>
  <c r="K53" i="33"/>
  <c r="G53" i="33"/>
  <c r="V52" i="33"/>
  <c r="U52" i="33"/>
  <c r="O52" i="33"/>
  <c r="M52" i="33"/>
  <c r="N52" i="33" s="1"/>
  <c r="K52" i="33"/>
  <c r="G52" i="33"/>
  <c r="X51" i="33"/>
  <c r="W51" i="33"/>
  <c r="V51" i="33"/>
  <c r="M51" i="33" s="1"/>
  <c r="O51" i="33"/>
  <c r="K51" i="33"/>
  <c r="G51" i="33"/>
  <c r="AD50" i="33"/>
  <c r="Z50" i="33"/>
  <c r="Y50" i="33"/>
  <c r="O50" i="33"/>
  <c r="K50" i="33"/>
  <c r="V49" i="33"/>
  <c r="U49" i="33"/>
  <c r="Q49" i="33"/>
  <c r="P49" i="33"/>
  <c r="O49" i="33"/>
  <c r="N49" i="33"/>
  <c r="M49" i="33"/>
  <c r="K49" i="33"/>
  <c r="G49" i="33"/>
  <c r="V48" i="33"/>
  <c r="U48" i="33"/>
  <c r="Q48" i="33"/>
  <c r="O48" i="33"/>
  <c r="N48" i="33"/>
  <c r="P48" i="33" s="1"/>
  <c r="M48" i="33"/>
  <c r="K48" i="33"/>
  <c r="G48" i="33"/>
  <c r="V47" i="33"/>
  <c r="U47" i="33"/>
  <c r="Q47" i="33"/>
  <c r="P47" i="33"/>
  <c r="O47" i="33"/>
  <c r="N47" i="33"/>
  <c r="M47" i="33"/>
  <c r="K47" i="33"/>
  <c r="G47" i="33"/>
  <c r="V46" i="33"/>
  <c r="U46" i="33"/>
  <c r="O46" i="33"/>
  <c r="N46" i="33"/>
  <c r="Q46" i="33" s="1"/>
  <c r="M46" i="33"/>
  <c r="K46" i="33"/>
  <c r="G46" i="33"/>
  <c r="AF45" i="33"/>
  <c r="V45" i="33"/>
  <c r="U45" i="33"/>
  <c r="O45" i="33"/>
  <c r="N45" i="33"/>
  <c r="M45" i="33"/>
  <c r="AE45" i="33" s="1"/>
  <c r="K45" i="33"/>
  <c r="G45" i="33"/>
  <c r="AF44" i="33"/>
  <c r="AE44" i="33"/>
  <c r="V44" i="33"/>
  <c r="U44" i="33"/>
  <c r="O44" i="33"/>
  <c r="N44" i="33"/>
  <c r="M44" i="33"/>
  <c r="K44" i="33"/>
  <c r="G44" i="33"/>
  <c r="AF43" i="33"/>
  <c r="AE43" i="33"/>
  <c r="X43" i="33"/>
  <c r="W43" i="33"/>
  <c r="V43" i="33"/>
  <c r="P43" i="33"/>
  <c r="O43" i="33"/>
  <c r="N43" i="33"/>
  <c r="Q43" i="33" s="1"/>
  <c r="M43" i="33"/>
  <c r="M50" i="33" s="1"/>
  <c r="AE50" i="33" s="1"/>
  <c r="K43" i="33"/>
  <c r="G43" i="33"/>
  <c r="AD42" i="33"/>
  <c r="Z42" i="33"/>
  <c r="Y42" i="33"/>
  <c r="O42" i="33"/>
  <c r="M42" i="33"/>
  <c r="AE42" i="33" s="1"/>
  <c r="K42" i="33"/>
  <c r="AF41" i="33"/>
  <c r="AE41" i="33"/>
  <c r="V41" i="33"/>
  <c r="U41" i="33"/>
  <c r="O41" i="33"/>
  <c r="N41" i="33"/>
  <c r="M41" i="33"/>
  <c r="K41" i="33"/>
  <c r="G41" i="33"/>
  <c r="AF40" i="33"/>
  <c r="AE40" i="33"/>
  <c r="X40" i="33"/>
  <c r="W40" i="33"/>
  <c r="V40" i="33"/>
  <c r="U40" i="33"/>
  <c r="O40" i="33"/>
  <c r="N40" i="33"/>
  <c r="M40" i="33"/>
  <c r="K40" i="33"/>
  <c r="G40" i="33"/>
  <c r="AF39" i="33"/>
  <c r="AE39" i="33"/>
  <c r="V39" i="33"/>
  <c r="U39" i="33"/>
  <c r="O39" i="33"/>
  <c r="N39" i="33"/>
  <c r="M39" i="33"/>
  <c r="K39" i="33"/>
  <c r="G39" i="33"/>
  <c r="AF38" i="33"/>
  <c r="AE38" i="33"/>
  <c r="V38" i="33"/>
  <c r="U38" i="33"/>
  <c r="O38" i="33"/>
  <c r="M38" i="33"/>
  <c r="N38" i="33" s="1"/>
  <c r="K38" i="33"/>
  <c r="G38" i="33"/>
  <c r="AF37" i="33"/>
  <c r="AE37" i="33"/>
  <c r="V37" i="33"/>
  <c r="M37" i="33" s="1"/>
  <c r="N37" i="33" s="1"/>
  <c r="U37" i="33"/>
  <c r="O37" i="33"/>
  <c r="K37" i="33"/>
  <c r="G37" i="33"/>
  <c r="AF36" i="33"/>
  <c r="AE36" i="33"/>
  <c r="X36" i="33"/>
  <c r="W36" i="33"/>
  <c r="V36" i="33"/>
  <c r="O36" i="33"/>
  <c r="N36" i="33"/>
  <c r="M36" i="33"/>
  <c r="K36" i="33"/>
  <c r="G36" i="33"/>
  <c r="AF35" i="33"/>
  <c r="AG24" i="33" s="1"/>
  <c r="AE35" i="33"/>
  <c r="AD35" i="33"/>
  <c r="G21" i="32" s="1"/>
  <c r="Z35" i="33"/>
  <c r="Y35" i="33"/>
  <c r="O35" i="33"/>
  <c r="N35" i="33"/>
  <c r="M35" i="33"/>
  <c r="K35" i="33"/>
  <c r="AF34" i="33"/>
  <c r="AE34" i="33"/>
  <c r="V34" i="33"/>
  <c r="M34" i="33" s="1"/>
  <c r="N34" i="33" s="1"/>
  <c r="U34" i="33"/>
  <c r="O34" i="33"/>
  <c r="K34" i="33"/>
  <c r="G34" i="33"/>
  <c r="AF33" i="33"/>
  <c r="AE33" i="33"/>
  <c r="V33" i="33"/>
  <c r="M33" i="33" s="1"/>
  <c r="N33" i="33" s="1"/>
  <c r="P33" i="33" s="1"/>
  <c r="U33" i="33"/>
  <c r="Q33" i="33"/>
  <c r="O33" i="33"/>
  <c r="K33" i="33"/>
  <c r="G33" i="33"/>
  <c r="AF32" i="33"/>
  <c r="AE32" i="33"/>
  <c r="X32" i="33"/>
  <c r="W32" i="33"/>
  <c r="V32" i="33"/>
  <c r="M32" i="33" s="1"/>
  <c r="N32" i="33" s="1"/>
  <c r="U32" i="33"/>
  <c r="O32" i="33"/>
  <c r="K32" i="33"/>
  <c r="G32" i="33"/>
  <c r="AF31" i="33"/>
  <c r="AE31" i="33"/>
  <c r="V31" i="33"/>
  <c r="M31" i="33" s="1"/>
  <c r="N31" i="33" s="1"/>
  <c r="P31" i="33" s="1"/>
  <c r="U31" i="33"/>
  <c r="Q31" i="33"/>
  <c r="O31" i="33"/>
  <c r="K31" i="33"/>
  <c r="G31" i="33"/>
  <c r="AF30" i="33"/>
  <c r="AE30" i="33"/>
  <c r="V30" i="33"/>
  <c r="M30" i="33" s="1"/>
  <c r="N30" i="33" s="1"/>
  <c r="U30" i="33"/>
  <c r="Q30" i="33"/>
  <c r="P30" i="33"/>
  <c r="O30" i="33"/>
  <c r="K30" i="33"/>
  <c r="G30" i="33"/>
  <c r="AF29" i="33"/>
  <c r="AE29" i="33"/>
  <c r="V29" i="33"/>
  <c r="M29" i="33" s="1"/>
  <c r="N29" i="33" s="1"/>
  <c r="U29" i="33"/>
  <c r="Q29" i="33"/>
  <c r="P29" i="33"/>
  <c r="O29" i="33"/>
  <c r="K29" i="33"/>
  <c r="G29" i="33"/>
  <c r="AE28" i="33"/>
  <c r="V28" i="33"/>
  <c r="M28" i="33" s="1"/>
  <c r="AF28" i="33" s="1"/>
  <c r="U28" i="33"/>
  <c r="Q28" i="33"/>
  <c r="P28" i="33"/>
  <c r="O28" i="33"/>
  <c r="N28" i="33"/>
  <c r="K28" i="33"/>
  <c r="G28" i="33"/>
  <c r="V27" i="33"/>
  <c r="U27" i="33"/>
  <c r="O27" i="33"/>
  <c r="N27" i="33"/>
  <c r="Q27" i="33" s="1"/>
  <c r="M27" i="33"/>
  <c r="K27" i="33"/>
  <c r="G27" i="33"/>
  <c r="V26" i="33"/>
  <c r="U26" i="33"/>
  <c r="Q26" i="33"/>
  <c r="P26" i="33"/>
  <c r="O26" i="33"/>
  <c r="N26" i="33"/>
  <c r="M26" i="33"/>
  <c r="K26" i="33"/>
  <c r="G26" i="33"/>
  <c r="V25" i="33"/>
  <c r="U25" i="33"/>
  <c r="Q25" i="33"/>
  <c r="P25" i="33"/>
  <c r="O25" i="33"/>
  <c r="N25" i="33"/>
  <c r="M25" i="33"/>
  <c r="K25" i="33"/>
  <c r="G25" i="33"/>
  <c r="V24" i="33"/>
  <c r="Q24" i="33"/>
  <c r="P24" i="33"/>
  <c r="O24" i="33"/>
  <c r="N24" i="33"/>
  <c r="M24" i="33"/>
  <c r="K24" i="33"/>
  <c r="G24" i="33"/>
  <c r="AD23" i="33"/>
  <c r="Z23" i="33"/>
  <c r="Y23" i="33"/>
  <c r="O23" i="33"/>
  <c r="M23" i="33"/>
  <c r="N23" i="33" s="1"/>
  <c r="K23" i="33"/>
  <c r="F13" i="32" s="1"/>
  <c r="AF22" i="33"/>
  <c r="V22" i="33"/>
  <c r="U22" i="33"/>
  <c r="O22" i="33"/>
  <c r="N22" i="33"/>
  <c r="M22" i="33"/>
  <c r="AE22" i="33" s="1"/>
  <c r="K22" i="33"/>
  <c r="G22" i="33"/>
  <c r="AF21" i="33"/>
  <c r="AE21" i="33"/>
  <c r="V21" i="33"/>
  <c r="U21" i="33"/>
  <c r="O21" i="33"/>
  <c r="N21" i="33"/>
  <c r="M21" i="33"/>
  <c r="K21" i="33"/>
  <c r="G21" i="33"/>
  <c r="AF20" i="33"/>
  <c r="AE20" i="33"/>
  <c r="X20" i="33"/>
  <c r="W20" i="33"/>
  <c r="V20" i="33"/>
  <c r="U20" i="33"/>
  <c r="O20" i="33"/>
  <c r="N20" i="33"/>
  <c r="M20" i="33"/>
  <c r="K20" i="33"/>
  <c r="G20" i="33"/>
  <c r="AF19" i="33"/>
  <c r="AE19" i="33"/>
  <c r="V19" i="33"/>
  <c r="U19" i="33"/>
  <c r="O19" i="33"/>
  <c r="N19" i="33"/>
  <c r="M19" i="33"/>
  <c r="K19" i="33"/>
  <c r="G19" i="33"/>
  <c r="AF18" i="33"/>
  <c r="AE18" i="33"/>
  <c r="V18" i="33"/>
  <c r="U18" i="33"/>
  <c r="O18" i="33"/>
  <c r="M18" i="33"/>
  <c r="N18" i="33" s="1"/>
  <c r="K18" i="33"/>
  <c r="G18" i="33"/>
  <c r="AE17" i="33"/>
  <c r="V17" i="33"/>
  <c r="U17" i="33"/>
  <c r="O17" i="33"/>
  <c r="M17" i="33"/>
  <c r="N17" i="33" s="1"/>
  <c r="K17" i="33"/>
  <c r="G17" i="33"/>
  <c r="AF16" i="33"/>
  <c r="AE16" i="33"/>
  <c r="V16" i="33"/>
  <c r="M16" i="33" s="1"/>
  <c r="N16" i="33" s="1"/>
  <c r="P16" i="33" s="1"/>
  <c r="U16" i="33"/>
  <c r="Q16" i="33"/>
  <c r="O16" i="33"/>
  <c r="K16" i="33"/>
  <c r="G16" i="33"/>
  <c r="AF15" i="33"/>
  <c r="AE15" i="33"/>
  <c r="V15" i="33"/>
  <c r="M15" i="33" s="1"/>
  <c r="N15" i="33" s="1"/>
  <c r="U15" i="33"/>
  <c r="Q15" i="33"/>
  <c r="P15" i="33"/>
  <c r="O15" i="33"/>
  <c r="K15" i="33"/>
  <c r="G15" i="33"/>
  <c r="AF14" i="33"/>
  <c r="AE14" i="33"/>
  <c r="V14" i="33"/>
  <c r="M14" i="33" s="1"/>
  <c r="N14" i="33" s="1"/>
  <c r="Q14" i="33"/>
  <c r="P14" i="33"/>
  <c r="O14" i="33"/>
  <c r="K14" i="33"/>
  <c r="G14" i="33"/>
  <c r="AD13" i="33"/>
  <c r="Z13" i="33"/>
  <c r="E19" i="32" s="1"/>
  <c r="Y13" i="33"/>
  <c r="O13" i="33"/>
  <c r="K13" i="33"/>
  <c r="AF12" i="33"/>
  <c r="AE12" i="33"/>
  <c r="V12" i="33"/>
  <c r="M12" i="33" s="1"/>
  <c r="U12" i="33"/>
  <c r="Q12" i="33"/>
  <c r="P12" i="33"/>
  <c r="O12" i="33"/>
  <c r="N12" i="33"/>
  <c r="K12" i="33"/>
  <c r="G12" i="33"/>
  <c r="AF11" i="33"/>
  <c r="AE11" i="33"/>
  <c r="X11" i="33"/>
  <c r="W11" i="33"/>
  <c r="V11" i="33"/>
  <c r="M11" i="33" s="1"/>
  <c r="O11" i="33"/>
  <c r="K11" i="33"/>
  <c r="G11" i="33"/>
  <c r="AD10" i="33"/>
  <c r="AD2" i="33" s="1"/>
  <c r="Z10" i="33"/>
  <c r="Y10" i="33"/>
  <c r="D18" i="32" s="1"/>
  <c r="O10" i="33"/>
  <c r="K10" i="33"/>
  <c r="AF9" i="33"/>
  <c r="AE9" i="33"/>
  <c r="V9" i="33"/>
  <c r="M9" i="33" s="1"/>
  <c r="U9" i="33"/>
  <c r="Q9" i="33"/>
  <c r="P9" i="33"/>
  <c r="O9" i="33"/>
  <c r="N9" i="33"/>
  <c r="K9" i="33"/>
  <c r="G9" i="33"/>
  <c r="AE8" i="33"/>
  <c r="X8" i="33"/>
  <c r="W8" i="33"/>
  <c r="V8" i="33"/>
  <c r="M8" i="33" s="1"/>
  <c r="U8" i="33"/>
  <c r="O8" i="33"/>
  <c r="K8" i="33"/>
  <c r="G8" i="33"/>
  <c r="AF7" i="33"/>
  <c r="AE7" i="33"/>
  <c r="V7" i="33"/>
  <c r="M7" i="33" s="1"/>
  <c r="U7" i="33"/>
  <c r="Q7" i="33"/>
  <c r="O7" i="33"/>
  <c r="N7" i="33"/>
  <c r="P7" i="33" s="1"/>
  <c r="K7" i="33"/>
  <c r="G7" i="33"/>
  <c r="AE6" i="33"/>
  <c r="V6" i="33"/>
  <c r="U6" i="33"/>
  <c r="O6" i="33"/>
  <c r="N6" i="33"/>
  <c r="P6" i="33" s="1"/>
  <c r="M6" i="33"/>
  <c r="AF6" i="33" s="1"/>
  <c r="K6" i="33"/>
  <c r="G6" i="33"/>
  <c r="AE5" i="33"/>
  <c r="V5" i="33"/>
  <c r="O5" i="33"/>
  <c r="N5" i="33"/>
  <c r="P5" i="33" s="1"/>
  <c r="M5" i="33"/>
  <c r="K5" i="33"/>
  <c r="G5" i="33"/>
  <c r="Y2" i="33"/>
  <c r="K6" i="32" s="1"/>
  <c r="H2" i="33"/>
  <c r="H1" i="33"/>
  <c r="F1" i="33"/>
  <c r="F2" i="33" s="1"/>
  <c r="D1" i="33"/>
  <c r="M22" i="32"/>
  <c r="L22" i="32"/>
  <c r="K22" i="32"/>
  <c r="J22" i="32"/>
  <c r="I22" i="32"/>
  <c r="H22" i="32"/>
  <c r="G22" i="32"/>
  <c r="F22" i="32"/>
  <c r="E22" i="32"/>
  <c r="D22" i="32"/>
  <c r="M21" i="32"/>
  <c r="L21" i="32"/>
  <c r="K21" i="32"/>
  <c r="J21" i="32"/>
  <c r="H21" i="32"/>
  <c r="F21" i="32"/>
  <c r="E21" i="32"/>
  <c r="D21" i="32"/>
  <c r="M20" i="32"/>
  <c r="L20" i="32"/>
  <c r="K20" i="32"/>
  <c r="J20" i="32"/>
  <c r="I20" i="32"/>
  <c r="H20" i="32"/>
  <c r="G20" i="32"/>
  <c r="F20" i="32"/>
  <c r="E20" i="32"/>
  <c r="D20" i="32"/>
  <c r="M19" i="32"/>
  <c r="L19" i="32"/>
  <c r="K19" i="32"/>
  <c r="J19" i="32"/>
  <c r="I19" i="32"/>
  <c r="H19" i="32"/>
  <c r="G19" i="32"/>
  <c r="F19" i="32"/>
  <c r="L18" i="32"/>
  <c r="K18" i="32"/>
  <c r="J18" i="32"/>
  <c r="I18" i="32"/>
  <c r="H18" i="32"/>
  <c r="G18" i="32"/>
  <c r="F18" i="32"/>
  <c r="E18" i="32"/>
  <c r="M17" i="32"/>
  <c r="L17" i="32"/>
  <c r="K17" i="32"/>
  <c r="J17" i="32"/>
  <c r="I17" i="32"/>
  <c r="H17" i="32"/>
  <c r="G17" i="32"/>
  <c r="F17" i="32"/>
  <c r="E17" i="32"/>
  <c r="D17" i="32"/>
  <c r="M16" i="32"/>
  <c r="L16" i="32"/>
  <c r="K16" i="32"/>
  <c r="J16" i="32"/>
  <c r="I16" i="32"/>
  <c r="H16" i="32"/>
  <c r="G16" i="32"/>
  <c r="F16" i="32"/>
  <c r="E16" i="32"/>
  <c r="D16" i="32"/>
  <c r="J14" i="32"/>
  <c r="J15" i="32" s="1"/>
  <c r="M13" i="32"/>
  <c r="L13" i="32"/>
  <c r="K13" i="32"/>
  <c r="I6" i="32" s="1"/>
  <c r="J13" i="32"/>
  <c r="I13" i="32"/>
  <c r="H13" i="32"/>
  <c r="G13" i="32"/>
  <c r="E13" i="32"/>
  <c r="D13" i="32"/>
  <c r="N6" i="32"/>
  <c r="M6" i="32"/>
  <c r="G6" i="32"/>
  <c r="F6" i="32"/>
  <c r="E6" i="32"/>
  <c r="I3" i="32"/>
  <c r="F3" i="32"/>
  <c r="C3" i="32"/>
  <c r="F14" i="32" l="1"/>
  <c r="F15" i="32" s="1"/>
  <c r="Q23" i="33"/>
  <c r="R14" i="33" s="1"/>
  <c r="P23" i="33"/>
  <c r="Q52" i="33"/>
  <c r="P52" i="33"/>
  <c r="Q81" i="33"/>
  <c r="R76" i="33" s="1"/>
  <c r="P81" i="33"/>
  <c r="M14" i="32"/>
  <c r="M15" i="32" s="1"/>
  <c r="Q6" i="33"/>
  <c r="P27" i="33"/>
  <c r="AF62" i="33"/>
  <c r="AG51" i="33" s="1"/>
  <c r="Q5" i="33"/>
  <c r="P46" i="33"/>
  <c r="P53" i="33"/>
  <c r="P64" i="33"/>
  <c r="AF17" i="33"/>
  <c r="AF42" i="33"/>
  <c r="AG36" i="33" s="1"/>
  <c r="N42" i="33"/>
  <c r="N62" i="33"/>
  <c r="P62" i="33" s="1"/>
  <c r="M10" i="33"/>
  <c r="AF5" i="33"/>
  <c r="AF8" i="33"/>
  <c r="N8" i="33"/>
  <c r="D19" i="32"/>
  <c r="Z2" i="33"/>
  <c r="L6" i="32" s="1"/>
  <c r="N11" i="33"/>
  <c r="M13" i="33"/>
  <c r="P17" i="33"/>
  <c r="Q17" i="33"/>
  <c r="Q18" i="33"/>
  <c r="P18" i="33"/>
  <c r="Q19" i="33"/>
  <c r="P19" i="33"/>
  <c r="Q20" i="33"/>
  <c r="P20" i="33"/>
  <c r="Q21" i="33"/>
  <c r="P21" i="33"/>
  <c r="Q22" i="33"/>
  <c r="P22" i="33"/>
  <c r="AE23" i="33"/>
  <c r="AF23" i="33"/>
  <c r="AG14" i="33" s="1"/>
  <c r="AF24" i="33"/>
  <c r="AE24" i="33"/>
  <c r="AF25" i="33"/>
  <c r="AE25" i="33"/>
  <c r="AF26" i="33"/>
  <c r="AE26" i="33"/>
  <c r="AF27" i="33"/>
  <c r="AE27" i="33"/>
  <c r="P32" i="33"/>
  <c r="Q32" i="33"/>
  <c r="P34" i="33"/>
  <c r="Q34" i="33"/>
  <c r="Q35" i="33"/>
  <c r="R24" i="33" s="1"/>
  <c r="P35" i="33"/>
  <c r="G14" i="32"/>
  <c r="G15" i="32" s="1"/>
  <c r="Q36" i="33"/>
  <c r="P36" i="33"/>
  <c r="P37" i="33"/>
  <c r="Q37" i="33"/>
  <c r="Q38" i="33"/>
  <c r="P38" i="33"/>
  <c r="Q39" i="33"/>
  <c r="P39" i="33"/>
  <c r="Q40" i="33"/>
  <c r="P40" i="33"/>
  <c r="Q41" i="33"/>
  <c r="P41" i="33"/>
  <c r="N50" i="33"/>
  <c r="AF50" i="33"/>
  <c r="AG43" i="33" s="1"/>
  <c r="Q44" i="33"/>
  <c r="P44" i="33"/>
  <c r="Q45" i="33"/>
  <c r="P45" i="33"/>
  <c r="AE46" i="33"/>
  <c r="AF46" i="33"/>
  <c r="AF47" i="33"/>
  <c r="AE47" i="33"/>
  <c r="AF48" i="33"/>
  <c r="AE48" i="33"/>
  <c r="AF49" i="33"/>
  <c r="AE49" i="33"/>
  <c r="AF51" i="33"/>
  <c r="N51" i="33"/>
  <c r="AE51" i="33"/>
  <c r="AF52" i="33"/>
  <c r="AE52" i="33"/>
  <c r="P57" i="33"/>
  <c r="Q57" i="33"/>
  <c r="Q58" i="33"/>
  <c r="P58" i="33"/>
  <c r="Q59" i="33"/>
  <c r="P59" i="33"/>
  <c r="Q60" i="33"/>
  <c r="P60" i="33"/>
  <c r="Q61" i="33"/>
  <c r="P61" i="33"/>
  <c r="H14" i="32"/>
  <c r="H15" i="32" s="1"/>
  <c r="AE63" i="33"/>
  <c r="M70" i="33"/>
  <c r="AF63" i="33"/>
  <c r="AE64" i="33"/>
  <c r="AF64" i="33"/>
  <c r="AF65" i="33"/>
  <c r="AE65" i="33"/>
  <c r="AF66" i="33"/>
  <c r="AE66" i="33"/>
  <c r="AF67" i="33"/>
  <c r="AE67" i="33"/>
  <c r="P73" i="33"/>
  <c r="Q73" i="33"/>
  <c r="Q74" i="33"/>
  <c r="P74" i="33"/>
  <c r="Q75" i="33"/>
  <c r="R71" i="33" s="1"/>
  <c r="P75" i="33"/>
  <c r="Q76" i="33"/>
  <c r="P76" i="33"/>
  <c r="Q77" i="33"/>
  <c r="P77" i="33"/>
  <c r="Q78" i="33"/>
  <c r="P78" i="33"/>
  <c r="Q79" i="33"/>
  <c r="P79" i="33"/>
  <c r="AE80" i="33"/>
  <c r="AF80" i="33"/>
  <c r="AF81" i="33"/>
  <c r="AG76" i="33" s="1"/>
  <c r="AE81" i="33"/>
  <c r="P51" i="33" l="1"/>
  <c r="Q51" i="33"/>
  <c r="Q8" i="33"/>
  <c r="P8" i="33"/>
  <c r="P50" i="33"/>
  <c r="L14" i="32"/>
  <c r="L15" i="32" s="1"/>
  <c r="Q50" i="33"/>
  <c r="R43" i="33" s="1"/>
  <c r="Q42" i="33"/>
  <c r="R36" i="33" s="1"/>
  <c r="P42" i="33"/>
  <c r="K14" i="32"/>
  <c r="N70" i="33"/>
  <c r="AE70" i="33"/>
  <c r="AF70" i="33"/>
  <c r="AG63" i="33" s="1"/>
  <c r="N10" i="33"/>
  <c r="AF10" i="33"/>
  <c r="AG5" i="33" s="1"/>
  <c r="AE10" i="33"/>
  <c r="Q62" i="33"/>
  <c r="R51" i="33" s="1"/>
  <c r="N13" i="33"/>
  <c r="AF13" i="33"/>
  <c r="AG11" i="33" s="1"/>
  <c r="AE13" i="33"/>
  <c r="Q11" i="33"/>
  <c r="P11" i="33"/>
  <c r="AD84" i="31"/>
  <c r="Z84" i="31"/>
  <c r="Y84" i="31"/>
  <c r="O84" i="31"/>
  <c r="M84" i="31"/>
  <c r="N84" i="31" s="1"/>
  <c r="K84" i="31"/>
  <c r="AF83" i="31"/>
  <c r="V83" i="31"/>
  <c r="U83" i="31"/>
  <c r="O83" i="31"/>
  <c r="N83" i="31"/>
  <c r="M83" i="31"/>
  <c r="AE83" i="31" s="1"/>
  <c r="K83" i="31"/>
  <c r="G83" i="31"/>
  <c r="AF82" i="31"/>
  <c r="AE82" i="31"/>
  <c r="X82" i="31"/>
  <c r="W82" i="31"/>
  <c r="V82" i="31"/>
  <c r="U82" i="31"/>
  <c r="O82" i="31"/>
  <c r="N82" i="31"/>
  <c r="M82" i="31"/>
  <c r="K82" i="31"/>
  <c r="G82" i="31"/>
  <c r="AF81" i="31"/>
  <c r="V81" i="31"/>
  <c r="U81" i="31"/>
  <c r="O81" i="31"/>
  <c r="N81" i="31"/>
  <c r="M81" i="31"/>
  <c r="AE81" i="31" s="1"/>
  <c r="K81" i="31"/>
  <c r="G81" i="31"/>
  <c r="AF80" i="31"/>
  <c r="AE80" i="31"/>
  <c r="V80" i="31"/>
  <c r="U80" i="31"/>
  <c r="O80" i="31"/>
  <c r="M80" i="31"/>
  <c r="N80" i="31" s="1"/>
  <c r="K80" i="31"/>
  <c r="G80" i="31"/>
  <c r="AF79" i="31"/>
  <c r="AE79" i="31"/>
  <c r="V79" i="31"/>
  <c r="M79" i="31" s="1"/>
  <c r="N79" i="31" s="1"/>
  <c r="U79" i="31"/>
  <c r="O79" i="31"/>
  <c r="K79" i="31"/>
  <c r="G79" i="31"/>
  <c r="AF78" i="31"/>
  <c r="AE78" i="31"/>
  <c r="X78" i="31"/>
  <c r="W78" i="31"/>
  <c r="V78" i="31"/>
  <c r="O78" i="31"/>
  <c r="N78" i="31"/>
  <c r="M78" i="31"/>
  <c r="K78" i="31"/>
  <c r="G78" i="31"/>
  <c r="AF77" i="31"/>
  <c r="AE77" i="31"/>
  <c r="AD77" i="31"/>
  <c r="Z77" i="31"/>
  <c r="Y77" i="31"/>
  <c r="O77" i="31"/>
  <c r="N77" i="31"/>
  <c r="M77" i="31"/>
  <c r="K77" i="31"/>
  <c r="AF76" i="31"/>
  <c r="AE76" i="31"/>
  <c r="V76" i="31"/>
  <c r="M76" i="31" s="1"/>
  <c r="N76" i="31" s="1"/>
  <c r="U76" i="31"/>
  <c r="O76" i="31"/>
  <c r="K76" i="31"/>
  <c r="G76" i="31"/>
  <c r="AF75" i="31"/>
  <c r="AE75" i="31"/>
  <c r="V75" i="31"/>
  <c r="M75" i="31" s="1"/>
  <c r="N75" i="31" s="1"/>
  <c r="U75" i="31"/>
  <c r="O75" i="31"/>
  <c r="K75" i="31"/>
  <c r="G75" i="31"/>
  <c r="AF74" i="31"/>
  <c r="AE74" i="31"/>
  <c r="V74" i="31"/>
  <c r="M74" i="31" s="1"/>
  <c r="N74" i="31" s="1"/>
  <c r="P74" i="31" s="1"/>
  <c r="U74" i="31"/>
  <c r="Q74" i="31"/>
  <c r="O74" i="31"/>
  <c r="K74" i="31"/>
  <c r="G74" i="31"/>
  <c r="AG73" i="31"/>
  <c r="AF73" i="31"/>
  <c r="AE73" i="31"/>
  <c r="V73" i="31"/>
  <c r="M73" i="31" s="1"/>
  <c r="N73" i="31" s="1"/>
  <c r="P73" i="31" s="1"/>
  <c r="Q73" i="31"/>
  <c r="O73" i="31"/>
  <c r="K73" i="31"/>
  <c r="G73" i="31"/>
  <c r="AD72" i="31"/>
  <c r="I21" i="30" s="1"/>
  <c r="Z72" i="31"/>
  <c r="Y72" i="31"/>
  <c r="O72" i="31"/>
  <c r="K72" i="31"/>
  <c r="AE71" i="31"/>
  <c r="V71" i="31"/>
  <c r="M71" i="31" s="1"/>
  <c r="U71" i="31"/>
  <c r="O71" i="31"/>
  <c r="K71" i="31"/>
  <c r="G71" i="31"/>
  <c r="X70" i="31"/>
  <c r="W70" i="31"/>
  <c r="V70" i="31"/>
  <c r="M70" i="31" s="1"/>
  <c r="U70" i="31"/>
  <c r="O70" i="31"/>
  <c r="K70" i="31"/>
  <c r="G70" i="31"/>
  <c r="AE69" i="31"/>
  <c r="V69" i="31"/>
  <c r="M69" i="31" s="1"/>
  <c r="U69" i="31"/>
  <c r="O69" i="31"/>
  <c r="K69" i="31"/>
  <c r="G69" i="31"/>
  <c r="V68" i="31"/>
  <c r="M68" i="31" s="1"/>
  <c r="U68" i="31"/>
  <c r="Q68" i="31"/>
  <c r="P68" i="31"/>
  <c r="O68" i="31"/>
  <c r="N68" i="31"/>
  <c r="K68" i="31"/>
  <c r="G68" i="31"/>
  <c r="V67" i="31"/>
  <c r="U67" i="31"/>
  <c r="O67" i="31"/>
  <c r="N67" i="31"/>
  <c r="Q67" i="31" s="1"/>
  <c r="M67" i="31"/>
  <c r="K67" i="31"/>
  <c r="G67" i="31"/>
  <c r="V66" i="31"/>
  <c r="U66" i="31"/>
  <c r="Q66" i="31"/>
  <c r="P66" i="31"/>
  <c r="O66" i="31"/>
  <c r="N66" i="31"/>
  <c r="M66" i="31"/>
  <c r="K66" i="31"/>
  <c r="G66" i="31"/>
  <c r="V65" i="31"/>
  <c r="U65" i="31"/>
  <c r="O65" i="31"/>
  <c r="N65" i="31"/>
  <c r="Q65" i="31" s="1"/>
  <c r="M65" i="31"/>
  <c r="K65" i="31"/>
  <c r="G65" i="31"/>
  <c r="V64" i="31"/>
  <c r="O64" i="31"/>
  <c r="N64" i="31"/>
  <c r="Q64" i="31" s="1"/>
  <c r="M64" i="31"/>
  <c r="K64" i="31"/>
  <c r="G64" i="31"/>
  <c r="AD63" i="31"/>
  <c r="Z63" i="31"/>
  <c r="Y63" i="31"/>
  <c r="O63" i="31"/>
  <c r="M63" i="31"/>
  <c r="N63" i="31" s="1"/>
  <c r="P63" i="31" s="1"/>
  <c r="K63" i="31"/>
  <c r="AF62" i="31"/>
  <c r="V62" i="31"/>
  <c r="U62" i="31"/>
  <c r="O62" i="31"/>
  <c r="N62" i="31"/>
  <c r="M62" i="31"/>
  <c r="AE62" i="31" s="1"/>
  <c r="K62" i="31"/>
  <c r="G62" i="31"/>
  <c r="AF61" i="31"/>
  <c r="AE61" i="31"/>
  <c r="V61" i="31"/>
  <c r="U61" i="31"/>
  <c r="O61" i="31"/>
  <c r="M61" i="31"/>
  <c r="N61" i="31" s="1"/>
  <c r="K61" i="31"/>
  <c r="G61" i="31"/>
  <c r="AF60" i="31"/>
  <c r="AE60" i="31"/>
  <c r="X60" i="31"/>
  <c r="W60" i="31"/>
  <c r="V60" i="31"/>
  <c r="U60" i="31"/>
  <c r="O60" i="31"/>
  <c r="N60" i="31"/>
  <c r="M60" i="31"/>
  <c r="K60" i="31"/>
  <c r="G60" i="31"/>
  <c r="AF59" i="31"/>
  <c r="AE59" i="31"/>
  <c r="V59" i="31"/>
  <c r="U59" i="31"/>
  <c r="O59" i="31"/>
  <c r="M59" i="31"/>
  <c r="N59" i="31" s="1"/>
  <c r="K59" i="31"/>
  <c r="G59" i="31"/>
  <c r="AF58" i="31"/>
  <c r="AE58" i="31"/>
  <c r="V58" i="31"/>
  <c r="M58" i="31" s="1"/>
  <c r="N58" i="31" s="1"/>
  <c r="U58" i="31"/>
  <c r="O58" i="31"/>
  <c r="K58" i="31"/>
  <c r="G58" i="31"/>
  <c r="AF57" i="31"/>
  <c r="AE57" i="31"/>
  <c r="V57" i="31"/>
  <c r="M57" i="31" s="1"/>
  <c r="N57" i="31" s="1"/>
  <c r="U57" i="31"/>
  <c r="O57" i="31"/>
  <c r="K57" i="31"/>
  <c r="G57" i="31"/>
  <c r="AF56" i="31"/>
  <c r="AE56" i="31"/>
  <c r="V56" i="31"/>
  <c r="M56" i="31" s="1"/>
  <c r="N56" i="31" s="1"/>
  <c r="P56" i="31" s="1"/>
  <c r="U56" i="31"/>
  <c r="Q56" i="31"/>
  <c r="O56" i="31"/>
  <c r="K56" i="31"/>
  <c r="G56" i="31"/>
  <c r="AF55" i="31"/>
  <c r="AE55" i="31"/>
  <c r="V55" i="31"/>
  <c r="M55" i="31" s="1"/>
  <c r="N55" i="31" s="1"/>
  <c r="U55" i="31"/>
  <c r="Q55" i="31"/>
  <c r="P55" i="31"/>
  <c r="O55" i="31"/>
  <c r="K55" i="31"/>
  <c r="G55" i="31"/>
  <c r="AE54" i="31"/>
  <c r="V54" i="31"/>
  <c r="M54" i="31" s="1"/>
  <c r="U54" i="31"/>
  <c r="O54" i="31"/>
  <c r="K54" i="31"/>
  <c r="G54" i="31"/>
  <c r="V53" i="31"/>
  <c r="M53" i="31" s="1"/>
  <c r="U53" i="31"/>
  <c r="Q53" i="31"/>
  <c r="P53" i="31"/>
  <c r="O53" i="31"/>
  <c r="N53" i="31"/>
  <c r="K53" i="31"/>
  <c r="G53" i="31"/>
  <c r="X52" i="31"/>
  <c r="W52" i="31"/>
  <c r="V52" i="31"/>
  <c r="M52" i="31" s="1"/>
  <c r="O52" i="31"/>
  <c r="K52" i="31"/>
  <c r="G52" i="31"/>
  <c r="AD51" i="31"/>
  <c r="Z51" i="31"/>
  <c r="Y51" i="31"/>
  <c r="L18" i="30" s="1"/>
  <c r="O51" i="31"/>
  <c r="K51" i="31"/>
  <c r="V50" i="31"/>
  <c r="M50" i="31" s="1"/>
  <c r="U50" i="31"/>
  <c r="Q50" i="31"/>
  <c r="P50" i="31"/>
  <c r="O50" i="31"/>
  <c r="N50" i="31"/>
  <c r="K50" i="31"/>
  <c r="G50" i="31"/>
  <c r="V49" i="31"/>
  <c r="U49" i="31"/>
  <c r="O49" i="31"/>
  <c r="N49" i="31"/>
  <c r="Q49" i="31" s="1"/>
  <c r="M49" i="31"/>
  <c r="K49" i="31"/>
  <c r="G49" i="31"/>
  <c r="V48" i="31"/>
  <c r="U48" i="31"/>
  <c r="O48" i="31"/>
  <c r="N48" i="31"/>
  <c r="Q48" i="31" s="1"/>
  <c r="M48" i="31"/>
  <c r="K48" i="31"/>
  <c r="G48" i="31"/>
  <c r="V47" i="31"/>
  <c r="U47" i="31"/>
  <c r="P47" i="31"/>
  <c r="O47" i="31"/>
  <c r="N47" i="31"/>
  <c r="Q47" i="31" s="1"/>
  <c r="M47" i="31"/>
  <c r="K47" i="31"/>
  <c r="G47" i="31"/>
  <c r="V46" i="31"/>
  <c r="U46" i="31"/>
  <c r="O46" i="31"/>
  <c r="N46" i="31"/>
  <c r="M46" i="31"/>
  <c r="K46" i="31"/>
  <c r="G46" i="31"/>
  <c r="AF45" i="31"/>
  <c r="V45" i="31"/>
  <c r="U45" i="31"/>
  <c r="O45" i="31"/>
  <c r="N45" i="31"/>
  <c r="M45" i="31"/>
  <c r="AE45" i="31" s="1"/>
  <c r="K45" i="31"/>
  <c r="G45" i="31"/>
  <c r="AF44" i="31"/>
  <c r="X44" i="31"/>
  <c r="W44" i="31"/>
  <c r="V44" i="31"/>
  <c r="O44" i="31"/>
  <c r="N44" i="31"/>
  <c r="Q44" i="31" s="1"/>
  <c r="M44" i="31"/>
  <c r="K44" i="31"/>
  <c r="G44" i="31"/>
  <c r="AD43" i="31"/>
  <c r="Z43" i="31"/>
  <c r="Y43" i="31"/>
  <c r="O43" i="31"/>
  <c r="N43" i="31"/>
  <c r="Q43" i="31" s="1"/>
  <c r="R37" i="31" s="1"/>
  <c r="M43" i="31"/>
  <c r="K43" i="31"/>
  <c r="AF42" i="31"/>
  <c r="V42" i="31"/>
  <c r="U42" i="31"/>
  <c r="O42" i="31"/>
  <c r="N42" i="31"/>
  <c r="M42" i="31"/>
  <c r="AE42" i="31" s="1"/>
  <c r="K42" i="31"/>
  <c r="G42" i="31"/>
  <c r="AF41" i="31"/>
  <c r="AE41" i="31"/>
  <c r="X41" i="31"/>
  <c r="W41" i="31"/>
  <c r="V41" i="31"/>
  <c r="U41" i="31"/>
  <c r="O41" i="31"/>
  <c r="N41" i="31"/>
  <c r="Q41" i="31" s="1"/>
  <c r="M41" i="31"/>
  <c r="K41" i="31"/>
  <c r="G41" i="31"/>
  <c r="AF40" i="31"/>
  <c r="V40" i="31"/>
  <c r="U40" i="31"/>
  <c r="O40" i="31"/>
  <c r="N40" i="31"/>
  <c r="M40" i="31"/>
  <c r="AE40" i="31" s="1"/>
  <c r="K40" i="31"/>
  <c r="G40" i="31"/>
  <c r="AF39" i="31"/>
  <c r="AE39" i="31"/>
  <c r="V39" i="31"/>
  <c r="U39" i="31"/>
  <c r="O39" i="31"/>
  <c r="N39" i="31"/>
  <c r="M39" i="31"/>
  <c r="K39" i="31"/>
  <c r="G39" i="31"/>
  <c r="AF38" i="31"/>
  <c r="AE38" i="31"/>
  <c r="V38" i="31"/>
  <c r="U38" i="31"/>
  <c r="O38" i="31"/>
  <c r="M38" i="31"/>
  <c r="N38" i="31" s="1"/>
  <c r="K38" i="31"/>
  <c r="G38" i="31"/>
  <c r="AF37" i="31"/>
  <c r="AE37" i="31"/>
  <c r="X37" i="31"/>
  <c r="W37" i="31"/>
  <c r="V37" i="31"/>
  <c r="O37" i="31"/>
  <c r="N37" i="31"/>
  <c r="M37" i="31"/>
  <c r="K37" i="31"/>
  <c r="G37" i="31"/>
  <c r="AF36" i="31"/>
  <c r="AG25" i="31" s="1"/>
  <c r="AE36" i="31"/>
  <c r="AD36" i="31"/>
  <c r="Z36" i="31"/>
  <c r="Y36" i="31"/>
  <c r="O36" i="31"/>
  <c r="M36" i="31"/>
  <c r="N36" i="31" s="1"/>
  <c r="K36" i="31"/>
  <c r="AF35" i="31"/>
  <c r="AE35" i="31"/>
  <c r="V35" i="31"/>
  <c r="U35" i="31"/>
  <c r="O35" i="31"/>
  <c r="M35" i="31"/>
  <c r="N35" i="31" s="1"/>
  <c r="K35" i="31"/>
  <c r="G35" i="31"/>
  <c r="AF34" i="31"/>
  <c r="AE34" i="31"/>
  <c r="V34" i="31"/>
  <c r="M34" i="31" s="1"/>
  <c r="N34" i="31" s="1"/>
  <c r="U34" i="31"/>
  <c r="O34" i="31"/>
  <c r="K34" i="31"/>
  <c r="G34" i="31"/>
  <c r="AF33" i="31"/>
  <c r="AE33" i="31"/>
  <c r="X33" i="31"/>
  <c r="W33" i="31"/>
  <c r="V33" i="31"/>
  <c r="U33" i="31"/>
  <c r="O33" i="31"/>
  <c r="M33" i="31"/>
  <c r="N33" i="31" s="1"/>
  <c r="K33" i="31"/>
  <c r="G33" i="31"/>
  <c r="AF32" i="31"/>
  <c r="AE32" i="31"/>
  <c r="V32" i="31"/>
  <c r="M32" i="31" s="1"/>
  <c r="N32" i="31" s="1"/>
  <c r="U32" i="31"/>
  <c r="O32" i="31"/>
  <c r="K32" i="31"/>
  <c r="G32" i="31"/>
  <c r="AF31" i="31"/>
  <c r="AE31" i="31"/>
  <c r="V31" i="31"/>
  <c r="M31" i="31" s="1"/>
  <c r="N31" i="31" s="1"/>
  <c r="P31" i="31" s="1"/>
  <c r="U31" i="31"/>
  <c r="Q31" i="31"/>
  <c r="O31" i="31"/>
  <c r="K31" i="31"/>
  <c r="G31" i="31"/>
  <c r="AF30" i="31"/>
  <c r="AE30" i="31"/>
  <c r="V30" i="31"/>
  <c r="M30" i="31" s="1"/>
  <c r="N30" i="31" s="1"/>
  <c r="U30" i="31"/>
  <c r="Q30" i="31"/>
  <c r="P30" i="31"/>
  <c r="O30" i="31"/>
  <c r="K30" i="31"/>
  <c r="G30" i="31"/>
  <c r="AF29" i="31"/>
  <c r="AE29" i="31"/>
  <c r="V29" i="31"/>
  <c r="M29" i="31" s="1"/>
  <c r="N29" i="31" s="1"/>
  <c r="U29" i="31"/>
  <c r="Q29" i="31"/>
  <c r="P29" i="31"/>
  <c r="O29" i="31"/>
  <c r="K29" i="31"/>
  <c r="G29" i="31"/>
  <c r="AE28" i="31"/>
  <c r="V28" i="31"/>
  <c r="M28" i="31" s="1"/>
  <c r="AF28" i="31" s="1"/>
  <c r="U28" i="31"/>
  <c r="Q28" i="31"/>
  <c r="P28" i="31"/>
  <c r="O28" i="31"/>
  <c r="N28" i="31"/>
  <c r="K28" i="31"/>
  <c r="G28" i="31"/>
  <c r="V27" i="31"/>
  <c r="U27" i="31"/>
  <c r="O27" i="31"/>
  <c r="N27" i="31"/>
  <c r="Q27" i="31" s="1"/>
  <c r="M27" i="31"/>
  <c r="K27" i="31"/>
  <c r="G27" i="31"/>
  <c r="V26" i="31"/>
  <c r="U26" i="31"/>
  <c r="O26" i="31"/>
  <c r="N26" i="31"/>
  <c r="Q26" i="31" s="1"/>
  <c r="M26" i="31"/>
  <c r="K26" i="31"/>
  <c r="G26" i="31"/>
  <c r="V25" i="31"/>
  <c r="Q25" i="31"/>
  <c r="P25" i="31"/>
  <c r="O25" i="31"/>
  <c r="N25" i="31"/>
  <c r="M25" i="31"/>
  <c r="K25" i="31"/>
  <c r="G25" i="31"/>
  <c r="AD24" i="31"/>
  <c r="Z24" i="31"/>
  <c r="Y24" i="31"/>
  <c r="O24" i="31"/>
  <c r="N24" i="31"/>
  <c r="F14" i="30" s="1"/>
  <c r="F15" i="30" s="1"/>
  <c r="M24" i="31"/>
  <c r="K24" i="31"/>
  <c r="F13" i="30" s="1"/>
  <c r="G6" i="30" s="1"/>
  <c r="V23" i="31"/>
  <c r="U23" i="31"/>
  <c r="P23" i="31"/>
  <c r="O23" i="31"/>
  <c r="N23" i="31"/>
  <c r="Q23" i="31" s="1"/>
  <c r="M23" i="31"/>
  <c r="K23" i="31"/>
  <c r="G23" i="31"/>
  <c r="AF22" i="31"/>
  <c r="V22" i="31"/>
  <c r="U22" i="31"/>
  <c r="O22" i="31"/>
  <c r="N22" i="31"/>
  <c r="M22" i="31"/>
  <c r="AE22" i="31" s="1"/>
  <c r="K22" i="31"/>
  <c r="G22" i="31"/>
  <c r="AF21" i="31"/>
  <c r="AE21" i="31"/>
  <c r="X21" i="31"/>
  <c r="W21" i="31"/>
  <c r="V21" i="31"/>
  <c r="U21" i="31"/>
  <c r="O21" i="31"/>
  <c r="N21" i="31"/>
  <c r="Q21" i="31" s="1"/>
  <c r="M21" i="31"/>
  <c r="K21" i="31"/>
  <c r="G21" i="31"/>
  <c r="AF20" i="31"/>
  <c r="V20" i="31"/>
  <c r="U20" i="31"/>
  <c r="O20" i="31"/>
  <c r="N20" i="31"/>
  <c r="M20" i="31"/>
  <c r="AE20" i="31" s="1"/>
  <c r="K20" i="31"/>
  <c r="G20" i="31"/>
  <c r="AF19" i="31"/>
  <c r="AE19" i="31"/>
  <c r="V19" i="31"/>
  <c r="U19" i="31"/>
  <c r="O19" i="31"/>
  <c r="N19" i="31"/>
  <c r="M19" i="31"/>
  <c r="K19" i="31"/>
  <c r="G19" i="31"/>
  <c r="AF18" i="31"/>
  <c r="AE18" i="31"/>
  <c r="V18" i="31"/>
  <c r="U18" i="31"/>
  <c r="O18" i="31"/>
  <c r="M18" i="31"/>
  <c r="N18" i="31" s="1"/>
  <c r="K18" i="31"/>
  <c r="G18" i="31"/>
  <c r="AF17" i="31"/>
  <c r="AE17" i="31"/>
  <c r="V17" i="31"/>
  <c r="M17" i="31" s="1"/>
  <c r="N17" i="31" s="1"/>
  <c r="U17" i="31"/>
  <c r="O17" i="31"/>
  <c r="K17" i="31"/>
  <c r="G17" i="31"/>
  <c r="AF16" i="31"/>
  <c r="AE16" i="31"/>
  <c r="V16" i="31"/>
  <c r="M16" i="31" s="1"/>
  <c r="N16" i="31" s="1"/>
  <c r="P16" i="31" s="1"/>
  <c r="U16" i="31"/>
  <c r="Q16" i="31"/>
  <c r="O16" i="31"/>
  <c r="K16" i="31"/>
  <c r="G16" i="31"/>
  <c r="AF15" i="31"/>
  <c r="AE15" i="31"/>
  <c r="V15" i="31"/>
  <c r="M15" i="31" s="1"/>
  <c r="N15" i="31" s="1"/>
  <c r="P15" i="31" s="1"/>
  <c r="Q15" i="31"/>
  <c r="O15" i="31"/>
  <c r="K15" i="31"/>
  <c r="G15" i="31"/>
  <c r="AD14" i="31"/>
  <c r="Z14" i="31"/>
  <c r="E19" i="30" s="1"/>
  <c r="Y14" i="31"/>
  <c r="O14" i="31"/>
  <c r="K14" i="31"/>
  <c r="AF13" i="31"/>
  <c r="AE13" i="31"/>
  <c r="V13" i="31"/>
  <c r="M13" i="31" s="1"/>
  <c r="N13" i="31" s="1"/>
  <c r="U13" i="31"/>
  <c r="Q13" i="31"/>
  <c r="P13" i="31"/>
  <c r="O13" i="31"/>
  <c r="K13" i="31"/>
  <c r="G13" i="31"/>
  <c r="AF12" i="31"/>
  <c r="AE12" i="31"/>
  <c r="X12" i="31"/>
  <c r="W12" i="31"/>
  <c r="V12" i="31"/>
  <c r="M12" i="31" s="1"/>
  <c r="O12" i="31"/>
  <c r="K12" i="31"/>
  <c r="G12" i="31"/>
  <c r="AD11" i="31"/>
  <c r="AD2" i="31" s="1"/>
  <c r="Z11" i="31"/>
  <c r="Y11" i="31"/>
  <c r="O11" i="31"/>
  <c r="K11" i="31"/>
  <c r="AF10" i="31"/>
  <c r="AE10" i="31"/>
  <c r="V10" i="31"/>
  <c r="M10" i="31" s="1"/>
  <c r="N10" i="31" s="1"/>
  <c r="U10" i="31"/>
  <c r="Q10" i="31"/>
  <c r="P10" i="31"/>
  <c r="O10" i="31"/>
  <c r="K10" i="31"/>
  <c r="G10" i="31"/>
  <c r="AE9" i="31"/>
  <c r="V9" i="31"/>
  <c r="M9" i="31" s="1"/>
  <c r="AF9" i="31" s="1"/>
  <c r="U9" i="31"/>
  <c r="Q9" i="31"/>
  <c r="P9" i="31"/>
  <c r="O9" i="31"/>
  <c r="N9" i="31"/>
  <c r="K9" i="31"/>
  <c r="G9" i="31"/>
  <c r="X8" i="31"/>
  <c r="W8" i="31"/>
  <c r="V8" i="31"/>
  <c r="M8" i="31" s="1"/>
  <c r="U8" i="31"/>
  <c r="O8" i="31"/>
  <c r="K8" i="31"/>
  <c r="G8" i="31"/>
  <c r="AE7" i="31"/>
  <c r="V7" i="31"/>
  <c r="M7" i="31" s="1"/>
  <c r="AF7" i="31" s="1"/>
  <c r="U7" i="31"/>
  <c r="O7" i="31"/>
  <c r="N7" i="31"/>
  <c r="Q7" i="31" s="1"/>
  <c r="K7" i="31"/>
  <c r="G7" i="31"/>
  <c r="V6" i="31"/>
  <c r="U6" i="31"/>
  <c r="O6" i="31"/>
  <c r="N6" i="31"/>
  <c r="P6" i="31" s="1"/>
  <c r="M6" i="31"/>
  <c r="K6" i="31"/>
  <c r="G6" i="31"/>
  <c r="V5" i="31"/>
  <c r="O5" i="31"/>
  <c r="N5" i="31"/>
  <c r="Q5" i="31" s="1"/>
  <c r="M5" i="31"/>
  <c r="K5" i="31"/>
  <c r="G5" i="31"/>
  <c r="H2" i="31"/>
  <c r="H1" i="31"/>
  <c r="F1" i="31"/>
  <c r="F2" i="31" s="1"/>
  <c r="D1" i="31"/>
  <c r="M22" i="30"/>
  <c r="L22" i="30"/>
  <c r="K22" i="30"/>
  <c r="J22" i="30"/>
  <c r="I22" i="30"/>
  <c r="H22" i="30"/>
  <c r="G22" i="30"/>
  <c r="F22" i="30"/>
  <c r="E22" i="30"/>
  <c r="D22" i="30"/>
  <c r="M21" i="30"/>
  <c r="L21" i="30"/>
  <c r="K21" i="30"/>
  <c r="J21" i="30"/>
  <c r="H21" i="30"/>
  <c r="G21" i="30"/>
  <c r="F21" i="30"/>
  <c r="E21" i="30"/>
  <c r="D21" i="30"/>
  <c r="M20" i="30"/>
  <c r="L20" i="30"/>
  <c r="K20" i="30"/>
  <c r="J20" i="30"/>
  <c r="I20" i="30"/>
  <c r="H20" i="30"/>
  <c r="G20" i="30"/>
  <c r="F20" i="30"/>
  <c r="E20" i="30"/>
  <c r="D20" i="30"/>
  <c r="M19" i="30"/>
  <c r="L19" i="30"/>
  <c r="K19" i="30"/>
  <c r="J19" i="30"/>
  <c r="I19" i="30"/>
  <c r="H19" i="30"/>
  <c r="G19" i="30"/>
  <c r="F19" i="30"/>
  <c r="M18" i="30"/>
  <c r="K18" i="30"/>
  <c r="J18" i="30"/>
  <c r="I18" i="30"/>
  <c r="H18" i="30"/>
  <c r="G18" i="30"/>
  <c r="F18" i="30"/>
  <c r="E18" i="30"/>
  <c r="M17" i="30"/>
  <c r="L17" i="30"/>
  <c r="K17" i="30"/>
  <c r="J17" i="30"/>
  <c r="I17" i="30"/>
  <c r="H17" i="30"/>
  <c r="G17" i="30"/>
  <c r="F17" i="30"/>
  <c r="E17" i="30"/>
  <c r="D17" i="30"/>
  <c r="M16" i="30"/>
  <c r="L16" i="30"/>
  <c r="K16" i="30"/>
  <c r="J16" i="30"/>
  <c r="I16" i="30"/>
  <c r="H16" i="30"/>
  <c r="G16" i="30"/>
  <c r="F16" i="30"/>
  <c r="E16" i="30"/>
  <c r="D16" i="30"/>
  <c r="J14" i="30"/>
  <c r="J15" i="30" s="1"/>
  <c r="M13" i="30"/>
  <c r="L13" i="30"/>
  <c r="K13" i="30"/>
  <c r="I6" i="30" s="1"/>
  <c r="J13" i="30"/>
  <c r="I13" i="30"/>
  <c r="H13" i="30"/>
  <c r="G13" i="30"/>
  <c r="E13" i="30"/>
  <c r="D13" i="30"/>
  <c r="N6" i="30"/>
  <c r="M6" i="30"/>
  <c r="F6" i="30"/>
  <c r="E6" i="30"/>
  <c r="I3" i="30"/>
  <c r="F3" i="30"/>
  <c r="C3" i="30"/>
  <c r="P70" i="33" l="1"/>
  <c r="Q70" i="33"/>
  <c r="R63" i="33" s="1"/>
  <c r="I14" i="32"/>
  <c r="I15" i="32" s="1"/>
  <c r="I7" i="32"/>
  <c r="K15" i="32"/>
  <c r="I8" i="32" s="1"/>
  <c r="E14" i="32"/>
  <c r="E15" i="32" s="1"/>
  <c r="P13" i="33"/>
  <c r="Q13" i="33"/>
  <c r="R11" i="33" s="1"/>
  <c r="D14" i="32"/>
  <c r="D2" i="33"/>
  <c r="P10" i="33"/>
  <c r="Q10" i="33"/>
  <c r="R5" i="33" s="1"/>
  <c r="Q84" i="31"/>
  <c r="R78" i="31" s="1"/>
  <c r="M14" i="30"/>
  <c r="M15" i="30" s="1"/>
  <c r="P84" i="31"/>
  <c r="K14" i="30"/>
  <c r="P5" i="31"/>
  <c r="P65" i="31"/>
  <c r="P27" i="31"/>
  <c r="P49" i="31"/>
  <c r="P26" i="31"/>
  <c r="P48" i="31"/>
  <c r="Q6" i="31"/>
  <c r="Q24" i="31"/>
  <c r="R15" i="31" s="1"/>
  <c r="P7" i="31"/>
  <c r="P64" i="31"/>
  <c r="P67" i="31"/>
  <c r="P24" i="31"/>
  <c r="P43" i="31"/>
  <c r="P41" i="31"/>
  <c r="P21" i="31"/>
  <c r="P44" i="31"/>
  <c r="M11" i="31"/>
  <c r="AF5" i="31"/>
  <c r="AE5" i="31"/>
  <c r="AF6" i="31"/>
  <c r="AE6" i="31"/>
  <c r="N8" i="31"/>
  <c r="AF8" i="31"/>
  <c r="AE8" i="31"/>
  <c r="D18" i="30"/>
  <c r="Y2" i="31"/>
  <c r="K6" i="30" s="1"/>
  <c r="D19" i="30"/>
  <c r="Z2" i="31"/>
  <c r="L6" i="30" s="1"/>
  <c r="N12" i="31"/>
  <c r="M14" i="31"/>
  <c r="Q17" i="31"/>
  <c r="P17" i="31"/>
  <c r="Q18" i="31"/>
  <c r="P18" i="31"/>
  <c r="Q19" i="31"/>
  <c r="P19" i="31"/>
  <c r="Q20" i="31"/>
  <c r="P20" i="31"/>
  <c r="Q22" i="31"/>
  <c r="P22" i="31"/>
  <c r="AF23" i="31"/>
  <c r="AE23" i="31"/>
  <c r="AF24" i="31"/>
  <c r="AG15" i="31" s="1"/>
  <c r="AE24" i="31"/>
  <c r="AF25" i="31"/>
  <c r="AE25" i="31"/>
  <c r="AF26" i="31"/>
  <c r="AE26" i="31"/>
  <c r="AF27" i="31"/>
  <c r="AE27" i="31"/>
  <c r="Q32" i="31"/>
  <c r="P32" i="31"/>
  <c r="Q33" i="31"/>
  <c r="P33" i="31"/>
  <c r="Q34" i="31"/>
  <c r="P34" i="31"/>
  <c r="Q35" i="31"/>
  <c r="P35" i="31"/>
  <c r="G14" i="30"/>
  <c r="G15" i="30" s="1"/>
  <c r="Q36" i="31"/>
  <c r="R25" i="31" s="1"/>
  <c r="P36" i="31"/>
  <c r="Q37" i="31"/>
  <c r="P37" i="31"/>
  <c r="Q38" i="31"/>
  <c r="P38" i="31"/>
  <c r="Q39" i="31"/>
  <c r="P39" i="31"/>
  <c r="Q40" i="31"/>
  <c r="P40" i="31"/>
  <c r="Q42" i="31"/>
  <c r="P42" i="31"/>
  <c r="AF43" i="31"/>
  <c r="AG37" i="31" s="1"/>
  <c r="AE43" i="31"/>
  <c r="AE44" i="31"/>
  <c r="M51" i="31"/>
  <c r="AE51" i="31" s="1"/>
  <c r="Q45" i="31"/>
  <c r="P45" i="31"/>
  <c r="AF46" i="31"/>
  <c r="AE46" i="31"/>
  <c r="P46" i="31"/>
  <c r="Q46" i="31"/>
  <c r="AF47" i="31"/>
  <c r="AE47" i="31"/>
  <c r="AF48" i="31"/>
  <c r="AE48" i="31"/>
  <c r="AF49" i="31"/>
  <c r="AE49" i="31"/>
  <c r="AE50" i="31"/>
  <c r="AF50" i="31"/>
  <c r="AE52" i="31"/>
  <c r="N52" i="31"/>
  <c r="AF52" i="31"/>
  <c r="AE53" i="31"/>
  <c r="AF53" i="31"/>
  <c r="N54" i="31"/>
  <c r="AF54" i="31"/>
  <c r="Q57" i="31"/>
  <c r="P57" i="31"/>
  <c r="Q58" i="31"/>
  <c r="P58" i="31"/>
  <c r="Q59" i="31"/>
  <c r="P59" i="31"/>
  <c r="Q60" i="31"/>
  <c r="P60" i="31"/>
  <c r="Q61" i="31"/>
  <c r="P61" i="31"/>
  <c r="Q62" i="31"/>
  <c r="P62" i="31"/>
  <c r="AF63" i="31"/>
  <c r="AG52" i="31" s="1"/>
  <c r="AE63" i="31"/>
  <c r="H14" i="30"/>
  <c r="H15" i="30" s="1"/>
  <c r="Q63" i="31"/>
  <c r="R52" i="31" s="1"/>
  <c r="AF64" i="31"/>
  <c r="AE64" i="31"/>
  <c r="M72" i="31"/>
  <c r="AF65" i="31"/>
  <c r="AE65" i="31"/>
  <c r="AF66" i="31"/>
  <c r="AE66" i="31"/>
  <c r="AF67" i="31"/>
  <c r="AE67" i="31"/>
  <c r="AE68" i="31"/>
  <c r="AF68" i="31"/>
  <c r="N69" i="31"/>
  <c r="AF69" i="31"/>
  <c r="AE70" i="31"/>
  <c r="N70" i="31"/>
  <c r="AF70" i="31"/>
  <c r="N71" i="31"/>
  <c r="AF71" i="31"/>
  <c r="Q75" i="31"/>
  <c r="P75" i="31"/>
  <c r="Q76" i="31"/>
  <c r="P76" i="31"/>
  <c r="Q77" i="31"/>
  <c r="R73" i="31" s="1"/>
  <c r="P77" i="31"/>
  <c r="Q78" i="31"/>
  <c r="P78" i="31"/>
  <c r="Q79" i="31"/>
  <c r="P79" i="31"/>
  <c r="Q80" i="31"/>
  <c r="P80" i="31"/>
  <c r="Q81" i="31"/>
  <c r="P81" i="31"/>
  <c r="P82" i="31"/>
  <c r="Q82" i="31"/>
  <c r="Q83" i="31"/>
  <c r="P83" i="31"/>
  <c r="AF84" i="31"/>
  <c r="AG78" i="31" s="1"/>
  <c r="AE84" i="31"/>
  <c r="G7" i="32" l="1"/>
  <c r="F7" i="32"/>
  <c r="E7" i="32"/>
  <c r="D15" i="32"/>
  <c r="Q54" i="31"/>
  <c r="P54" i="31"/>
  <c r="Q70" i="31"/>
  <c r="P70" i="31"/>
  <c r="N72" i="31"/>
  <c r="AF72" i="31"/>
  <c r="AG64" i="31" s="1"/>
  <c r="AE72" i="31"/>
  <c r="Q52" i="31"/>
  <c r="P52" i="31"/>
  <c r="N14" i="31"/>
  <c r="Q14" i="31" s="1"/>
  <c r="R12" i="31" s="1"/>
  <c r="AF14" i="31"/>
  <c r="AG12" i="31" s="1"/>
  <c r="AE14" i="31"/>
  <c r="P12" i="31"/>
  <c r="Q12" i="31"/>
  <c r="N11" i="31"/>
  <c r="AF11" i="31"/>
  <c r="AG5" i="31" s="1"/>
  <c r="AE11" i="31"/>
  <c r="K15" i="30"/>
  <c r="Q69" i="31"/>
  <c r="P69" i="31"/>
  <c r="Q8" i="31"/>
  <c r="P8" i="31"/>
  <c r="Q71" i="31"/>
  <c r="P71" i="31"/>
  <c r="AF51" i="31"/>
  <c r="AG44" i="31" s="1"/>
  <c r="N51" i="31"/>
  <c r="P11" i="31"/>
  <c r="D14" i="30"/>
  <c r="F8" i="32" l="1"/>
  <c r="G8" i="32"/>
  <c r="E8" i="32"/>
  <c r="D15" i="30"/>
  <c r="E14" i="30"/>
  <c r="E15" i="30" s="1"/>
  <c r="P72" i="31"/>
  <c r="Q72" i="31"/>
  <c r="R64" i="31" s="1"/>
  <c r="I14" i="30"/>
  <c r="I15" i="30" s="1"/>
  <c r="P14" i="31"/>
  <c r="P51" i="31"/>
  <c r="Q51" i="31"/>
  <c r="R44" i="31" s="1"/>
  <c r="L14" i="30"/>
  <c r="D2" i="31"/>
  <c r="Q11" i="31"/>
  <c r="R5" i="31" s="1"/>
  <c r="AD84" i="29"/>
  <c r="Z84" i="29"/>
  <c r="Y84" i="29"/>
  <c r="O84" i="29"/>
  <c r="M84" i="29"/>
  <c r="N84" i="29" s="1"/>
  <c r="M14" i="28" s="1"/>
  <c r="M15" i="28" s="1"/>
  <c r="K84" i="29"/>
  <c r="AF83" i="29"/>
  <c r="V83" i="29"/>
  <c r="U83" i="29"/>
  <c r="O83" i="29"/>
  <c r="M83" i="29"/>
  <c r="K83" i="29"/>
  <c r="G83" i="29"/>
  <c r="AF82" i="29"/>
  <c r="AE82" i="29"/>
  <c r="X82" i="29"/>
  <c r="W82" i="29"/>
  <c r="V82" i="29"/>
  <c r="U82" i="29"/>
  <c r="O82" i="29"/>
  <c r="N82" i="29"/>
  <c r="M82" i="29"/>
  <c r="K82" i="29"/>
  <c r="G82" i="29"/>
  <c r="AF81" i="29"/>
  <c r="V81" i="29"/>
  <c r="U81" i="29"/>
  <c r="O81" i="29"/>
  <c r="M81" i="29"/>
  <c r="K81" i="29"/>
  <c r="G81" i="29"/>
  <c r="AF80" i="29"/>
  <c r="AE80" i="29"/>
  <c r="V80" i="29"/>
  <c r="U80" i="29"/>
  <c r="O80" i="29"/>
  <c r="M80" i="29"/>
  <c r="N80" i="29" s="1"/>
  <c r="K80" i="29"/>
  <c r="G80" i="29"/>
  <c r="AF79" i="29"/>
  <c r="AE79" i="29"/>
  <c r="V79" i="29"/>
  <c r="M79" i="29" s="1"/>
  <c r="N79" i="29" s="1"/>
  <c r="U79" i="29"/>
  <c r="O79" i="29"/>
  <c r="K79" i="29"/>
  <c r="G79" i="29"/>
  <c r="AF78" i="29"/>
  <c r="AE78" i="29"/>
  <c r="X78" i="29"/>
  <c r="W78" i="29"/>
  <c r="V78" i="29"/>
  <c r="O78" i="29"/>
  <c r="M78" i="29"/>
  <c r="N78" i="29" s="1"/>
  <c r="K78" i="29"/>
  <c r="G78" i="29"/>
  <c r="AF77" i="29"/>
  <c r="AG72" i="29" s="1"/>
  <c r="AE77" i="29"/>
  <c r="AD77" i="29"/>
  <c r="Z77" i="29"/>
  <c r="Y77" i="29"/>
  <c r="O77" i="29"/>
  <c r="M77" i="29"/>
  <c r="N77" i="29" s="1"/>
  <c r="K77" i="29"/>
  <c r="AF76" i="29"/>
  <c r="AE76" i="29"/>
  <c r="V76" i="29"/>
  <c r="M76" i="29" s="1"/>
  <c r="N76" i="29" s="1"/>
  <c r="U76" i="29"/>
  <c r="O76" i="29"/>
  <c r="K76" i="29"/>
  <c r="G76" i="29"/>
  <c r="AF75" i="29"/>
  <c r="AE75" i="29"/>
  <c r="X75" i="29"/>
  <c r="W75" i="29"/>
  <c r="V75" i="29"/>
  <c r="U75" i="29"/>
  <c r="O75" i="29"/>
  <c r="M75" i="29"/>
  <c r="N75" i="29" s="1"/>
  <c r="K75" i="29"/>
  <c r="G75" i="29"/>
  <c r="AF74" i="29"/>
  <c r="AE74" i="29"/>
  <c r="V74" i="29"/>
  <c r="M74" i="29" s="1"/>
  <c r="N74" i="29" s="1"/>
  <c r="U74" i="29"/>
  <c r="O74" i="29"/>
  <c r="K74" i="29"/>
  <c r="G74" i="29"/>
  <c r="AF73" i="29"/>
  <c r="AE73" i="29"/>
  <c r="V73" i="29"/>
  <c r="M73" i="29" s="1"/>
  <c r="N73" i="29" s="1"/>
  <c r="U73" i="29"/>
  <c r="O73" i="29"/>
  <c r="K73" i="29"/>
  <c r="G73" i="29"/>
  <c r="AF72" i="29"/>
  <c r="AE72" i="29"/>
  <c r="V72" i="29"/>
  <c r="M72" i="29" s="1"/>
  <c r="N72" i="29" s="1"/>
  <c r="O72" i="29"/>
  <c r="K72" i="29"/>
  <c r="G72" i="29"/>
  <c r="AD71" i="29"/>
  <c r="I21" i="28" s="1"/>
  <c r="Z71" i="29"/>
  <c r="Y71" i="29"/>
  <c r="O71" i="29"/>
  <c r="K71" i="29"/>
  <c r="AE70" i="29"/>
  <c r="V70" i="29"/>
  <c r="M70" i="29" s="1"/>
  <c r="U70" i="29"/>
  <c r="O70" i="29"/>
  <c r="K70" i="29"/>
  <c r="G70" i="29"/>
  <c r="X69" i="29"/>
  <c r="W69" i="29"/>
  <c r="V69" i="29"/>
  <c r="M69" i="29" s="1"/>
  <c r="U69" i="29"/>
  <c r="O69" i="29"/>
  <c r="K69" i="29"/>
  <c r="G69" i="29"/>
  <c r="AE68" i="29"/>
  <c r="V68" i="29"/>
  <c r="M68" i="29" s="1"/>
  <c r="U68" i="29"/>
  <c r="O68" i="29"/>
  <c r="K68" i="29"/>
  <c r="G68" i="29"/>
  <c r="V67" i="29"/>
  <c r="M67" i="29" s="1"/>
  <c r="U67" i="29"/>
  <c r="O67" i="29"/>
  <c r="K67" i="29"/>
  <c r="G67" i="29"/>
  <c r="V66" i="29"/>
  <c r="M66" i="29" s="1"/>
  <c r="U66" i="29"/>
  <c r="Q66" i="29"/>
  <c r="O66" i="29"/>
  <c r="N66" i="29"/>
  <c r="P66" i="29" s="1"/>
  <c r="K66" i="29"/>
  <c r="G66" i="29"/>
  <c r="V65" i="29"/>
  <c r="U65" i="29"/>
  <c r="Q65" i="29"/>
  <c r="P65" i="29"/>
  <c r="O65" i="29"/>
  <c r="N65" i="29"/>
  <c r="M65" i="29"/>
  <c r="K65" i="29"/>
  <c r="G65" i="29"/>
  <c r="V64" i="29"/>
  <c r="U64" i="29"/>
  <c r="O64" i="29"/>
  <c r="N64" i="29"/>
  <c r="Q64" i="29" s="1"/>
  <c r="M64" i="29"/>
  <c r="K64" i="29"/>
  <c r="G64" i="29"/>
  <c r="V63" i="29"/>
  <c r="P63" i="29"/>
  <c r="O63" i="29"/>
  <c r="N63" i="29"/>
  <c r="Q63" i="29" s="1"/>
  <c r="M63" i="29"/>
  <c r="K63" i="29"/>
  <c r="G63" i="29"/>
  <c r="AD62" i="29"/>
  <c r="Z62" i="29"/>
  <c r="Y62" i="29"/>
  <c r="P62" i="29"/>
  <c r="O62" i="29"/>
  <c r="N62" i="29"/>
  <c r="M62" i="29"/>
  <c r="K62" i="29"/>
  <c r="V61" i="29"/>
  <c r="U61" i="29"/>
  <c r="O61" i="29"/>
  <c r="N61" i="29"/>
  <c r="M61" i="29"/>
  <c r="K61" i="29"/>
  <c r="G61" i="29"/>
  <c r="AF60" i="29"/>
  <c r="V60" i="29"/>
  <c r="U60" i="29"/>
  <c r="O60" i="29"/>
  <c r="M60" i="29"/>
  <c r="K60" i="29"/>
  <c r="G60" i="29"/>
  <c r="AF59" i="29"/>
  <c r="AE59" i="29"/>
  <c r="X59" i="29"/>
  <c r="W59" i="29"/>
  <c r="V59" i="29"/>
  <c r="U59" i="29"/>
  <c r="O59" i="29"/>
  <c r="N59" i="29"/>
  <c r="M59" i="29"/>
  <c r="K59" i="29"/>
  <c r="G59" i="29"/>
  <c r="AF58" i="29"/>
  <c r="V58" i="29"/>
  <c r="U58" i="29"/>
  <c r="O58" i="29"/>
  <c r="M58" i="29"/>
  <c r="K58" i="29"/>
  <c r="G58" i="29"/>
  <c r="AF57" i="29"/>
  <c r="AE57" i="29"/>
  <c r="V57" i="29"/>
  <c r="U57" i="29"/>
  <c r="O57" i="29"/>
  <c r="M57" i="29"/>
  <c r="N57" i="29" s="1"/>
  <c r="K57" i="29"/>
  <c r="G57" i="29"/>
  <c r="AF56" i="29"/>
  <c r="AE56" i="29"/>
  <c r="V56" i="29"/>
  <c r="M56" i="29" s="1"/>
  <c r="N56" i="29" s="1"/>
  <c r="U56" i="29"/>
  <c r="O56" i="29"/>
  <c r="K56" i="29"/>
  <c r="G56" i="29"/>
  <c r="AF55" i="29"/>
  <c r="AE55" i="29"/>
  <c r="V55" i="29"/>
  <c r="M55" i="29" s="1"/>
  <c r="N55" i="29" s="1"/>
  <c r="U55" i="29"/>
  <c r="O55" i="29"/>
  <c r="K55" i="29"/>
  <c r="G55" i="29"/>
  <c r="AF54" i="29"/>
  <c r="AE54" i="29"/>
  <c r="V54" i="29"/>
  <c r="M54" i="29" s="1"/>
  <c r="N54" i="29" s="1"/>
  <c r="P54" i="29" s="1"/>
  <c r="U54" i="29"/>
  <c r="Q54" i="29"/>
  <c r="O54" i="29"/>
  <c r="K54" i="29"/>
  <c r="G54" i="29"/>
  <c r="AE53" i="29"/>
  <c r="V53" i="29"/>
  <c r="M53" i="29" s="1"/>
  <c r="U53" i="29"/>
  <c r="O53" i="29"/>
  <c r="K53" i="29"/>
  <c r="G53" i="29"/>
  <c r="V52" i="29"/>
  <c r="M52" i="29" s="1"/>
  <c r="U52" i="29"/>
  <c r="O52" i="29"/>
  <c r="K52" i="29"/>
  <c r="G52" i="29"/>
  <c r="X51" i="29"/>
  <c r="W51" i="29"/>
  <c r="V51" i="29"/>
  <c r="M51" i="29" s="1"/>
  <c r="O51" i="29"/>
  <c r="K51" i="29"/>
  <c r="G51" i="29"/>
  <c r="AD50" i="29"/>
  <c r="L21" i="28" s="1"/>
  <c r="Z50" i="29"/>
  <c r="Y50" i="29"/>
  <c r="O50" i="29"/>
  <c r="K50" i="29"/>
  <c r="V49" i="29"/>
  <c r="M49" i="29" s="1"/>
  <c r="U49" i="29"/>
  <c r="O49" i="29"/>
  <c r="K49" i="29"/>
  <c r="G49" i="29"/>
  <c r="V48" i="29"/>
  <c r="M48" i="29" s="1"/>
  <c r="U48" i="29"/>
  <c r="Q48" i="29"/>
  <c r="P48" i="29"/>
  <c r="O48" i="29"/>
  <c r="N48" i="29"/>
  <c r="K48" i="29"/>
  <c r="G48" i="29"/>
  <c r="V47" i="29"/>
  <c r="U47" i="29"/>
  <c r="Q47" i="29"/>
  <c r="P47" i="29"/>
  <c r="O47" i="29"/>
  <c r="N47" i="29"/>
  <c r="M47" i="29"/>
  <c r="K47" i="29"/>
  <c r="G47" i="29"/>
  <c r="V46" i="29"/>
  <c r="U46" i="29"/>
  <c r="P46" i="29"/>
  <c r="O46" i="29"/>
  <c r="N46" i="29"/>
  <c r="Q46" i="29" s="1"/>
  <c r="M46" i="29"/>
  <c r="K46" i="29"/>
  <c r="G46" i="29"/>
  <c r="V45" i="29"/>
  <c r="U45" i="29"/>
  <c r="O45" i="29"/>
  <c r="N45" i="29"/>
  <c r="M45" i="29"/>
  <c r="K45" i="29"/>
  <c r="G45" i="29"/>
  <c r="V44" i="29"/>
  <c r="U44" i="29"/>
  <c r="O44" i="29"/>
  <c r="N44" i="29"/>
  <c r="M44" i="29"/>
  <c r="K44" i="29"/>
  <c r="G44" i="29"/>
  <c r="X43" i="29"/>
  <c r="W43" i="29"/>
  <c r="V43" i="29"/>
  <c r="Q43" i="29"/>
  <c r="O43" i="29"/>
  <c r="N43" i="29"/>
  <c r="P43" i="29" s="1"/>
  <c r="M43" i="29"/>
  <c r="K43" i="29"/>
  <c r="G43" i="29"/>
  <c r="AD42" i="29"/>
  <c r="Z42" i="29"/>
  <c r="Y42" i="29"/>
  <c r="O42" i="29"/>
  <c r="M42" i="29"/>
  <c r="N42" i="29" s="1"/>
  <c r="K42" i="29"/>
  <c r="V41" i="29"/>
  <c r="U41" i="29"/>
  <c r="O41" i="29"/>
  <c r="N41" i="29"/>
  <c r="M41" i="29"/>
  <c r="K41" i="29"/>
  <c r="G41" i="29"/>
  <c r="AF40" i="29"/>
  <c r="X40" i="29"/>
  <c r="W40" i="29"/>
  <c r="V40" i="29"/>
  <c r="U40" i="29"/>
  <c r="P40" i="29"/>
  <c r="O40" i="29"/>
  <c r="N40" i="29"/>
  <c r="Q40" i="29" s="1"/>
  <c r="M40" i="29"/>
  <c r="AE40" i="29" s="1"/>
  <c r="K40" i="29"/>
  <c r="G40" i="29"/>
  <c r="V39" i="29"/>
  <c r="U39" i="29"/>
  <c r="O39" i="29"/>
  <c r="N39" i="29"/>
  <c r="M39" i="29"/>
  <c r="K39" i="29"/>
  <c r="G39" i="29"/>
  <c r="AF38" i="29"/>
  <c r="V38" i="29"/>
  <c r="U38" i="29"/>
  <c r="O38" i="29"/>
  <c r="N38" i="29"/>
  <c r="M38" i="29"/>
  <c r="AE38" i="29" s="1"/>
  <c r="K38" i="29"/>
  <c r="G38" i="29"/>
  <c r="AF37" i="29"/>
  <c r="AE37" i="29"/>
  <c r="V37" i="29"/>
  <c r="U37" i="29"/>
  <c r="O37" i="29"/>
  <c r="M37" i="29"/>
  <c r="N37" i="29" s="1"/>
  <c r="K37" i="29"/>
  <c r="G37" i="29"/>
  <c r="AF36" i="29"/>
  <c r="AE36" i="29"/>
  <c r="X36" i="29"/>
  <c r="W36" i="29"/>
  <c r="V36" i="29"/>
  <c r="O36" i="29"/>
  <c r="N36" i="29"/>
  <c r="M36" i="29"/>
  <c r="K36" i="29"/>
  <c r="G36" i="29"/>
  <c r="AF35" i="29"/>
  <c r="AG24" i="29" s="1"/>
  <c r="AD35" i="29"/>
  <c r="Z35" i="29"/>
  <c r="Y35" i="29"/>
  <c r="O35" i="29"/>
  <c r="M35" i="29"/>
  <c r="AE35" i="29" s="1"/>
  <c r="K35" i="29"/>
  <c r="G13" i="28" s="1"/>
  <c r="AF34" i="29"/>
  <c r="AE34" i="29"/>
  <c r="V34" i="29"/>
  <c r="U34" i="29"/>
  <c r="O34" i="29"/>
  <c r="M34" i="29"/>
  <c r="N34" i="29" s="1"/>
  <c r="K34" i="29"/>
  <c r="G34" i="29"/>
  <c r="AF33" i="29"/>
  <c r="AE33" i="29"/>
  <c r="V33" i="29"/>
  <c r="M33" i="29" s="1"/>
  <c r="N33" i="29" s="1"/>
  <c r="U33" i="29"/>
  <c r="O33" i="29"/>
  <c r="K33" i="29"/>
  <c r="G33" i="29"/>
  <c r="AF32" i="29"/>
  <c r="AE32" i="29"/>
  <c r="X32" i="29"/>
  <c r="W32" i="29"/>
  <c r="V32" i="29"/>
  <c r="U32" i="29"/>
  <c r="O32" i="29"/>
  <c r="M32" i="29"/>
  <c r="N32" i="29" s="1"/>
  <c r="K32" i="29"/>
  <c r="G32" i="29"/>
  <c r="AF31" i="29"/>
  <c r="AE31" i="29"/>
  <c r="V31" i="29"/>
  <c r="M31" i="29" s="1"/>
  <c r="N31" i="29" s="1"/>
  <c r="U31" i="29"/>
  <c r="O31" i="29"/>
  <c r="K31" i="29"/>
  <c r="G31" i="29"/>
  <c r="AF30" i="29"/>
  <c r="AE30" i="29"/>
  <c r="V30" i="29"/>
  <c r="M30" i="29" s="1"/>
  <c r="N30" i="29" s="1"/>
  <c r="U30" i="29"/>
  <c r="O30" i="29"/>
  <c r="K30" i="29"/>
  <c r="G30" i="29"/>
  <c r="AF29" i="29"/>
  <c r="AE29" i="29"/>
  <c r="V29" i="29"/>
  <c r="M29" i="29" s="1"/>
  <c r="N29" i="29" s="1"/>
  <c r="P29" i="29" s="1"/>
  <c r="U29" i="29"/>
  <c r="Q29" i="29"/>
  <c r="O29" i="29"/>
  <c r="K29" i="29"/>
  <c r="G29" i="29"/>
  <c r="AF28" i="29"/>
  <c r="AE28" i="29"/>
  <c r="V28" i="29"/>
  <c r="M28" i="29" s="1"/>
  <c r="N28" i="29" s="1"/>
  <c r="U28" i="29"/>
  <c r="Q28" i="29"/>
  <c r="P28" i="29"/>
  <c r="O28" i="29"/>
  <c r="K28" i="29"/>
  <c r="G28" i="29"/>
  <c r="AE27" i="29"/>
  <c r="V27" i="29"/>
  <c r="M27" i="29" s="1"/>
  <c r="U27" i="29"/>
  <c r="O27" i="29"/>
  <c r="K27" i="29"/>
  <c r="G27" i="29"/>
  <c r="V26" i="29"/>
  <c r="M26" i="29" s="1"/>
  <c r="U26" i="29"/>
  <c r="Q26" i="29"/>
  <c r="P26" i="29"/>
  <c r="O26" i="29"/>
  <c r="N26" i="29"/>
  <c r="K26" i="29"/>
  <c r="G26" i="29"/>
  <c r="V25" i="29"/>
  <c r="U25" i="29"/>
  <c r="O25" i="29"/>
  <c r="N25" i="29"/>
  <c r="Q25" i="29" s="1"/>
  <c r="M25" i="29"/>
  <c r="K25" i="29"/>
  <c r="G25" i="29"/>
  <c r="V24" i="29"/>
  <c r="Q24" i="29"/>
  <c r="P24" i="29"/>
  <c r="O24" i="29"/>
  <c r="N24" i="29"/>
  <c r="M24" i="29"/>
  <c r="K24" i="29"/>
  <c r="G24" i="29"/>
  <c r="AD23" i="29"/>
  <c r="Z23" i="29"/>
  <c r="F19" i="28" s="1"/>
  <c r="Y23" i="29"/>
  <c r="F18" i="28" s="1"/>
  <c r="O23" i="29"/>
  <c r="M23" i="29"/>
  <c r="N23" i="29" s="1"/>
  <c r="K23" i="29"/>
  <c r="V22" i="29"/>
  <c r="U22" i="29"/>
  <c r="P22" i="29"/>
  <c r="O22" i="29"/>
  <c r="N22" i="29"/>
  <c r="Q22" i="29" s="1"/>
  <c r="M22" i="29"/>
  <c r="K22" i="29"/>
  <c r="G22" i="29"/>
  <c r="V21" i="29"/>
  <c r="U21" i="29"/>
  <c r="O21" i="29"/>
  <c r="N21" i="29"/>
  <c r="M21" i="29"/>
  <c r="K21" i="29"/>
  <c r="G21" i="29"/>
  <c r="AF20" i="29"/>
  <c r="X20" i="29"/>
  <c r="W20" i="29"/>
  <c r="V20" i="29"/>
  <c r="U20" i="29"/>
  <c r="O20" i="29"/>
  <c r="N20" i="29"/>
  <c r="Q20" i="29" s="1"/>
  <c r="M20" i="29"/>
  <c r="AE20" i="29" s="1"/>
  <c r="K20" i="29"/>
  <c r="G20" i="29"/>
  <c r="V19" i="29"/>
  <c r="U19" i="29"/>
  <c r="O19" i="29"/>
  <c r="N19" i="29"/>
  <c r="M19" i="29"/>
  <c r="K19" i="29"/>
  <c r="G19" i="29"/>
  <c r="AF18" i="29"/>
  <c r="V18" i="29"/>
  <c r="U18" i="29"/>
  <c r="O18" i="29"/>
  <c r="N18" i="29"/>
  <c r="M18" i="29"/>
  <c r="AE18" i="29" s="1"/>
  <c r="K18" i="29"/>
  <c r="G18" i="29"/>
  <c r="AF17" i="29"/>
  <c r="AE17" i="29"/>
  <c r="V17" i="29"/>
  <c r="U17" i="29"/>
  <c r="O17" i="29"/>
  <c r="M17" i="29"/>
  <c r="N17" i="29" s="1"/>
  <c r="K17" i="29"/>
  <c r="G17" i="29"/>
  <c r="AF16" i="29"/>
  <c r="AE16" i="29"/>
  <c r="V16" i="29"/>
  <c r="M16" i="29" s="1"/>
  <c r="N16" i="29" s="1"/>
  <c r="U16" i="29"/>
  <c r="O16" i="29"/>
  <c r="K16" i="29"/>
  <c r="G16" i="29"/>
  <c r="AF15" i="29"/>
  <c r="AE15" i="29"/>
  <c r="V15" i="29"/>
  <c r="M15" i="29" s="1"/>
  <c r="N15" i="29" s="1"/>
  <c r="U15" i="29"/>
  <c r="O15" i="29"/>
  <c r="K15" i="29"/>
  <c r="G15" i="29"/>
  <c r="AF14" i="29"/>
  <c r="AE14" i="29"/>
  <c r="V14" i="29"/>
  <c r="M14" i="29" s="1"/>
  <c r="N14" i="29" s="1"/>
  <c r="O14" i="29"/>
  <c r="K14" i="29"/>
  <c r="G14" i="29"/>
  <c r="AD13" i="29"/>
  <c r="Z13" i="29"/>
  <c r="E19" i="28" s="1"/>
  <c r="Y13" i="29"/>
  <c r="E18" i="28" s="1"/>
  <c r="O13" i="29"/>
  <c r="K13" i="29"/>
  <c r="E13" i="28" s="1"/>
  <c r="AF12" i="29"/>
  <c r="AE12" i="29"/>
  <c r="V12" i="29"/>
  <c r="M12" i="29" s="1"/>
  <c r="N12" i="29" s="1"/>
  <c r="U12" i="29"/>
  <c r="Q12" i="29"/>
  <c r="P12" i="29"/>
  <c r="O12" i="29"/>
  <c r="K12" i="29"/>
  <c r="G12" i="29"/>
  <c r="AF11" i="29"/>
  <c r="AE11" i="29"/>
  <c r="X11" i="29"/>
  <c r="W11" i="29"/>
  <c r="V11" i="29"/>
  <c r="M11" i="29" s="1"/>
  <c r="O11" i="29"/>
  <c r="K11" i="29"/>
  <c r="G11" i="29"/>
  <c r="AD10" i="29"/>
  <c r="AD2" i="29" s="1"/>
  <c r="N6" i="28" s="1"/>
  <c r="Z10" i="29"/>
  <c r="Y10" i="29"/>
  <c r="D18" i="28" s="1"/>
  <c r="O10" i="29"/>
  <c r="K10" i="29"/>
  <c r="D13" i="28" s="1"/>
  <c r="AF9" i="29"/>
  <c r="AE9" i="29"/>
  <c r="V9" i="29"/>
  <c r="M9" i="29" s="1"/>
  <c r="N9" i="29" s="1"/>
  <c r="U9" i="29"/>
  <c r="Q9" i="29"/>
  <c r="P9" i="29"/>
  <c r="O9" i="29"/>
  <c r="K9" i="29"/>
  <c r="G9" i="29"/>
  <c r="AE8" i="29"/>
  <c r="X8" i="29"/>
  <c r="W8" i="29"/>
  <c r="V8" i="29"/>
  <c r="M8" i="29" s="1"/>
  <c r="U8" i="29"/>
  <c r="O8" i="29"/>
  <c r="K8" i="29"/>
  <c r="G8" i="29"/>
  <c r="AF7" i="29"/>
  <c r="AE7" i="29"/>
  <c r="V7" i="29"/>
  <c r="M7" i="29" s="1"/>
  <c r="N7" i="29" s="1"/>
  <c r="U7" i="29"/>
  <c r="Q7" i="29"/>
  <c r="P7" i="29"/>
  <c r="O7" i="29"/>
  <c r="K7" i="29"/>
  <c r="G7" i="29"/>
  <c r="AE6" i="29"/>
  <c r="V6" i="29"/>
  <c r="M6" i="29" s="1"/>
  <c r="U6" i="29"/>
  <c r="O6" i="29"/>
  <c r="K6" i="29"/>
  <c r="G6" i="29"/>
  <c r="AE5" i="29"/>
  <c r="V5" i="29"/>
  <c r="M5" i="29" s="1"/>
  <c r="O5" i="29"/>
  <c r="K5" i="29"/>
  <c r="G5" i="29"/>
  <c r="Y2" i="29"/>
  <c r="K6" i="28" s="1"/>
  <c r="H2" i="29"/>
  <c r="F2" i="29"/>
  <c r="H1" i="29"/>
  <c r="F1" i="29"/>
  <c r="D1" i="29"/>
  <c r="M22" i="28"/>
  <c r="L22" i="28"/>
  <c r="K22" i="28"/>
  <c r="J22" i="28"/>
  <c r="I22" i="28"/>
  <c r="H22" i="28"/>
  <c r="G22" i="28"/>
  <c r="F22" i="28"/>
  <c r="E22" i="28"/>
  <c r="D22" i="28"/>
  <c r="M21" i="28"/>
  <c r="K21" i="28"/>
  <c r="J21" i="28"/>
  <c r="H21" i="28"/>
  <c r="G21" i="28"/>
  <c r="F21" i="28"/>
  <c r="E21" i="28"/>
  <c r="D21" i="28"/>
  <c r="M20" i="28"/>
  <c r="L20" i="28"/>
  <c r="K20" i="28"/>
  <c r="J20" i="28"/>
  <c r="I20" i="28"/>
  <c r="H20" i="28"/>
  <c r="G20" i="28"/>
  <c r="F20" i="28"/>
  <c r="E20" i="28"/>
  <c r="D20" i="28"/>
  <c r="M19" i="28"/>
  <c r="L19" i="28"/>
  <c r="K19" i="28"/>
  <c r="J19" i="28"/>
  <c r="I19" i="28"/>
  <c r="H19" i="28"/>
  <c r="G19" i="28"/>
  <c r="M18" i="28"/>
  <c r="L18" i="28"/>
  <c r="K18" i="28"/>
  <c r="J18" i="28"/>
  <c r="I18" i="28"/>
  <c r="H18" i="28"/>
  <c r="G18" i="28"/>
  <c r="M17" i="28"/>
  <c r="L17" i="28"/>
  <c r="K17" i="28"/>
  <c r="J17" i="28"/>
  <c r="I17" i="28"/>
  <c r="H17" i="28"/>
  <c r="G17" i="28"/>
  <c r="F17" i="28"/>
  <c r="E17" i="28"/>
  <c r="D17" i="28"/>
  <c r="M16" i="28"/>
  <c r="L16" i="28"/>
  <c r="K16" i="28"/>
  <c r="J16" i="28"/>
  <c r="I16" i="28"/>
  <c r="H16" i="28"/>
  <c r="G16" i="28"/>
  <c r="F16" i="28"/>
  <c r="E16" i="28"/>
  <c r="D16" i="28"/>
  <c r="J14" i="28"/>
  <c r="J15" i="28" s="1"/>
  <c r="M13" i="28"/>
  <c r="L13" i="28"/>
  <c r="K13" i="28"/>
  <c r="J13" i="28"/>
  <c r="I13" i="28"/>
  <c r="H13" i="28"/>
  <c r="F13" i="28"/>
  <c r="M6" i="28"/>
  <c r="G6" i="28"/>
  <c r="F6" i="28"/>
  <c r="E6" i="28"/>
  <c r="I3" i="28"/>
  <c r="F3" i="28"/>
  <c r="C3" i="28"/>
  <c r="E7" i="30" l="1"/>
  <c r="F7" i="30"/>
  <c r="G7" i="30"/>
  <c r="L15" i="30"/>
  <c r="I8" i="30" s="1"/>
  <c r="I7" i="30"/>
  <c r="G8" i="30"/>
  <c r="F8" i="30"/>
  <c r="E8" i="30"/>
  <c r="F14" i="28"/>
  <c r="F15" i="28" s="1"/>
  <c r="Q23" i="29"/>
  <c r="R14" i="29" s="1"/>
  <c r="P23" i="29"/>
  <c r="K14" i="28"/>
  <c r="Q42" i="29"/>
  <c r="R36" i="29" s="1"/>
  <c r="P42" i="29"/>
  <c r="I6" i="28"/>
  <c r="P64" i="29"/>
  <c r="P25" i="29"/>
  <c r="P20" i="29"/>
  <c r="N35" i="29"/>
  <c r="Q35" i="29" s="1"/>
  <c r="R24" i="29" s="1"/>
  <c r="N5" i="29"/>
  <c r="AF5" i="29"/>
  <c r="M10" i="29"/>
  <c r="N6" i="29"/>
  <c r="AF6" i="29"/>
  <c r="AF8" i="29"/>
  <c r="N8" i="29"/>
  <c r="Z2" i="29"/>
  <c r="L6" i="28" s="1"/>
  <c r="D19" i="28"/>
  <c r="N11" i="29"/>
  <c r="M13" i="29"/>
  <c r="Q14" i="29"/>
  <c r="P14" i="29"/>
  <c r="Q15" i="29"/>
  <c r="P15" i="29"/>
  <c r="Q16" i="29"/>
  <c r="P16" i="29"/>
  <c r="Q17" i="29"/>
  <c r="P17" i="29"/>
  <c r="Q18" i="29"/>
  <c r="P18" i="29"/>
  <c r="AF19" i="29"/>
  <c r="AE19" i="29"/>
  <c r="P19" i="29"/>
  <c r="Q19" i="29"/>
  <c r="AF21" i="29"/>
  <c r="AE21" i="29"/>
  <c r="P21" i="29"/>
  <c r="Q21" i="29"/>
  <c r="AF22" i="29"/>
  <c r="AE22" i="29"/>
  <c r="AF23" i="29"/>
  <c r="AG14" i="29" s="1"/>
  <c r="AE23" i="29"/>
  <c r="AF24" i="29"/>
  <c r="AE24" i="29"/>
  <c r="AF25" i="29"/>
  <c r="AE25" i="29"/>
  <c r="AE26" i="29"/>
  <c r="AF26" i="29"/>
  <c r="N27" i="29"/>
  <c r="AF27" i="29"/>
  <c r="Q30" i="29"/>
  <c r="P30" i="29"/>
  <c r="Q31" i="29"/>
  <c r="P31" i="29"/>
  <c r="Q32" i="29"/>
  <c r="P32" i="29"/>
  <c r="Q33" i="29"/>
  <c r="P33" i="29"/>
  <c r="Q34" i="29"/>
  <c r="P34" i="29"/>
  <c r="P36" i="29"/>
  <c r="Q36" i="29"/>
  <c r="Q37" i="29"/>
  <c r="P37" i="29"/>
  <c r="Q38" i="29"/>
  <c r="P38" i="29"/>
  <c r="AF39" i="29"/>
  <c r="AE39" i="29"/>
  <c r="P39" i="29"/>
  <c r="Q39" i="29"/>
  <c r="AF41" i="29"/>
  <c r="AE41" i="29"/>
  <c r="P41" i="29"/>
  <c r="Q41" i="29"/>
  <c r="AF42" i="29"/>
  <c r="AG36" i="29" s="1"/>
  <c r="AE42" i="29"/>
  <c r="AF43" i="29"/>
  <c r="AE43" i="29"/>
  <c r="M50" i="29"/>
  <c r="AE50" i="29" s="1"/>
  <c r="AF44" i="29"/>
  <c r="AE44" i="29"/>
  <c r="P44" i="29"/>
  <c r="Q44" i="29"/>
  <c r="AF45" i="29"/>
  <c r="AE45" i="29"/>
  <c r="Q45" i="29"/>
  <c r="P45" i="29"/>
  <c r="AF46" i="29"/>
  <c r="AE46" i="29"/>
  <c r="AF47" i="29"/>
  <c r="AE47" i="29"/>
  <c r="AE48" i="29"/>
  <c r="AF48" i="29"/>
  <c r="N49" i="29"/>
  <c r="AF49" i="29"/>
  <c r="AE49" i="29"/>
  <c r="AF51" i="29"/>
  <c r="N51" i="29"/>
  <c r="AE51" i="29"/>
  <c r="N52" i="29"/>
  <c r="AF52" i="29"/>
  <c r="AE52" i="29"/>
  <c r="N53" i="29"/>
  <c r="AF53" i="29"/>
  <c r="Q55" i="29"/>
  <c r="P55" i="29"/>
  <c r="Q56" i="29"/>
  <c r="P56" i="29"/>
  <c r="Q57" i="29"/>
  <c r="P57" i="29"/>
  <c r="AE58" i="29"/>
  <c r="N58" i="29"/>
  <c r="P59" i="29"/>
  <c r="Q59" i="29"/>
  <c r="AE60" i="29"/>
  <c r="N60" i="29"/>
  <c r="AF61" i="29"/>
  <c r="AE61" i="29"/>
  <c r="P61" i="29"/>
  <c r="Q61" i="29"/>
  <c r="AF62" i="29"/>
  <c r="AG51" i="29" s="1"/>
  <c r="AE62" i="29"/>
  <c r="H14" i="28"/>
  <c r="H15" i="28" s="1"/>
  <c r="Q62" i="29"/>
  <c r="R51" i="29" s="1"/>
  <c r="AF63" i="29"/>
  <c r="AE63" i="29"/>
  <c r="M71" i="29"/>
  <c r="AF64" i="29"/>
  <c r="AE64" i="29"/>
  <c r="AF65" i="29"/>
  <c r="AE65" i="29"/>
  <c r="AE66" i="29"/>
  <c r="AF66" i="29"/>
  <c r="N67" i="29"/>
  <c r="AF67" i="29"/>
  <c r="AE67" i="29"/>
  <c r="N68" i="29"/>
  <c r="AF68" i="29"/>
  <c r="AF69" i="29"/>
  <c r="N69" i="29"/>
  <c r="AE69" i="29"/>
  <c r="N70" i="29"/>
  <c r="AF70" i="29"/>
  <c r="Q72" i="29"/>
  <c r="P72" i="29"/>
  <c r="Q73" i="29"/>
  <c r="P73" i="29"/>
  <c r="Q74" i="29"/>
  <c r="P74" i="29"/>
  <c r="Q75" i="29"/>
  <c r="P75" i="29"/>
  <c r="Q76" i="29"/>
  <c r="P76" i="29"/>
  <c r="Q77" i="29"/>
  <c r="R72" i="29" s="1"/>
  <c r="P77" i="29"/>
  <c r="Q78" i="29"/>
  <c r="P78" i="29"/>
  <c r="Q79" i="29"/>
  <c r="P79" i="29"/>
  <c r="Q80" i="29"/>
  <c r="P80" i="29"/>
  <c r="AE81" i="29"/>
  <c r="N81" i="29"/>
  <c r="P82" i="29"/>
  <c r="Q82" i="29"/>
  <c r="AE83" i="29"/>
  <c r="N83" i="29"/>
  <c r="AF84" i="29"/>
  <c r="AG78" i="29" s="1"/>
  <c r="AE84" i="29"/>
  <c r="Q84" i="29"/>
  <c r="R78" i="29" s="1"/>
  <c r="P84" i="29"/>
  <c r="P69" i="29" l="1"/>
  <c r="Q69" i="29"/>
  <c r="N71" i="29"/>
  <c r="AE71" i="29"/>
  <c r="AF71" i="29"/>
  <c r="AG63" i="29" s="1"/>
  <c r="Q53" i="29"/>
  <c r="P53" i="29"/>
  <c r="Q5" i="29"/>
  <c r="P5" i="29"/>
  <c r="K15" i="28"/>
  <c r="Q68" i="29"/>
  <c r="P68" i="29"/>
  <c r="G14" i="28"/>
  <c r="G15" i="28" s="1"/>
  <c r="Q70" i="29"/>
  <c r="P70" i="29"/>
  <c r="Q49" i="29"/>
  <c r="P49" i="29"/>
  <c r="P35" i="29"/>
  <c r="Q27" i="29"/>
  <c r="P27" i="29"/>
  <c r="Q6" i="29"/>
  <c r="P6" i="29"/>
  <c r="Q67" i="29"/>
  <c r="P67" i="29"/>
  <c r="P51" i="29"/>
  <c r="Q51" i="29"/>
  <c r="P8" i="29"/>
  <c r="Q8" i="29"/>
  <c r="N10" i="29"/>
  <c r="AE10" i="29"/>
  <c r="AF10" i="29"/>
  <c r="AG5" i="29" s="1"/>
  <c r="N13" i="29"/>
  <c r="Q13" i="29" s="1"/>
  <c r="R11" i="29" s="1"/>
  <c r="AF13" i="29"/>
  <c r="AG11" i="29" s="1"/>
  <c r="AE13" i="29"/>
  <c r="Q52" i="29"/>
  <c r="P52" i="29"/>
  <c r="Q83" i="29"/>
  <c r="P83" i="29"/>
  <c r="Q81" i="29"/>
  <c r="P81" i="29"/>
  <c r="Q71" i="29"/>
  <c r="R63" i="29" s="1"/>
  <c r="P71" i="29"/>
  <c r="I14" i="28"/>
  <c r="I15" i="28" s="1"/>
  <c r="Q60" i="29"/>
  <c r="P60" i="29"/>
  <c r="Q58" i="29"/>
  <c r="P58" i="29"/>
  <c r="N50" i="29"/>
  <c r="AF50" i="29"/>
  <c r="AG43" i="29" s="1"/>
  <c r="E14" i="28"/>
  <c r="E15" i="28" s="1"/>
  <c r="Q11" i="29"/>
  <c r="P11" i="29"/>
  <c r="Q10" i="29"/>
  <c r="R5" i="29" s="1"/>
  <c r="P10" i="29"/>
  <c r="D2" i="29" l="1"/>
  <c r="D14" i="28"/>
  <c r="P13" i="29"/>
  <c r="P50" i="29"/>
  <c r="L14" i="28"/>
  <c r="Q50" i="29"/>
  <c r="R43" i="29" s="1"/>
  <c r="L15" i="28" l="1"/>
  <c r="I8" i="28" s="1"/>
  <c r="I7" i="28"/>
  <c r="D15" i="28"/>
  <c r="F7" i="28"/>
  <c r="E7" i="28"/>
  <c r="G7" i="28"/>
  <c r="E8" i="28" l="1"/>
  <c r="G8" i="28"/>
  <c r="F8" i="28"/>
  <c r="AD80" i="27" l="1"/>
  <c r="Z80" i="27"/>
  <c r="Y80" i="27"/>
  <c r="O80" i="27"/>
  <c r="K80" i="27"/>
  <c r="V79" i="27"/>
  <c r="U79" i="27"/>
  <c r="O79" i="27"/>
  <c r="M79" i="27"/>
  <c r="AE79" i="27" s="1"/>
  <c r="K79" i="27"/>
  <c r="G79" i="27"/>
  <c r="AF78" i="27"/>
  <c r="AE78" i="27"/>
  <c r="X78" i="27"/>
  <c r="W78" i="27"/>
  <c r="V78" i="27"/>
  <c r="U78" i="27"/>
  <c r="O78" i="27"/>
  <c r="N78" i="27"/>
  <c r="Q78" i="27" s="1"/>
  <c r="M78" i="27"/>
  <c r="K78" i="27"/>
  <c r="G78" i="27"/>
  <c r="V77" i="27"/>
  <c r="U77" i="27"/>
  <c r="O77" i="27"/>
  <c r="M77" i="27"/>
  <c r="AE77" i="27" s="1"/>
  <c r="K77" i="27"/>
  <c r="G77" i="27"/>
  <c r="AF76" i="27"/>
  <c r="AE76" i="27"/>
  <c r="V76" i="27"/>
  <c r="U76" i="27"/>
  <c r="O76" i="27"/>
  <c r="N76" i="27"/>
  <c r="Q76" i="27" s="1"/>
  <c r="M76" i="27"/>
  <c r="K76" i="27"/>
  <c r="G76" i="27"/>
  <c r="V75" i="27"/>
  <c r="M75" i="27" s="1"/>
  <c r="U75" i="27"/>
  <c r="O75" i="27"/>
  <c r="K75" i="27"/>
  <c r="G75" i="27"/>
  <c r="AE74" i="27"/>
  <c r="X74" i="27"/>
  <c r="W74" i="27"/>
  <c r="V74" i="27"/>
  <c r="O74" i="27"/>
  <c r="M74" i="27"/>
  <c r="N74" i="27" s="1"/>
  <c r="K74" i="27"/>
  <c r="G74" i="27"/>
  <c r="AD73" i="27"/>
  <c r="Z73" i="27"/>
  <c r="Y73" i="27"/>
  <c r="O73" i="27"/>
  <c r="K73" i="27"/>
  <c r="V72" i="27"/>
  <c r="M72" i="27" s="1"/>
  <c r="U72" i="27"/>
  <c r="O72" i="27"/>
  <c r="K72" i="27"/>
  <c r="G72" i="27"/>
  <c r="V71" i="27"/>
  <c r="M71" i="27" s="1"/>
  <c r="U71" i="27"/>
  <c r="O71" i="27"/>
  <c r="K71" i="27"/>
  <c r="G71" i="27"/>
  <c r="V70" i="27"/>
  <c r="M70" i="27" s="1"/>
  <c r="U70" i="27"/>
  <c r="O70" i="27"/>
  <c r="K70" i="27"/>
  <c r="G70" i="27"/>
  <c r="V69" i="27"/>
  <c r="M69" i="27" s="1"/>
  <c r="U69" i="27"/>
  <c r="O69" i="27"/>
  <c r="K69" i="27"/>
  <c r="G69" i="27"/>
  <c r="V68" i="27"/>
  <c r="M68" i="27" s="1"/>
  <c r="U68" i="27"/>
  <c r="O68" i="27"/>
  <c r="K68" i="27"/>
  <c r="G68" i="27"/>
  <c r="V67" i="27"/>
  <c r="M67" i="27" s="1"/>
  <c r="O67" i="27"/>
  <c r="K67" i="27"/>
  <c r="G67" i="27"/>
  <c r="AD66" i="27"/>
  <c r="Z66" i="27"/>
  <c r="Y66" i="27"/>
  <c r="O66" i="27"/>
  <c r="K66" i="27"/>
  <c r="V65" i="27"/>
  <c r="M65" i="27" s="1"/>
  <c r="U65" i="27"/>
  <c r="O65" i="27"/>
  <c r="K65" i="27"/>
  <c r="G65" i="27"/>
  <c r="X64" i="27"/>
  <c r="W64" i="27"/>
  <c r="V64" i="27"/>
  <c r="M64" i="27" s="1"/>
  <c r="U64" i="27"/>
  <c r="O64" i="27"/>
  <c r="K64" i="27"/>
  <c r="G64" i="27"/>
  <c r="V63" i="27"/>
  <c r="M63" i="27" s="1"/>
  <c r="U63" i="27"/>
  <c r="O63" i="27"/>
  <c r="K63" i="27"/>
  <c r="G63" i="27"/>
  <c r="V62" i="27"/>
  <c r="U62" i="27"/>
  <c r="O62" i="27"/>
  <c r="M62" i="27"/>
  <c r="AF62" i="27" s="1"/>
  <c r="K62" i="27"/>
  <c r="G62" i="27"/>
  <c r="V61" i="27"/>
  <c r="U61" i="27"/>
  <c r="O61" i="27"/>
  <c r="N61" i="27"/>
  <c r="P61" i="27" s="1"/>
  <c r="M61" i="27"/>
  <c r="AF61" i="27" s="1"/>
  <c r="K61" i="27"/>
  <c r="Q61" i="27" s="1"/>
  <c r="G61" i="27"/>
  <c r="V60" i="27"/>
  <c r="U60" i="27"/>
  <c r="O60" i="27"/>
  <c r="N60" i="27"/>
  <c r="Q60" i="27" s="1"/>
  <c r="M60" i="27"/>
  <c r="AF60" i="27" s="1"/>
  <c r="K60" i="27"/>
  <c r="G60" i="27"/>
  <c r="V59" i="27"/>
  <c r="O59" i="27"/>
  <c r="N59" i="27"/>
  <c r="Q59" i="27" s="1"/>
  <c r="M59" i="27"/>
  <c r="AF59" i="27" s="1"/>
  <c r="K59" i="27"/>
  <c r="G59" i="27"/>
  <c r="AD58" i="27"/>
  <c r="Z58" i="27"/>
  <c r="Y58" i="27"/>
  <c r="O58" i="27"/>
  <c r="K58" i="27"/>
  <c r="AF57" i="27"/>
  <c r="AE57" i="27"/>
  <c r="V57" i="27"/>
  <c r="U57" i="27"/>
  <c r="O57" i="27"/>
  <c r="N57" i="27"/>
  <c r="Q57" i="27" s="1"/>
  <c r="M57" i="27"/>
  <c r="K57" i="27"/>
  <c r="G57" i="27"/>
  <c r="AE56" i="27"/>
  <c r="V56" i="27"/>
  <c r="U56" i="27"/>
  <c r="O56" i="27"/>
  <c r="M56" i="27"/>
  <c r="N56" i="27" s="1"/>
  <c r="K56" i="27"/>
  <c r="G56" i="27"/>
  <c r="V55" i="27"/>
  <c r="M55" i="27" s="1"/>
  <c r="U55" i="27"/>
  <c r="O55" i="27"/>
  <c r="K55" i="27"/>
  <c r="G55" i="27"/>
  <c r="V54" i="27"/>
  <c r="M54" i="27" s="1"/>
  <c r="U54" i="27"/>
  <c r="O54" i="27"/>
  <c r="K54" i="27"/>
  <c r="G54" i="27"/>
  <c r="V53" i="27"/>
  <c r="M53" i="27" s="1"/>
  <c r="U53" i="27"/>
  <c r="O53" i="27"/>
  <c r="K53" i="27"/>
  <c r="G53" i="27"/>
  <c r="X52" i="27"/>
  <c r="W52" i="27"/>
  <c r="V52" i="27"/>
  <c r="M52" i="27" s="1"/>
  <c r="O52" i="27"/>
  <c r="K52" i="27"/>
  <c r="G52" i="27"/>
  <c r="AD51" i="27"/>
  <c r="Z51" i="27"/>
  <c r="Y51" i="27"/>
  <c r="O51" i="27"/>
  <c r="K51" i="27"/>
  <c r="V50" i="27"/>
  <c r="M50" i="27" s="1"/>
  <c r="U50" i="27"/>
  <c r="O50" i="27"/>
  <c r="K50" i="27"/>
  <c r="G50" i="27"/>
  <c r="X49" i="27"/>
  <c r="W49" i="27"/>
  <c r="V49" i="27"/>
  <c r="M49" i="27" s="1"/>
  <c r="U49" i="27"/>
  <c r="O49" i="27"/>
  <c r="K49" i="27"/>
  <c r="G49" i="27"/>
  <c r="V48" i="27"/>
  <c r="M48" i="27" s="1"/>
  <c r="U48" i="27"/>
  <c r="O48" i="27"/>
  <c r="K48" i="27"/>
  <c r="G48" i="27"/>
  <c r="V47" i="27"/>
  <c r="M47" i="27" s="1"/>
  <c r="U47" i="27"/>
  <c r="O47" i="27"/>
  <c r="K47" i="27"/>
  <c r="G47" i="27"/>
  <c r="V46" i="27"/>
  <c r="M46" i="27" s="1"/>
  <c r="U46" i="27"/>
  <c r="O46" i="27"/>
  <c r="K46" i="27"/>
  <c r="G46" i="27"/>
  <c r="V45" i="27"/>
  <c r="M45" i="27" s="1"/>
  <c r="U45" i="27"/>
  <c r="O45" i="27"/>
  <c r="K45" i="27"/>
  <c r="G45" i="27"/>
  <c r="V44" i="27"/>
  <c r="U44" i="27"/>
  <c r="O44" i="27"/>
  <c r="M44" i="27"/>
  <c r="AF44" i="27" s="1"/>
  <c r="K44" i="27"/>
  <c r="G44" i="27"/>
  <c r="X43" i="27"/>
  <c r="W43" i="27"/>
  <c r="V43" i="27"/>
  <c r="M43" i="27" s="1"/>
  <c r="O43" i="27"/>
  <c r="K43" i="27"/>
  <c r="G43" i="27"/>
  <c r="AD42" i="27"/>
  <c r="Z42" i="27"/>
  <c r="Y42" i="27"/>
  <c r="O42" i="27"/>
  <c r="K42" i="27"/>
  <c r="V41" i="27"/>
  <c r="U41" i="27"/>
  <c r="O41" i="27"/>
  <c r="M41" i="27"/>
  <c r="AF41" i="27" s="1"/>
  <c r="K41" i="27"/>
  <c r="G41" i="27"/>
  <c r="X40" i="27"/>
  <c r="W40" i="27"/>
  <c r="V40" i="27"/>
  <c r="M40" i="27" s="1"/>
  <c r="U40" i="27"/>
  <c r="O40" i="27"/>
  <c r="K40" i="27"/>
  <c r="G40" i="27"/>
  <c r="V39" i="27"/>
  <c r="U39" i="27"/>
  <c r="O39" i="27"/>
  <c r="M39" i="27"/>
  <c r="AF39" i="27" s="1"/>
  <c r="K39" i="27"/>
  <c r="G39" i="27"/>
  <c r="V38" i="27"/>
  <c r="U38" i="27"/>
  <c r="O38" i="27"/>
  <c r="N38" i="27"/>
  <c r="P38" i="27" s="1"/>
  <c r="M38" i="27"/>
  <c r="AF38" i="27" s="1"/>
  <c r="K38" i="27"/>
  <c r="Q38" i="27" s="1"/>
  <c r="G38" i="27"/>
  <c r="V37" i="27"/>
  <c r="U37" i="27"/>
  <c r="O37" i="27"/>
  <c r="N37" i="27"/>
  <c r="Q37" i="27" s="1"/>
  <c r="M37" i="27"/>
  <c r="AF37" i="27" s="1"/>
  <c r="K37" i="27"/>
  <c r="G37" i="27"/>
  <c r="X36" i="27"/>
  <c r="W36" i="27"/>
  <c r="V36" i="27"/>
  <c r="O36" i="27"/>
  <c r="M36" i="27"/>
  <c r="K36" i="27"/>
  <c r="G36" i="27"/>
  <c r="AD35" i="27"/>
  <c r="Z35" i="27"/>
  <c r="Y35" i="27"/>
  <c r="O35" i="27"/>
  <c r="K35" i="27"/>
  <c r="V34" i="27"/>
  <c r="U34" i="27"/>
  <c r="O34" i="27"/>
  <c r="N34" i="27"/>
  <c r="Q34" i="27" s="1"/>
  <c r="M34" i="27"/>
  <c r="AF34" i="27" s="1"/>
  <c r="K34" i="27"/>
  <c r="G34" i="27"/>
  <c r="V33" i="27"/>
  <c r="U33" i="27"/>
  <c r="O33" i="27"/>
  <c r="M33" i="27"/>
  <c r="AE33" i="27" s="1"/>
  <c r="K33" i="27"/>
  <c r="G33" i="27"/>
  <c r="AF32" i="27"/>
  <c r="AE32" i="27"/>
  <c r="X32" i="27"/>
  <c r="W32" i="27"/>
  <c r="V32" i="27"/>
  <c r="U32" i="27"/>
  <c r="O32" i="27"/>
  <c r="N32" i="27"/>
  <c r="Q32" i="27" s="1"/>
  <c r="M32" i="27"/>
  <c r="K32" i="27"/>
  <c r="G32" i="27"/>
  <c r="V31" i="27"/>
  <c r="U31" i="27"/>
  <c r="O31" i="27"/>
  <c r="M31" i="27"/>
  <c r="AE31" i="27" s="1"/>
  <c r="K31" i="27"/>
  <c r="G31" i="27"/>
  <c r="AF30" i="27"/>
  <c r="AE30" i="27"/>
  <c r="V30" i="27"/>
  <c r="U30" i="27"/>
  <c r="O30" i="27"/>
  <c r="N30" i="27"/>
  <c r="Q30" i="27" s="1"/>
  <c r="M30" i="27"/>
  <c r="K30" i="27"/>
  <c r="G30" i="27"/>
  <c r="AE29" i="27"/>
  <c r="V29" i="27"/>
  <c r="U29" i="27"/>
  <c r="O29" i="27"/>
  <c r="M29" i="27"/>
  <c r="N29" i="27" s="1"/>
  <c r="K29" i="27"/>
  <c r="G29" i="27"/>
  <c r="V28" i="27"/>
  <c r="M28" i="27" s="1"/>
  <c r="U28" i="27"/>
  <c r="O28" i="27"/>
  <c r="K28" i="27"/>
  <c r="G28" i="27"/>
  <c r="V27" i="27"/>
  <c r="M27" i="27" s="1"/>
  <c r="U27" i="27"/>
  <c r="O27" i="27"/>
  <c r="K27" i="27"/>
  <c r="G27" i="27"/>
  <c r="V26" i="27"/>
  <c r="M26" i="27" s="1"/>
  <c r="U26" i="27"/>
  <c r="O26" i="27"/>
  <c r="K26" i="27"/>
  <c r="G26" i="27"/>
  <c r="V25" i="27"/>
  <c r="M25" i="27" s="1"/>
  <c r="U25" i="27"/>
  <c r="O25" i="27"/>
  <c r="K25" i="27"/>
  <c r="G25" i="27"/>
  <c r="V24" i="27"/>
  <c r="M24" i="27" s="1"/>
  <c r="O24" i="27"/>
  <c r="K24" i="27"/>
  <c r="G24" i="27"/>
  <c r="AD23" i="27"/>
  <c r="Z23" i="27"/>
  <c r="Z2" i="27" s="1"/>
  <c r="L6" i="26" s="1"/>
  <c r="Y23" i="27"/>
  <c r="Y2" i="27" s="1"/>
  <c r="K6" i="26" s="1"/>
  <c r="O23" i="27"/>
  <c r="K23" i="27"/>
  <c r="V22" i="27"/>
  <c r="M22" i="27" s="1"/>
  <c r="U22" i="27"/>
  <c r="O22" i="27"/>
  <c r="K22" i="27"/>
  <c r="G22" i="27"/>
  <c r="V21" i="27"/>
  <c r="U21" i="27"/>
  <c r="O21" i="27"/>
  <c r="M21" i="27"/>
  <c r="AF21" i="27" s="1"/>
  <c r="K21" i="27"/>
  <c r="G21" i="27"/>
  <c r="X20" i="27"/>
  <c r="W20" i="27"/>
  <c r="V20" i="27"/>
  <c r="M20" i="27" s="1"/>
  <c r="U20" i="27"/>
  <c r="O20" i="27"/>
  <c r="K20" i="27"/>
  <c r="G20" i="27"/>
  <c r="V19" i="27"/>
  <c r="U19" i="27"/>
  <c r="O19" i="27"/>
  <c r="M19" i="27"/>
  <c r="AF19" i="27" s="1"/>
  <c r="K19" i="27"/>
  <c r="G19" i="27"/>
  <c r="V18" i="27"/>
  <c r="U18" i="27"/>
  <c r="O18" i="27"/>
  <c r="N18" i="27"/>
  <c r="P18" i="27" s="1"/>
  <c r="M18" i="27"/>
  <c r="AF18" i="27" s="1"/>
  <c r="K18" i="27"/>
  <c r="Q18" i="27" s="1"/>
  <c r="G18" i="27"/>
  <c r="V17" i="27"/>
  <c r="U17" i="27"/>
  <c r="O17" i="27"/>
  <c r="N17" i="27"/>
  <c r="Q17" i="27" s="1"/>
  <c r="M17" i="27"/>
  <c r="AF17" i="27" s="1"/>
  <c r="K17" i="27"/>
  <c r="G17" i="27"/>
  <c r="V16" i="27"/>
  <c r="U16" i="27"/>
  <c r="O16" i="27"/>
  <c r="M16" i="27"/>
  <c r="AE16" i="27" s="1"/>
  <c r="K16" i="27"/>
  <c r="G16" i="27"/>
  <c r="AF15" i="27"/>
  <c r="AE15" i="27"/>
  <c r="V15" i="27"/>
  <c r="U15" i="27"/>
  <c r="O15" i="27"/>
  <c r="N15" i="27"/>
  <c r="Q15" i="27" s="1"/>
  <c r="M15" i="27"/>
  <c r="K15" i="27"/>
  <c r="G15" i="27"/>
  <c r="AF14" i="27"/>
  <c r="AE14" i="27"/>
  <c r="V14" i="27"/>
  <c r="O14" i="27"/>
  <c r="N14" i="27"/>
  <c r="Q14" i="27" s="1"/>
  <c r="M14" i="27"/>
  <c r="K14" i="27"/>
  <c r="G14" i="27"/>
  <c r="AD13" i="27"/>
  <c r="Z13" i="27"/>
  <c r="Y13" i="27"/>
  <c r="O13" i="27"/>
  <c r="K13" i="27"/>
  <c r="V12" i="27"/>
  <c r="M12" i="27" s="1"/>
  <c r="U12" i="27"/>
  <c r="O12" i="27"/>
  <c r="K12" i="27"/>
  <c r="G12" i="27"/>
  <c r="AF11" i="27"/>
  <c r="X11" i="27"/>
  <c r="W11" i="27"/>
  <c r="V11" i="27"/>
  <c r="O11" i="27"/>
  <c r="N11" i="27"/>
  <c r="Q11" i="27" s="1"/>
  <c r="M11" i="27"/>
  <c r="K11" i="27"/>
  <c r="G11" i="27"/>
  <c r="AD10" i="27"/>
  <c r="AD2" i="27" s="1"/>
  <c r="N6" i="26" s="1"/>
  <c r="Z10" i="27"/>
  <c r="Y10" i="27"/>
  <c r="O10" i="27"/>
  <c r="K10" i="27"/>
  <c r="V9" i="27"/>
  <c r="M9" i="27" s="1"/>
  <c r="U9" i="27"/>
  <c r="O9" i="27"/>
  <c r="K9" i="27"/>
  <c r="G9" i="27"/>
  <c r="AF8" i="27"/>
  <c r="X8" i="27"/>
  <c r="W8" i="27"/>
  <c r="V8" i="27"/>
  <c r="U8" i="27"/>
  <c r="O8" i="27"/>
  <c r="M8" i="27"/>
  <c r="N8" i="27" s="1"/>
  <c r="K8" i="27"/>
  <c r="G8" i="27"/>
  <c r="V7" i="27"/>
  <c r="M7" i="27" s="1"/>
  <c r="U7" i="27"/>
  <c r="O7" i="27"/>
  <c r="K7" i="27"/>
  <c r="G7" i="27"/>
  <c r="V6" i="27"/>
  <c r="M6" i="27" s="1"/>
  <c r="U6" i="27"/>
  <c r="O6" i="27"/>
  <c r="K6" i="27"/>
  <c r="G6" i="27"/>
  <c r="V5" i="27"/>
  <c r="M5" i="27" s="1"/>
  <c r="O5" i="27"/>
  <c r="K5" i="27"/>
  <c r="G5" i="27"/>
  <c r="F1" i="27" s="1"/>
  <c r="AC2" i="27"/>
  <c r="H2" i="27"/>
  <c r="H1" i="27"/>
  <c r="D1" i="27"/>
  <c r="M22" i="26"/>
  <c r="L22" i="26"/>
  <c r="K22" i="26"/>
  <c r="J22" i="26"/>
  <c r="I22" i="26"/>
  <c r="H22" i="26"/>
  <c r="G22" i="26"/>
  <c r="F22" i="26"/>
  <c r="E22" i="26"/>
  <c r="D22" i="26"/>
  <c r="M21" i="26"/>
  <c r="L21" i="26"/>
  <c r="K21" i="26"/>
  <c r="J21" i="26"/>
  <c r="I21" i="26"/>
  <c r="H21" i="26"/>
  <c r="G21" i="26"/>
  <c r="F21" i="26"/>
  <c r="E21" i="26"/>
  <c r="D21" i="26"/>
  <c r="M20" i="26"/>
  <c r="L20" i="26"/>
  <c r="K20" i="26"/>
  <c r="J20" i="26"/>
  <c r="I20" i="26"/>
  <c r="H20" i="26"/>
  <c r="G20" i="26"/>
  <c r="F20" i="26"/>
  <c r="E20" i="26"/>
  <c r="D20" i="26"/>
  <c r="M19" i="26"/>
  <c r="L19" i="26"/>
  <c r="K19" i="26"/>
  <c r="J19" i="26"/>
  <c r="I19" i="26"/>
  <c r="H19" i="26"/>
  <c r="G19" i="26"/>
  <c r="F19" i="26"/>
  <c r="E19" i="26"/>
  <c r="D19" i="26"/>
  <c r="M18" i="26"/>
  <c r="L18" i="26"/>
  <c r="K18" i="26"/>
  <c r="J18" i="26"/>
  <c r="I18" i="26"/>
  <c r="H18" i="26"/>
  <c r="G18" i="26"/>
  <c r="F18" i="26"/>
  <c r="E18" i="26"/>
  <c r="D18" i="26"/>
  <c r="M17" i="26"/>
  <c r="L17" i="26"/>
  <c r="K17" i="26"/>
  <c r="J17" i="26"/>
  <c r="I17" i="26"/>
  <c r="H17" i="26"/>
  <c r="G17" i="26"/>
  <c r="F17" i="26"/>
  <c r="E17" i="26"/>
  <c r="D17" i="26"/>
  <c r="M16" i="26"/>
  <c r="L16" i="26"/>
  <c r="K16" i="26"/>
  <c r="J16" i="26"/>
  <c r="I16" i="26"/>
  <c r="H16" i="26"/>
  <c r="G16" i="26"/>
  <c r="F16" i="26"/>
  <c r="E16" i="26"/>
  <c r="D16" i="26"/>
  <c r="M13" i="26"/>
  <c r="L13" i="26"/>
  <c r="K13" i="26"/>
  <c r="I6" i="26" s="1"/>
  <c r="J13" i="26"/>
  <c r="I13" i="26"/>
  <c r="H13" i="26"/>
  <c r="G6" i="26" s="1"/>
  <c r="G13" i="26"/>
  <c r="F13" i="26"/>
  <c r="E13" i="26"/>
  <c r="D13" i="26"/>
  <c r="M6" i="26"/>
  <c r="F3" i="26"/>
  <c r="C3" i="26"/>
  <c r="Q74" i="27" l="1"/>
  <c r="P74" i="27"/>
  <c r="N69" i="27"/>
  <c r="AF69" i="27"/>
  <c r="AE69" i="27"/>
  <c r="N72" i="27"/>
  <c r="AF72" i="27"/>
  <c r="AE72" i="27"/>
  <c r="AF64" i="27"/>
  <c r="AE64" i="27"/>
  <c r="N64" i="27"/>
  <c r="N50" i="27"/>
  <c r="AF50" i="27"/>
  <c r="AE50" i="27"/>
  <c r="N25" i="27"/>
  <c r="AF25" i="27"/>
  <c r="AE25" i="27"/>
  <c r="Q8" i="27"/>
  <c r="P8" i="27"/>
  <c r="AF22" i="27"/>
  <c r="AE22" i="27"/>
  <c r="N22" i="27"/>
  <c r="N48" i="27"/>
  <c r="AF48" i="27"/>
  <c r="AE48" i="27"/>
  <c r="AF46" i="27"/>
  <c r="AE46" i="27"/>
  <c r="N46" i="27"/>
  <c r="N55" i="27"/>
  <c r="AF55" i="27"/>
  <c r="AE55" i="27"/>
  <c r="N6" i="27"/>
  <c r="AF6" i="27"/>
  <c r="AE6" i="27"/>
  <c r="AF40" i="27"/>
  <c r="AE40" i="27"/>
  <c r="N40" i="27"/>
  <c r="N67" i="27"/>
  <c r="AF67" i="27"/>
  <c r="AE67" i="27"/>
  <c r="M73" i="27"/>
  <c r="N28" i="27"/>
  <c r="AF28" i="27"/>
  <c r="AE28" i="27"/>
  <c r="N49" i="27"/>
  <c r="AF49" i="27"/>
  <c r="AE49" i="27"/>
  <c r="Q56" i="27"/>
  <c r="P56" i="27"/>
  <c r="M13" i="27"/>
  <c r="N26" i="27"/>
  <c r="AF26" i="27"/>
  <c r="AE26" i="27"/>
  <c r="AF63" i="27"/>
  <c r="AE63" i="27"/>
  <c r="N63" i="27"/>
  <c r="AF65" i="27"/>
  <c r="AE65" i="27"/>
  <c r="N65" i="27"/>
  <c r="N70" i="27"/>
  <c r="AF70" i="27"/>
  <c r="AE70" i="27"/>
  <c r="M23" i="27"/>
  <c r="N53" i="27"/>
  <c r="AF53" i="27"/>
  <c r="AE53" i="27"/>
  <c r="N12" i="27"/>
  <c r="AF12" i="27"/>
  <c r="AE12" i="27"/>
  <c r="I3" i="26"/>
  <c r="F2" i="27"/>
  <c r="Q29" i="27"/>
  <c r="P29" i="27"/>
  <c r="N47" i="27"/>
  <c r="AF47" i="27"/>
  <c r="AE47" i="27"/>
  <c r="N68" i="27"/>
  <c r="AF68" i="27"/>
  <c r="AE68" i="27"/>
  <c r="N7" i="27"/>
  <c r="AF7" i="27"/>
  <c r="AE7" i="27"/>
  <c r="N24" i="27"/>
  <c r="AF24" i="27"/>
  <c r="AE24" i="27"/>
  <c r="M35" i="27"/>
  <c r="AF43" i="27"/>
  <c r="AE43" i="27"/>
  <c r="M51" i="27"/>
  <c r="N43" i="27"/>
  <c r="AF45" i="27"/>
  <c r="AE45" i="27"/>
  <c r="N45" i="27"/>
  <c r="N52" i="27"/>
  <c r="AF52" i="27"/>
  <c r="AE52" i="27"/>
  <c r="M58" i="27"/>
  <c r="N54" i="27"/>
  <c r="AF54" i="27"/>
  <c r="AE54" i="27"/>
  <c r="N5" i="27"/>
  <c r="M10" i="27"/>
  <c r="AF5" i="27"/>
  <c r="AE5" i="27"/>
  <c r="N9" i="27"/>
  <c r="AF9" i="27"/>
  <c r="AE9" i="27"/>
  <c r="AF20" i="27"/>
  <c r="AE20" i="27"/>
  <c r="N20" i="27"/>
  <c r="M42" i="27"/>
  <c r="N75" i="27"/>
  <c r="AF75" i="27"/>
  <c r="AE75" i="27"/>
  <c r="N27" i="27"/>
  <c r="AF27" i="27"/>
  <c r="AE27" i="27"/>
  <c r="N71" i="27"/>
  <c r="AF71" i="27"/>
  <c r="AE71" i="27"/>
  <c r="AF16" i="27"/>
  <c r="AF31" i="27"/>
  <c r="AF33" i="27"/>
  <c r="AF77" i="27"/>
  <c r="AF79" i="27"/>
  <c r="AE11" i="27"/>
  <c r="N19" i="27"/>
  <c r="N21" i="27"/>
  <c r="AF29" i="27"/>
  <c r="N36" i="27"/>
  <c r="N39" i="27"/>
  <c r="N41" i="27"/>
  <c r="N44" i="27"/>
  <c r="AF56" i="27"/>
  <c r="N62" i="27"/>
  <c r="AF74" i="27"/>
  <c r="M80" i="27"/>
  <c r="AE8" i="27"/>
  <c r="N16" i="27"/>
  <c r="N31" i="27"/>
  <c r="N33" i="27"/>
  <c r="N77" i="27"/>
  <c r="N79" i="27"/>
  <c r="E6" i="26"/>
  <c r="P17" i="27"/>
  <c r="P32" i="27"/>
  <c r="P34" i="27"/>
  <c r="P37" i="27"/>
  <c r="P59" i="27"/>
  <c r="P60" i="27"/>
  <c r="P78" i="27"/>
  <c r="F6" i="26"/>
  <c r="P11" i="27"/>
  <c r="P14" i="27"/>
  <c r="P15" i="27"/>
  <c r="AE19" i="27"/>
  <c r="AE21" i="27"/>
  <c r="P30" i="27"/>
  <c r="AE39" i="27"/>
  <c r="AE41" i="27"/>
  <c r="AE44" i="27"/>
  <c r="P57" i="27"/>
  <c r="AE62" i="27"/>
  <c r="P76" i="27"/>
  <c r="AE18" i="27"/>
  <c r="AE38" i="27"/>
  <c r="AE61" i="27"/>
  <c r="AE17" i="27"/>
  <c r="AE34" i="27"/>
  <c r="AE36" i="27"/>
  <c r="AE37" i="27"/>
  <c r="AE59" i="27"/>
  <c r="AE60" i="27"/>
  <c r="M66" i="27"/>
  <c r="AF36" i="27"/>
  <c r="Q22" i="27" l="1"/>
  <c r="P22" i="27"/>
  <c r="Q9" i="27"/>
  <c r="P9" i="27"/>
  <c r="Q52" i="27"/>
  <c r="P52" i="27"/>
  <c r="Q7" i="27"/>
  <c r="P7" i="27"/>
  <c r="Q63" i="27"/>
  <c r="P63" i="27"/>
  <c r="P6" i="27"/>
  <c r="Q6" i="27"/>
  <c r="Q31" i="27"/>
  <c r="P31" i="27"/>
  <c r="Q16" i="27"/>
  <c r="P16" i="27"/>
  <c r="Q19" i="27"/>
  <c r="P19" i="27"/>
  <c r="P27" i="27"/>
  <c r="Q27" i="27"/>
  <c r="Q12" i="27"/>
  <c r="P12" i="27"/>
  <c r="Q48" i="27"/>
  <c r="P48" i="27"/>
  <c r="Q77" i="27"/>
  <c r="P77" i="27"/>
  <c r="P49" i="27"/>
  <c r="Q49" i="27"/>
  <c r="Q28" i="27"/>
  <c r="P28" i="27"/>
  <c r="Q72" i="27"/>
  <c r="P72" i="27"/>
  <c r="Q50" i="27"/>
  <c r="P50" i="27"/>
  <c r="Q39" i="27"/>
  <c r="P39" i="27"/>
  <c r="Q71" i="27"/>
  <c r="P71" i="27"/>
  <c r="Q21" i="27"/>
  <c r="P21" i="27"/>
  <c r="P5" i="27"/>
  <c r="Q5" i="27"/>
  <c r="N51" i="27"/>
  <c r="AF51" i="27"/>
  <c r="AG43" i="27" s="1"/>
  <c r="AE51" i="27"/>
  <c r="Q68" i="27"/>
  <c r="P68" i="27"/>
  <c r="N73" i="27"/>
  <c r="AF73" i="27"/>
  <c r="AG67" i="27" s="1"/>
  <c r="AE73" i="27"/>
  <c r="Q55" i="27"/>
  <c r="P55" i="27"/>
  <c r="Q79" i="27"/>
  <c r="P79" i="27"/>
  <c r="Q64" i="27"/>
  <c r="P64" i="27"/>
  <c r="N66" i="27"/>
  <c r="AF66" i="27"/>
  <c r="AG59" i="27" s="1"/>
  <c r="AE66" i="27"/>
  <c r="Q75" i="27"/>
  <c r="P75" i="27"/>
  <c r="Q53" i="27"/>
  <c r="P53" i="27"/>
  <c r="Q46" i="27"/>
  <c r="P46" i="27"/>
  <c r="Q41" i="27"/>
  <c r="P41" i="27"/>
  <c r="Q24" i="27"/>
  <c r="P24" i="27"/>
  <c r="Q33" i="27"/>
  <c r="P33" i="27"/>
  <c r="Q45" i="27"/>
  <c r="P45" i="27"/>
  <c r="Q62" i="27"/>
  <c r="P62" i="27"/>
  <c r="AF42" i="27"/>
  <c r="AG36" i="27" s="1"/>
  <c r="AE42" i="27"/>
  <c r="N42" i="27"/>
  <c r="N23" i="27"/>
  <c r="AF23" i="27"/>
  <c r="AG14" i="27" s="1"/>
  <c r="AE23" i="27"/>
  <c r="Q26" i="27"/>
  <c r="P26" i="27"/>
  <c r="Q25" i="27"/>
  <c r="P25" i="27"/>
  <c r="Q69" i="27"/>
  <c r="P69" i="27"/>
  <c r="P70" i="27"/>
  <c r="Q70" i="27"/>
  <c r="Q65" i="27"/>
  <c r="P65" i="27"/>
  <c r="Q43" i="27"/>
  <c r="P43" i="27"/>
  <c r="Q20" i="27"/>
  <c r="P20" i="27"/>
  <c r="P54" i="27"/>
  <c r="Q54" i="27"/>
  <c r="AF35" i="27"/>
  <c r="AG24" i="27" s="1"/>
  <c r="AE35" i="27"/>
  <c r="N35" i="27"/>
  <c r="Q47" i="27"/>
  <c r="P47" i="27"/>
  <c r="N13" i="27"/>
  <c r="AF13" i="27"/>
  <c r="AG11" i="27" s="1"/>
  <c r="AE13" i="27"/>
  <c r="Q67" i="27"/>
  <c r="P67" i="27"/>
  <c r="Q36" i="27"/>
  <c r="P36" i="27"/>
  <c r="N10" i="27"/>
  <c r="AF10" i="27"/>
  <c r="AG5" i="27" s="1"/>
  <c r="AE10" i="27"/>
  <c r="AF80" i="27"/>
  <c r="AG74" i="27" s="1"/>
  <c r="AE80" i="27"/>
  <c r="N80" i="27"/>
  <c r="Q44" i="27"/>
  <c r="P44" i="27"/>
  <c r="AE58" i="27"/>
  <c r="N58" i="27"/>
  <c r="AF58" i="27"/>
  <c r="AG52" i="27" s="1"/>
  <c r="Q40" i="27"/>
  <c r="P40" i="27"/>
  <c r="K14" i="26" l="1"/>
  <c r="Q42" i="27"/>
  <c r="R36" i="27" s="1"/>
  <c r="P42" i="27"/>
  <c r="Q73" i="27"/>
  <c r="R67" i="27" s="1"/>
  <c r="P73" i="27"/>
  <c r="J14" i="26"/>
  <c r="J15" i="26" s="1"/>
  <c r="Q80" i="27"/>
  <c r="R74" i="27" s="1"/>
  <c r="M14" i="26"/>
  <c r="M15" i="26" s="1"/>
  <c r="P80" i="27"/>
  <c r="Q51" i="27"/>
  <c r="R43" i="27" s="1"/>
  <c r="P51" i="27"/>
  <c r="L14" i="26"/>
  <c r="L15" i="26" s="1"/>
  <c r="G14" i="26"/>
  <c r="G15" i="26" s="1"/>
  <c r="Q35" i="27"/>
  <c r="R24" i="27" s="1"/>
  <c r="P35" i="27"/>
  <c r="Q58" i="27"/>
  <c r="R52" i="27" s="1"/>
  <c r="P58" i="27"/>
  <c r="H14" i="26"/>
  <c r="H15" i="26" s="1"/>
  <c r="F14" i="26"/>
  <c r="F15" i="26" s="1"/>
  <c r="Q23" i="27"/>
  <c r="R14" i="27" s="1"/>
  <c r="P23" i="27"/>
  <c r="I14" i="26"/>
  <c r="I15" i="26" s="1"/>
  <c r="Q66" i="27"/>
  <c r="R59" i="27" s="1"/>
  <c r="P66" i="27"/>
  <c r="Q13" i="27"/>
  <c r="R11" i="27" s="1"/>
  <c r="P13" i="27"/>
  <c r="E14" i="26"/>
  <c r="E15" i="26" s="1"/>
  <c r="D2" i="27"/>
  <c r="Q10" i="27"/>
  <c r="R5" i="27" s="1"/>
  <c r="P10" i="27"/>
  <c r="D14" i="26"/>
  <c r="D15" i="26" l="1"/>
  <c r="G7" i="26"/>
  <c r="F7" i="26"/>
  <c r="E7" i="26"/>
  <c r="K15" i="26"/>
  <c r="I8" i="26" s="1"/>
  <c r="I7" i="26"/>
  <c r="G8" i="26" l="1"/>
  <c r="F8" i="26"/>
  <c r="E8" i="26"/>
  <c r="AD76" i="9" l="1"/>
  <c r="AC76" i="9"/>
  <c r="Z76" i="9"/>
  <c r="Y76" i="9"/>
  <c r="O76" i="9"/>
  <c r="K76" i="9"/>
  <c r="AE75" i="9"/>
  <c r="V75" i="9"/>
  <c r="M75" i="9" s="1"/>
  <c r="AF75" i="9" s="1"/>
  <c r="U75" i="9"/>
  <c r="Q75" i="9"/>
  <c r="P75" i="9"/>
  <c r="O75" i="9"/>
  <c r="N75" i="9"/>
  <c r="K75" i="9"/>
  <c r="G75" i="9"/>
  <c r="AF74" i="9"/>
  <c r="AE74" i="9"/>
  <c r="X74" i="9"/>
  <c r="W74" i="9"/>
  <c r="V74" i="9"/>
  <c r="U74" i="9"/>
  <c r="O74" i="9"/>
  <c r="M74" i="9"/>
  <c r="N74" i="9" s="1"/>
  <c r="K74" i="9"/>
  <c r="G74" i="9"/>
  <c r="AF73" i="9"/>
  <c r="AE73" i="9"/>
  <c r="V73" i="9"/>
  <c r="U73" i="9"/>
  <c r="O73" i="9"/>
  <c r="N73" i="9"/>
  <c r="M73" i="9"/>
  <c r="K73" i="9"/>
  <c r="G73" i="9"/>
  <c r="V72" i="9"/>
  <c r="U72" i="9"/>
  <c r="O72" i="9"/>
  <c r="N72" i="9"/>
  <c r="M72" i="9"/>
  <c r="K72" i="9"/>
  <c r="G72" i="9"/>
  <c r="AF71" i="9"/>
  <c r="AE71" i="9"/>
  <c r="V71" i="9"/>
  <c r="U71" i="9"/>
  <c r="O71" i="9"/>
  <c r="N71" i="9"/>
  <c r="Q71" i="9" s="1"/>
  <c r="M71" i="9"/>
  <c r="K71" i="9"/>
  <c r="G71" i="9"/>
  <c r="X70" i="9"/>
  <c r="W70" i="9"/>
  <c r="V70" i="9"/>
  <c r="M70" i="9" s="1"/>
  <c r="Q70" i="9"/>
  <c r="P70" i="9"/>
  <c r="O70" i="9"/>
  <c r="N70" i="9"/>
  <c r="K70" i="9"/>
  <c r="G70" i="9"/>
  <c r="AD69" i="9"/>
  <c r="AC69" i="9"/>
  <c r="Z69" i="9"/>
  <c r="Y69" i="9"/>
  <c r="O69" i="9"/>
  <c r="K69" i="9"/>
  <c r="AF68" i="9"/>
  <c r="AE68" i="9"/>
  <c r="V68" i="9"/>
  <c r="U68" i="9"/>
  <c r="O68" i="9"/>
  <c r="N68" i="9"/>
  <c r="P68" i="9" s="1"/>
  <c r="M68" i="9"/>
  <c r="K68" i="9"/>
  <c r="G68" i="9"/>
  <c r="AF67" i="9"/>
  <c r="V67" i="9"/>
  <c r="U67" i="9"/>
  <c r="O67" i="9"/>
  <c r="N67" i="9"/>
  <c r="M67" i="9"/>
  <c r="AE67" i="9" s="1"/>
  <c r="K67" i="9"/>
  <c r="G67" i="9"/>
  <c r="V66" i="9"/>
  <c r="U66" i="9"/>
  <c r="O66" i="9"/>
  <c r="M66" i="9"/>
  <c r="M69" i="9" s="1"/>
  <c r="K66" i="9"/>
  <c r="G66" i="9"/>
  <c r="V65" i="9"/>
  <c r="U65" i="9"/>
  <c r="P65" i="9"/>
  <c r="O65" i="9"/>
  <c r="N65" i="9"/>
  <c r="Q65" i="9" s="1"/>
  <c r="M65" i="9"/>
  <c r="K65" i="9"/>
  <c r="G65" i="9"/>
  <c r="AF64" i="9"/>
  <c r="V64" i="9"/>
  <c r="U64" i="9"/>
  <c r="Q64" i="9"/>
  <c r="P64" i="9"/>
  <c r="O64" i="9"/>
  <c r="N64" i="9"/>
  <c r="M64" i="9"/>
  <c r="AE64" i="9" s="1"/>
  <c r="K64" i="9"/>
  <c r="G64" i="9"/>
  <c r="V63" i="9"/>
  <c r="P63" i="9"/>
  <c r="O63" i="9"/>
  <c r="N63" i="9"/>
  <c r="Q63" i="9" s="1"/>
  <c r="M63" i="9"/>
  <c r="K63" i="9"/>
  <c r="G63" i="9"/>
  <c r="AD62" i="9"/>
  <c r="AC62" i="9"/>
  <c r="Z62" i="9"/>
  <c r="Y62" i="9"/>
  <c r="O62" i="9"/>
  <c r="K62" i="9"/>
  <c r="AF61" i="9"/>
  <c r="AE61" i="9"/>
  <c r="V61" i="9"/>
  <c r="U61" i="9"/>
  <c r="O61" i="9"/>
  <c r="M61" i="9"/>
  <c r="N61" i="9" s="1"/>
  <c r="Q61" i="9" s="1"/>
  <c r="K61" i="9"/>
  <c r="G61" i="9"/>
  <c r="AF60" i="9"/>
  <c r="AE60" i="9"/>
  <c r="V60" i="9"/>
  <c r="U60" i="9"/>
  <c r="O60" i="9"/>
  <c r="M60" i="9"/>
  <c r="N60" i="9" s="1"/>
  <c r="K60" i="9"/>
  <c r="G60" i="9"/>
  <c r="AF59" i="9"/>
  <c r="AE59" i="9"/>
  <c r="V59" i="9"/>
  <c r="U59" i="9"/>
  <c r="O59" i="9"/>
  <c r="N59" i="9"/>
  <c r="M59" i="9"/>
  <c r="K59" i="9"/>
  <c r="G59" i="9"/>
  <c r="V58" i="9"/>
  <c r="U58" i="9"/>
  <c r="O58" i="9"/>
  <c r="N58" i="9"/>
  <c r="M58" i="9"/>
  <c r="K58" i="9"/>
  <c r="G58" i="9"/>
  <c r="AF57" i="9"/>
  <c r="AE57" i="9"/>
  <c r="V57" i="9"/>
  <c r="U57" i="9"/>
  <c r="Q57" i="9"/>
  <c r="P57" i="9"/>
  <c r="O57" i="9"/>
  <c r="N57" i="9"/>
  <c r="M57" i="9"/>
  <c r="K57" i="9"/>
  <c r="G57" i="9"/>
  <c r="V56" i="9"/>
  <c r="Q56" i="9"/>
  <c r="P56" i="9"/>
  <c r="O56" i="9"/>
  <c r="N56" i="9"/>
  <c r="M56" i="9"/>
  <c r="K56" i="9"/>
  <c r="G56" i="9"/>
  <c r="AD55" i="9"/>
  <c r="AC55" i="9"/>
  <c r="H20" i="8" s="1"/>
  <c r="Z55" i="9"/>
  <c r="Y55" i="9"/>
  <c r="H18" i="8" s="1"/>
  <c r="O55" i="9"/>
  <c r="K55" i="9"/>
  <c r="AF54" i="9"/>
  <c r="AE54" i="9"/>
  <c r="V54" i="9"/>
  <c r="M54" i="9" s="1"/>
  <c r="N54" i="9" s="1"/>
  <c r="U54" i="9"/>
  <c r="Q54" i="9"/>
  <c r="P54" i="9"/>
  <c r="O54" i="9"/>
  <c r="K54" i="9"/>
  <c r="G54" i="9"/>
  <c r="AF53" i="9"/>
  <c r="AE53" i="9"/>
  <c r="V53" i="9"/>
  <c r="M53" i="9" s="1"/>
  <c r="N53" i="9" s="1"/>
  <c r="U53" i="9"/>
  <c r="O53" i="9"/>
  <c r="K53" i="9"/>
  <c r="G53" i="9"/>
  <c r="AF52" i="9"/>
  <c r="AE52" i="9"/>
  <c r="V52" i="9"/>
  <c r="U52" i="9"/>
  <c r="O52" i="9"/>
  <c r="N52" i="9"/>
  <c r="P52" i="9" s="1"/>
  <c r="M52" i="9"/>
  <c r="K52" i="9"/>
  <c r="G52" i="9"/>
  <c r="AF51" i="9"/>
  <c r="V51" i="9"/>
  <c r="U51" i="9"/>
  <c r="O51" i="9"/>
  <c r="N51" i="9"/>
  <c r="M51" i="9"/>
  <c r="AE51" i="9" s="1"/>
  <c r="K51" i="9"/>
  <c r="G51" i="9"/>
  <c r="V50" i="9"/>
  <c r="U50" i="9"/>
  <c r="O50" i="9"/>
  <c r="M50" i="9"/>
  <c r="AF50" i="9" s="1"/>
  <c r="K50" i="9"/>
  <c r="G50" i="9"/>
  <c r="X49" i="9"/>
  <c r="W49" i="9"/>
  <c r="V49" i="9"/>
  <c r="Q49" i="9"/>
  <c r="P49" i="9"/>
  <c r="O49" i="9"/>
  <c r="N49" i="9"/>
  <c r="M49" i="9"/>
  <c r="K49" i="9"/>
  <c r="G49" i="9"/>
  <c r="AF48" i="9"/>
  <c r="AG40" i="9" s="1"/>
  <c r="AE48" i="9"/>
  <c r="AD48" i="9"/>
  <c r="AC48" i="9"/>
  <c r="Z48" i="9"/>
  <c r="Y48" i="9"/>
  <c r="O48" i="9"/>
  <c r="K48" i="9"/>
  <c r="AF47" i="9"/>
  <c r="AE47" i="9"/>
  <c r="V47" i="9"/>
  <c r="U47" i="9"/>
  <c r="Q47" i="9"/>
  <c r="P47" i="9"/>
  <c r="O47" i="9"/>
  <c r="M47" i="9"/>
  <c r="N47" i="9" s="1"/>
  <c r="K47" i="9"/>
  <c r="G47" i="9"/>
  <c r="AF46" i="9"/>
  <c r="AE46" i="9"/>
  <c r="X46" i="9"/>
  <c r="W46" i="9"/>
  <c r="V46" i="9"/>
  <c r="U46" i="9"/>
  <c r="O46" i="9"/>
  <c r="N46" i="9"/>
  <c r="M46" i="9"/>
  <c r="K46" i="9"/>
  <c r="G46" i="9"/>
  <c r="AF45" i="9"/>
  <c r="AE45" i="9"/>
  <c r="V45" i="9"/>
  <c r="U45" i="9"/>
  <c r="Q45" i="9"/>
  <c r="P45" i="9"/>
  <c r="O45" i="9"/>
  <c r="N45" i="9"/>
  <c r="M45" i="9"/>
  <c r="K45" i="9"/>
  <c r="G45" i="9"/>
  <c r="V44" i="9"/>
  <c r="U44" i="9"/>
  <c r="Q44" i="9"/>
  <c r="P44" i="9"/>
  <c r="O44" i="9"/>
  <c r="N44" i="9"/>
  <c r="M44" i="9"/>
  <c r="K44" i="9"/>
  <c r="G44" i="9"/>
  <c r="V43" i="9"/>
  <c r="M43" i="9" s="1"/>
  <c r="U43" i="9"/>
  <c r="O43" i="9"/>
  <c r="K43" i="9"/>
  <c r="G43" i="9"/>
  <c r="V42" i="9"/>
  <c r="U42" i="9"/>
  <c r="O42" i="9"/>
  <c r="N42" i="9"/>
  <c r="P42" i="9" s="1"/>
  <c r="M42" i="9"/>
  <c r="K42" i="9"/>
  <c r="G42" i="9"/>
  <c r="AF41" i="9"/>
  <c r="AE41" i="9"/>
  <c r="V41" i="9"/>
  <c r="M41" i="9" s="1"/>
  <c r="N41" i="9" s="1"/>
  <c r="P41" i="9" s="1"/>
  <c r="U41" i="9"/>
  <c r="Q41" i="9"/>
  <c r="O41" i="9"/>
  <c r="K41" i="9"/>
  <c r="G41" i="9"/>
  <c r="AF40" i="9"/>
  <c r="AE40" i="9"/>
  <c r="X40" i="9"/>
  <c r="W40" i="9"/>
  <c r="V40" i="9"/>
  <c r="O40" i="9"/>
  <c r="N40" i="9"/>
  <c r="M40" i="9"/>
  <c r="M48" i="9" s="1"/>
  <c r="N48" i="9" s="1"/>
  <c r="K40" i="9"/>
  <c r="G40" i="9"/>
  <c r="AD39" i="9"/>
  <c r="AC39" i="9"/>
  <c r="Z39" i="9"/>
  <c r="Y39" i="9"/>
  <c r="O39" i="9"/>
  <c r="K39" i="9"/>
  <c r="AF38" i="9"/>
  <c r="V38" i="9"/>
  <c r="U38" i="9"/>
  <c r="Q38" i="9"/>
  <c r="P38" i="9"/>
  <c r="O38" i="9"/>
  <c r="N38" i="9"/>
  <c r="M38" i="9"/>
  <c r="AE38" i="9" s="1"/>
  <c r="K38" i="9"/>
  <c r="G38" i="9"/>
  <c r="V37" i="9"/>
  <c r="U37" i="9"/>
  <c r="Q37" i="9"/>
  <c r="P37" i="9"/>
  <c r="O37" i="9"/>
  <c r="N37" i="9"/>
  <c r="M37" i="9"/>
  <c r="K37" i="9"/>
  <c r="G37" i="9"/>
  <c r="AE36" i="9"/>
  <c r="X36" i="9"/>
  <c r="W36" i="9"/>
  <c r="V36" i="9"/>
  <c r="M36" i="9" s="1"/>
  <c r="U36" i="9"/>
  <c r="O36" i="9"/>
  <c r="K36" i="9"/>
  <c r="G36" i="9"/>
  <c r="AF35" i="9"/>
  <c r="AE35" i="9"/>
  <c r="V35" i="9"/>
  <c r="U35" i="9"/>
  <c r="Q35" i="9"/>
  <c r="P35" i="9"/>
  <c r="O35" i="9"/>
  <c r="M35" i="9"/>
  <c r="N35" i="9" s="1"/>
  <c r="K35" i="9"/>
  <c r="G35" i="9"/>
  <c r="AF34" i="9"/>
  <c r="AE34" i="9"/>
  <c r="V34" i="9"/>
  <c r="U34" i="9"/>
  <c r="O34" i="9"/>
  <c r="M34" i="9"/>
  <c r="N34" i="9" s="1"/>
  <c r="K34" i="9"/>
  <c r="G34" i="9"/>
  <c r="V33" i="9"/>
  <c r="U33" i="9"/>
  <c r="O33" i="9"/>
  <c r="M33" i="9"/>
  <c r="AE33" i="9" s="1"/>
  <c r="K33" i="9"/>
  <c r="G33" i="9"/>
  <c r="X32" i="9"/>
  <c r="W32" i="9"/>
  <c r="V32" i="9"/>
  <c r="Q32" i="9"/>
  <c r="P32" i="9"/>
  <c r="O32" i="9"/>
  <c r="N32" i="9"/>
  <c r="M32" i="9"/>
  <c r="K32" i="9"/>
  <c r="G32" i="9"/>
  <c r="AD31" i="9"/>
  <c r="AC31" i="9"/>
  <c r="G20" i="8" s="1"/>
  <c r="Z31" i="9"/>
  <c r="Y31" i="9"/>
  <c r="G18" i="8" s="1"/>
  <c r="O31" i="9"/>
  <c r="K31" i="9"/>
  <c r="AF30" i="9"/>
  <c r="AE30" i="9"/>
  <c r="V30" i="9"/>
  <c r="M30" i="9" s="1"/>
  <c r="N30" i="9" s="1"/>
  <c r="U30" i="9"/>
  <c r="Q30" i="9"/>
  <c r="P30" i="9"/>
  <c r="O30" i="9"/>
  <c r="K30" i="9"/>
  <c r="G30" i="9"/>
  <c r="AF29" i="9"/>
  <c r="AE29" i="9"/>
  <c r="X29" i="9"/>
  <c r="W29" i="9"/>
  <c r="V29" i="9"/>
  <c r="U29" i="9"/>
  <c r="O29" i="9"/>
  <c r="N29" i="9"/>
  <c r="M29" i="9"/>
  <c r="K29" i="9"/>
  <c r="G29" i="9"/>
  <c r="AF28" i="9"/>
  <c r="AE28" i="9"/>
  <c r="V28" i="9"/>
  <c r="U28" i="9"/>
  <c r="P28" i="9"/>
  <c r="O28" i="9"/>
  <c r="N28" i="9"/>
  <c r="Q28" i="9" s="1"/>
  <c r="M28" i="9"/>
  <c r="K28" i="9"/>
  <c r="G28" i="9"/>
  <c r="V27" i="9"/>
  <c r="U27" i="9"/>
  <c r="O27" i="9"/>
  <c r="N27" i="9"/>
  <c r="Q27" i="9" s="1"/>
  <c r="M27" i="9"/>
  <c r="K27" i="9"/>
  <c r="G27" i="9"/>
  <c r="AF26" i="9"/>
  <c r="V26" i="9"/>
  <c r="U26" i="9"/>
  <c r="Q26" i="9"/>
  <c r="P26" i="9"/>
  <c r="O26" i="9"/>
  <c r="N26" i="9"/>
  <c r="M26" i="9"/>
  <c r="AE26" i="9" s="1"/>
  <c r="K26" i="9"/>
  <c r="G26" i="9"/>
  <c r="V25" i="9"/>
  <c r="U25" i="9"/>
  <c r="O25" i="9"/>
  <c r="N25" i="9"/>
  <c r="P25" i="9" s="1"/>
  <c r="M25" i="9"/>
  <c r="K25" i="9"/>
  <c r="G25" i="9"/>
  <c r="AE24" i="9"/>
  <c r="V24" i="9"/>
  <c r="M24" i="9" s="1"/>
  <c r="U24" i="9"/>
  <c r="O24" i="9"/>
  <c r="K24" i="9"/>
  <c r="G24" i="9"/>
  <c r="AF23" i="9"/>
  <c r="AE23" i="9"/>
  <c r="V23" i="9"/>
  <c r="M23" i="9" s="1"/>
  <c r="U23" i="9"/>
  <c r="Q23" i="9"/>
  <c r="P23" i="9"/>
  <c r="O23" i="9"/>
  <c r="N23" i="9"/>
  <c r="K23" i="9"/>
  <c r="G23" i="9"/>
  <c r="AF22" i="9"/>
  <c r="AE22" i="9"/>
  <c r="V22" i="9"/>
  <c r="O22" i="9"/>
  <c r="M22" i="9"/>
  <c r="K22" i="9"/>
  <c r="G22" i="9"/>
  <c r="AD21" i="9"/>
  <c r="AC21" i="9"/>
  <c r="F20" i="8" s="1"/>
  <c r="Z21" i="9"/>
  <c r="Y21" i="9"/>
  <c r="O21" i="9"/>
  <c r="M21" i="9"/>
  <c r="AF21" i="9" s="1"/>
  <c r="AG12" i="9" s="1"/>
  <c r="K21" i="9"/>
  <c r="V20" i="9"/>
  <c r="U20" i="9"/>
  <c r="O20" i="9"/>
  <c r="N20" i="9"/>
  <c r="Q20" i="9" s="1"/>
  <c r="M20" i="9"/>
  <c r="K20" i="9"/>
  <c r="G20" i="9"/>
  <c r="AF19" i="9"/>
  <c r="AE19" i="9"/>
  <c r="V19" i="9"/>
  <c r="U19" i="9"/>
  <c r="O19" i="9"/>
  <c r="N19" i="9"/>
  <c r="Q19" i="9" s="1"/>
  <c r="M19" i="9"/>
  <c r="K19" i="9"/>
  <c r="G19" i="9"/>
  <c r="X18" i="9"/>
  <c r="W18" i="9"/>
  <c r="V18" i="9"/>
  <c r="U18" i="9"/>
  <c r="O18" i="9"/>
  <c r="M18" i="9"/>
  <c r="N18" i="9" s="1"/>
  <c r="K18" i="9"/>
  <c r="G18" i="9"/>
  <c r="AF17" i="9"/>
  <c r="AE17" i="9"/>
  <c r="V17" i="9"/>
  <c r="M17" i="9" s="1"/>
  <c r="N17" i="9" s="1"/>
  <c r="P17" i="9" s="1"/>
  <c r="U17" i="9"/>
  <c r="Q17" i="9"/>
  <c r="O17" i="9"/>
  <c r="K17" i="9"/>
  <c r="G17" i="9"/>
  <c r="AF16" i="9"/>
  <c r="AE16" i="9"/>
  <c r="V16" i="9"/>
  <c r="M16" i="9" s="1"/>
  <c r="N16" i="9" s="1"/>
  <c r="U16" i="9"/>
  <c r="Q16" i="9"/>
  <c r="P16" i="9"/>
  <c r="O16" i="9"/>
  <c r="K16" i="9"/>
  <c r="G16" i="9"/>
  <c r="AF15" i="9"/>
  <c r="AE15" i="9"/>
  <c r="V15" i="9"/>
  <c r="U15" i="9"/>
  <c r="O15" i="9"/>
  <c r="M15" i="9"/>
  <c r="N15" i="9" s="1"/>
  <c r="K15" i="9"/>
  <c r="G15" i="9"/>
  <c r="AF14" i="9"/>
  <c r="AE14" i="9"/>
  <c r="V14" i="9"/>
  <c r="U14" i="9"/>
  <c r="O14" i="9"/>
  <c r="N14" i="9"/>
  <c r="P14" i="9" s="1"/>
  <c r="M14" i="9"/>
  <c r="K14" i="9"/>
  <c r="G14" i="9"/>
  <c r="AF13" i="9"/>
  <c r="V13" i="9"/>
  <c r="U13" i="9"/>
  <c r="O13" i="9"/>
  <c r="N13" i="9"/>
  <c r="M13" i="9"/>
  <c r="AE13" i="9" s="1"/>
  <c r="K13" i="9"/>
  <c r="G13" i="9"/>
  <c r="AF12" i="9"/>
  <c r="AE12" i="9"/>
  <c r="V12" i="9"/>
  <c r="O12" i="9"/>
  <c r="N12" i="9"/>
  <c r="Q12" i="9" s="1"/>
  <c r="M12" i="9"/>
  <c r="K12" i="9"/>
  <c r="G12" i="9"/>
  <c r="AD11" i="9"/>
  <c r="E21" i="8" s="1"/>
  <c r="AC11" i="9"/>
  <c r="E20" i="8" s="1"/>
  <c r="Z11" i="9"/>
  <c r="E19" i="8" s="1"/>
  <c r="Y11" i="9"/>
  <c r="E18" i="8" s="1"/>
  <c r="O11" i="9"/>
  <c r="M11" i="9"/>
  <c r="N11" i="9" s="1"/>
  <c r="K11" i="9"/>
  <c r="AE10" i="9"/>
  <c r="V10" i="9"/>
  <c r="M10" i="9" s="1"/>
  <c r="U10" i="9"/>
  <c r="O10" i="9"/>
  <c r="K10" i="9"/>
  <c r="G10" i="9"/>
  <c r="AF9" i="9"/>
  <c r="AE9" i="9"/>
  <c r="X9" i="9"/>
  <c r="W9" i="9"/>
  <c r="V9" i="9"/>
  <c r="Q9" i="9"/>
  <c r="O9" i="9"/>
  <c r="N9" i="9"/>
  <c r="P9" i="9" s="1"/>
  <c r="M9" i="9"/>
  <c r="K9" i="9"/>
  <c r="G9" i="9"/>
  <c r="AD8" i="9"/>
  <c r="D21" i="8" s="1"/>
  <c r="AC8" i="9"/>
  <c r="Z8" i="9"/>
  <c r="D19" i="8" s="1"/>
  <c r="Y8" i="9"/>
  <c r="O8" i="9"/>
  <c r="M8" i="9"/>
  <c r="AE8" i="9" s="1"/>
  <c r="K8" i="9"/>
  <c r="AF7" i="9"/>
  <c r="AE7" i="9"/>
  <c r="V7" i="9"/>
  <c r="U7" i="9"/>
  <c r="O7" i="9"/>
  <c r="N7" i="9"/>
  <c r="Q7" i="9" s="1"/>
  <c r="M7" i="9"/>
  <c r="K7" i="9"/>
  <c r="G7" i="9"/>
  <c r="V6" i="9"/>
  <c r="U6" i="9"/>
  <c r="O6" i="9"/>
  <c r="N6" i="9"/>
  <c r="P6" i="9" s="1"/>
  <c r="M6" i="9"/>
  <c r="K6" i="9"/>
  <c r="G6" i="9"/>
  <c r="AE5" i="9"/>
  <c r="V5" i="9"/>
  <c r="M5" i="9" s="1"/>
  <c r="O5" i="9"/>
  <c r="K5" i="9"/>
  <c r="G5" i="9"/>
  <c r="F1" i="9" s="1"/>
  <c r="AD2" i="9"/>
  <c r="N6" i="8" s="1"/>
  <c r="AC2" i="9"/>
  <c r="M6" i="8" s="1"/>
  <c r="Z2" i="9"/>
  <c r="L6" i="8" s="1"/>
  <c r="Y2" i="9"/>
  <c r="K6" i="8" s="1"/>
  <c r="H2" i="9"/>
  <c r="F2" i="9"/>
  <c r="H1" i="9"/>
  <c r="D1" i="9"/>
  <c r="M22" i="8"/>
  <c r="L22" i="8"/>
  <c r="K22" i="8"/>
  <c r="J22" i="8"/>
  <c r="I22" i="8"/>
  <c r="H22" i="8"/>
  <c r="G22" i="8"/>
  <c r="F22" i="8"/>
  <c r="E22" i="8"/>
  <c r="D22" i="8"/>
  <c r="M21" i="8"/>
  <c r="L21" i="8"/>
  <c r="K21" i="8"/>
  <c r="J21" i="8"/>
  <c r="I21" i="8"/>
  <c r="H21" i="8"/>
  <c r="G21" i="8"/>
  <c r="F21" i="8"/>
  <c r="M20" i="8"/>
  <c r="L20" i="8"/>
  <c r="K20" i="8"/>
  <c r="J20" i="8"/>
  <c r="I20" i="8"/>
  <c r="D20" i="8"/>
  <c r="M19" i="8"/>
  <c r="L19" i="8"/>
  <c r="K19" i="8"/>
  <c r="J19" i="8"/>
  <c r="I19" i="8"/>
  <c r="H19" i="8"/>
  <c r="G19" i="8"/>
  <c r="F19" i="8"/>
  <c r="M18" i="8"/>
  <c r="L18" i="8"/>
  <c r="K18" i="8"/>
  <c r="J18" i="8"/>
  <c r="I18" i="8"/>
  <c r="F18" i="8"/>
  <c r="D18" i="8"/>
  <c r="M17" i="8"/>
  <c r="L17" i="8"/>
  <c r="K17" i="8"/>
  <c r="J17" i="8"/>
  <c r="I17" i="8"/>
  <c r="H17" i="8"/>
  <c r="G17" i="8"/>
  <c r="F17" i="8"/>
  <c r="E17" i="8"/>
  <c r="D17" i="8"/>
  <c r="M16" i="8"/>
  <c r="L16" i="8"/>
  <c r="K16" i="8"/>
  <c r="J16" i="8"/>
  <c r="I16" i="8"/>
  <c r="H16" i="8"/>
  <c r="G16" i="8"/>
  <c r="F16" i="8"/>
  <c r="E16" i="8"/>
  <c r="D16" i="8"/>
  <c r="L15" i="8"/>
  <c r="L14" i="8"/>
  <c r="M13" i="8"/>
  <c r="L13" i="8"/>
  <c r="K13" i="8"/>
  <c r="I6" i="8" s="1"/>
  <c r="J13" i="8"/>
  <c r="I13" i="8"/>
  <c r="H13" i="8"/>
  <c r="G13" i="8"/>
  <c r="F13" i="8"/>
  <c r="E13" i="8"/>
  <c r="D13" i="8"/>
  <c r="G6" i="8"/>
  <c r="F6" i="8"/>
  <c r="I3" i="8"/>
  <c r="F3" i="8"/>
  <c r="C3" i="8"/>
  <c r="AF69" i="9" l="1"/>
  <c r="AG63" i="9" s="1"/>
  <c r="AE69" i="9"/>
  <c r="N69" i="9"/>
  <c r="J14" i="8" s="1"/>
  <c r="J15" i="8" s="1"/>
  <c r="Q18" i="9"/>
  <c r="P18" i="9"/>
  <c r="E14" i="8"/>
  <c r="E15" i="8" s="1"/>
  <c r="Q11" i="9"/>
  <c r="R9" i="9" s="1"/>
  <c r="P11" i="9"/>
  <c r="Q6" i="9"/>
  <c r="Q14" i="9"/>
  <c r="P27" i="9"/>
  <c r="AF33" i="9"/>
  <c r="AE66" i="9"/>
  <c r="E6" i="8"/>
  <c r="AF8" i="9"/>
  <c r="AG5" i="9" s="1"/>
  <c r="P12" i="9"/>
  <c r="N8" i="9"/>
  <c r="N33" i="9"/>
  <c r="Q33" i="9" s="1"/>
  <c r="N50" i="9"/>
  <c r="N66" i="9"/>
  <c r="P20" i="9"/>
  <c r="AE50" i="9"/>
  <c r="P19" i="9"/>
  <c r="P71" i="9"/>
  <c r="Q52" i="9"/>
  <c r="Q68" i="9"/>
  <c r="Q25" i="9"/>
  <c r="Q42" i="9"/>
  <c r="P7" i="9"/>
  <c r="M39" i="9"/>
  <c r="N39" i="9" s="1"/>
  <c r="AE21" i="9"/>
  <c r="N21" i="9"/>
  <c r="P21" i="9" s="1"/>
  <c r="AF66" i="9"/>
  <c r="P61" i="9"/>
  <c r="AF5" i="9"/>
  <c r="N5" i="9"/>
  <c r="AF6" i="9"/>
  <c r="AE6" i="9"/>
  <c r="AF10" i="9"/>
  <c r="N10" i="9"/>
  <c r="AF11" i="9"/>
  <c r="AG9" i="9" s="1"/>
  <c r="AE11" i="9"/>
  <c r="Q13" i="9"/>
  <c r="P13" i="9"/>
  <c r="Q15" i="9"/>
  <c r="P15" i="9"/>
  <c r="AF18" i="9"/>
  <c r="AE18" i="9"/>
  <c r="AF20" i="9"/>
  <c r="AE20" i="9"/>
  <c r="Q21" i="9"/>
  <c r="R12" i="9" s="1"/>
  <c r="F14" i="8"/>
  <c r="F15" i="8" s="1"/>
  <c r="M31" i="9"/>
  <c r="AE31" i="9" s="1"/>
  <c r="N22" i="9"/>
  <c r="AF24" i="9"/>
  <c r="N24" i="9"/>
  <c r="AF25" i="9"/>
  <c r="AE25" i="9"/>
  <c r="AF27" i="9"/>
  <c r="AE27" i="9"/>
  <c r="Q29" i="9"/>
  <c r="P29" i="9"/>
  <c r="AF32" i="9"/>
  <c r="AE32" i="9"/>
  <c r="Q34" i="9"/>
  <c r="P34" i="9"/>
  <c r="AF36" i="9"/>
  <c r="N36" i="9"/>
  <c r="AF37" i="9"/>
  <c r="AE37" i="9"/>
  <c r="AF39" i="9"/>
  <c r="AG32" i="9" s="1"/>
  <c r="AE39" i="9"/>
  <c r="Q48" i="9"/>
  <c r="R40" i="9" s="1"/>
  <c r="P48" i="9"/>
  <c r="Q40" i="9"/>
  <c r="P40" i="9"/>
  <c r="AF42" i="9"/>
  <c r="AE42" i="9"/>
  <c r="AF43" i="9"/>
  <c r="AE43" i="9"/>
  <c r="N43" i="9"/>
  <c r="AF44" i="9"/>
  <c r="AE44" i="9"/>
  <c r="Q46" i="9"/>
  <c r="P46" i="9"/>
  <c r="AF49" i="9"/>
  <c r="AE49" i="9"/>
  <c r="M55" i="9"/>
  <c r="AE55" i="9" s="1"/>
  <c r="Q51" i="9"/>
  <c r="P51" i="9"/>
  <c r="Q53" i="9"/>
  <c r="P53" i="9"/>
  <c r="AF56" i="9"/>
  <c r="AE56" i="9"/>
  <c r="M62" i="9"/>
  <c r="AF58" i="9"/>
  <c r="AE58" i="9"/>
  <c r="P58" i="9"/>
  <c r="Q58" i="9"/>
  <c r="Q59" i="9"/>
  <c r="P59" i="9"/>
  <c r="Q60" i="9"/>
  <c r="P60" i="9"/>
  <c r="AE63" i="9"/>
  <c r="AF63" i="9"/>
  <c r="AF65" i="9"/>
  <c r="AE65" i="9"/>
  <c r="Q67" i="9"/>
  <c r="P67" i="9"/>
  <c r="Q69" i="9"/>
  <c r="R63" i="9" s="1"/>
  <c r="P69" i="9"/>
  <c r="M76" i="9"/>
  <c r="AF70" i="9"/>
  <c r="AE70" i="9"/>
  <c r="AF72" i="9"/>
  <c r="AE72" i="9"/>
  <c r="P72" i="9"/>
  <c r="Q72" i="9"/>
  <c r="Q73" i="9"/>
  <c r="P73" i="9"/>
  <c r="Q74" i="9"/>
  <c r="P74" i="9"/>
  <c r="AC9" i="1"/>
  <c r="AC12" i="1"/>
  <c r="AC20" i="1"/>
  <c r="AC29" i="1"/>
  <c r="AC36" i="1"/>
  <c r="AC44" i="1"/>
  <c r="AC51" i="1"/>
  <c r="AC59" i="1"/>
  <c r="AC66" i="1"/>
  <c r="AC73" i="1"/>
  <c r="Q43" i="9" l="1"/>
  <c r="P43" i="9"/>
  <c r="N62" i="9"/>
  <c r="I14" i="8" s="1"/>
  <c r="I15" i="8" s="1"/>
  <c r="AF62" i="9"/>
  <c r="AG56" i="9" s="1"/>
  <c r="AE62" i="9"/>
  <c r="Q66" i="9"/>
  <c r="P66" i="9"/>
  <c r="Q24" i="9"/>
  <c r="P24" i="9"/>
  <c r="Q50" i="9"/>
  <c r="P50" i="9"/>
  <c r="Q39" i="9"/>
  <c r="R32" i="9" s="1"/>
  <c r="P39" i="9"/>
  <c r="K14" i="8"/>
  <c r="P33" i="9"/>
  <c r="D14" i="8"/>
  <c r="P8" i="9"/>
  <c r="Q8" i="9"/>
  <c r="R5" i="9" s="1"/>
  <c r="D2" i="9"/>
  <c r="Q5" i="9"/>
  <c r="P5" i="9"/>
  <c r="Q10" i="9"/>
  <c r="P10" i="9"/>
  <c r="AF76" i="9"/>
  <c r="AG70" i="9" s="1"/>
  <c r="AE76" i="9"/>
  <c r="N76" i="9"/>
  <c r="Q62" i="9"/>
  <c r="R56" i="9" s="1"/>
  <c r="P62" i="9"/>
  <c r="AF55" i="9"/>
  <c r="AG49" i="9" s="1"/>
  <c r="N55" i="9"/>
  <c r="Q36" i="9"/>
  <c r="P36" i="9"/>
  <c r="Q22" i="9"/>
  <c r="P22" i="9"/>
  <c r="AF31" i="9"/>
  <c r="AG22" i="9" s="1"/>
  <c r="N31" i="9"/>
  <c r="AC2" i="1"/>
  <c r="AD72" i="7"/>
  <c r="Z72" i="7"/>
  <c r="Y72" i="7"/>
  <c r="O72" i="7"/>
  <c r="K72" i="7"/>
  <c r="M13" i="6" s="1"/>
  <c r="AF71" i="7"/>
  <c r="AE71" i="7"/>
  <c r="V71" i="7"/>
  <c r="U71" i="7"/>
  <c r="O71" i="7"/>
  <c r="N71" i="7"/>
  <c r="Q71" i="7" s="1"/>
  <c r="M71" i="7"/>
  <c r="K71" i="7"/>
  <c r="G71" i="7"/>
  <c r="V70" i="7"/>
  <c r="U70" i="7"/>
  <c r="O70" i="7"/>
  <c r="M70" i="7"/>
  <c r="M72" i="7" s="1"/>
  <c r="K70" i="7"/>
  <c r="G70" i="7"/>
  <c r="AF69" i="7"/>
  <c r="AE69" i="7"/>
  <c r="V69" i="7"/>
  <c r="U69" i="7"/>
  <c r="Q69" i="7"/>
  <c r="P69" i="7"/>
  <c r="O69" i="7"/>
  <c r="N69" i="7"/>
  <c r="M69" i="7"/>
  <c r="K69" i="7"/>
  <c r="G69" i="7"/>
  <c r="V68" i="7"/>
  <c r="U68" i="7"/>
  <c r="O68" i="7"/>
  <c r="N68" i="7"/>
  <c r="Q68" i="7" s="1"/>
  <c r="M68" i="7"/>
  <c r="K68" i="7"/>
  <c r="G68" i="7"/>
  <c r="AF67" i="7"/>
  <c r="AE67" i="7"/>
  <c r="AC72" i="7"/>
  <c r="X67" i="7"/>
  <c r="W67" i="7"/>
  <c r="V67" i="7"/>
  <c r="O67" i="7"/>
  <c r="M67" i="7"/>
  <c r="N67" i="7" s="1"/>
  <c r="K67" i="7"/>
  <c r="G67" i="7"/>
  <c r="AD66" i="7"/>
  <c r="J21" i="6" s="1"/>
  <c r="AC66" i="7"/>
  <c r="J20" i="6" s="1"/>
  <c r="Z66" i="7"/>
  <c r="Y66" i="7"/>
  <c r="O66" i="7"/>
  <c r="K66" i="7"/>
  <c r="V65" i="7"/>
  <c r="U65" i="7"/>
  <c r="O65" i="7"/>
  <c r="M65" i="7"/>
  <c r="K65" i="7"/>
  <c r="G65" i="7"/>
  <c r="V64" i="7"/>
  <c r="M64" i="7" s="1"/>
  <c r="N64" i="7" s="1"/>
  <c r="U64" i="7"/>
  <c r="O64" i="7"/>
  <c r="K64" i="7"/>
  <c r="G64" i="7"/>
  <c r="V63" i="7"/>
  <c r="U63" i="7"/>
  <c r="O63" i="7"/>
  <c r="M63" i="7"/>
  <c r="N63" i="7" s="1"/>
  <c r="K63" i="7"/>
  <c r="G63" i="7"/>
  <c r="AF62" i="7"/>
  <c r="V62" i="7"/>
  <c r="U62" i="7"/>
  <c r="O62" i="7"/>
  <c r="M62" i="7"/>
  <c r="AE62" i="7" s="1"/>
  <c r="K62" i="7"/>
  <c r="G62" i="7"/>
  <c r="AF61" i="7"/>
  <c r="AE61" i="7"/>
  <c r="V61" i="7"/>
  <c r="U61" i="7"/>
  <c r="O61" i="7"/>
  <c r="N61" i="7"/>
  <c r="Q61" i="7" s="1"/>
  <c r="M61" i="7"/>
  <c r="K61" i="7"/>
  <c r="G61" i="7"/>
  <c r="V60" i="7"/>
  <c r="O60" i="7"/>
  <c r="M60" i="7"/>
  <c r="K60" i="7"/>
  <c r="G60" i="7"/>
  <c r="AD59" i="7"/>
  <c r="I21" i="6" s="1"/>
  <c r="AC59" i="7"/>
  <c r="I20" i="6" s="1"/>
  <c r="Z59" i="7"/>
  <c r="Y59" i="7"/>
  <c r="O59" i="7"/>
  <c r="K59" i="7"/>
  <c r="V58" i="7"/>
  <c r="U58" i="7"/>
  <c r="O58" i="7"/>
  <c r="M58" i="7"/>
  <c r="AF58" i="7" s="1"/>
  <c r="K58" i="7"/>
  <c r="G58" i="7"/>
  <c r="AF57" i="7"/>
  <c r="AE57" i="7"/>
  <c r="V57" i="7"/>
  <c r="U57" i="7"/>
  <c r="O57" i="7"/>
  <c r="N57" i="7"/>
  <c r="P57" i="7" s="1"/>
  <c r="M57" i="7"/>
  <c r="K57" i="7"/>
  <c r="G57" i="7"/>
  <c r="V56" i="7"/>
  <c r="U56" i="7"/>
  <c r="O56" i="7"/>
  <c r="M56" i="7"/>
  <c r="AE56" i="7" s="1"/>
  <c r="K56" i="7"/>
  <c r="G56" i="7"/>
  <c r="V55" i="7"/>
  <c r="U55" i="7"/>
  <c r="O55" i="7"/>
  <c r="M55" i="7"/>
  <c r="K55" i="7"/>
  <c r="G55" i="7"/>
  <c r="AF54" i="7"/>
  <c r="AE54" i="7"/>
  <c r="V54" i="7"/>
  <c r="U54" i="7"/>
  <c r="O54" i="7"/>
  <c r="N54" i="7"/>
  <c r="Q54" i="7" s="1"/>
  <c r="M54" i="7"/>
  <c r="K54" i="7"/>
  <c r="G54" i="7"/>
  <c r="V53" i="7"/>
  <c r="U53" i="7"/>
  <c r="O53" i="7"/>
  <c r="M53" i="7"/>
  <c r="N53" i="7" s="1"/>
  <c r="K53" i="7"/>
  <c r="G53" i="7"/>
  <c r="V52" i="7"/>
  <c r="M52" i="7" s="1"/>
  <c r="O52" i="7"/>
  <c r="K52" i="7"/>
  <c r="G52" i="7"/>
  <c r="AD51" i="7"/>
  <c r="H21" i="6" s="1"/>
  <c r="Z51" i="7"/>
  <c r="H19" i="6" s="1"/>
  <c r="Y51" i="7"/>
  <c r="O51" i="7"/>
  <c r="K51" i="7"/>
  <c r="H13" i="6" s="1"/>
  <c r="AF50" i="7"/>
  <c r="V50" i="7"/>
  <c r="U50" i="7"/>
  <c r="O50" i="7"/>
  <c r="M50" i="7"/>
  <c r="AE50" i="7" s="1"/>
  <c r="K50" i="7"/>
  <c r="G50" i="7"/>
  <c r="AF49" i="7"/>
  <c r="AE49" i="7"/>
  <c r="V49" i="7"/>
  <c r="U49" i="7"/>
  <c r="O49" i="7"/>
  <c r="N49" i="7"/>
  <c r="Q49" i="7" s="1"/>
  <c r="M49" i="7"/>
  <c r="K49" i="7"/>
  <c r="G49" i="7"/>
  <c r="V48" i="7"/>
  <c r="U48" i="7"/>
  <c r="O48" i="7"/>
  <c r="M48" i="7"/>
  <c r="K48" i="7"/>
  <c r="G48" i="7"/>
  <c r="V47" i="7"/>
  <c r="M47" i="7" s="1"/>
  <c r="N47" i="7" s="1"/>
  <c r="U47" i="7"/>
  <c r="O47" i="7"/>
  <c r="K47" i="7"/>
  <c r="G47" i="7"/>
  <c r="AC51" i="7"/>
  <c r="H20" i="6" s="1"/>
  <c r="V46" i="7"/>
  <c r="M46" i="7" s="1"/>
  <c r="U46" i="7"/>
  <c r="O46" i="7"/>
  <c r="K46" i="7"/>
  <c r="G46" i="7"/>
  <c r="X45" i="7"/>
  <c r="W45" i="7"/>
  <c r="V45" i="7"/>
  <c r="O45" i="7"/>
  <c r="M45" i="7"/>
  <c r="K45" i="7"/>
  <c r="G45" i="7"/>
  <c r="AD44" i="7"/>
  <c r="AC44" i="7"/>
  <c r="L20" i="6" s="1"/>
  <c r="Z44" i="7"/>
  <c r="L19" i="6" s="1"/>
  <c r="Y44" i="7"/>
  <c r="O44" i="7"/>
  <c r="K44" i="7"/>
  <c r="L13" i="6" s="1"/>
  <c r="V43" i="7"/>
  <c r="U43" i="7"/>
  <c r="O43" i="7"/>
  <c r="M43" i="7"/>
  <c r="N43" i="7" s="1"/>
  <c r="K43" i="7"/>
  <c r="G43" i="7"/>
  <c r="V42" i="7"/>
  <c r="M42" i="7" s="1"/>
  <c r="N42" i="7" s="1"/>
  <c r="U42" i="7"/>
  <c r="O42" i="7"/>
  <c r="K42" i="7"/>
  <c r="G42" i="7"/>
  <c r="V41" i="7"/>
  <c r="U41" i="7"/>
  <c r="O41" i="7"/>
  <c r="M41" i="7"/>
  <c r="AF41" i="7" s="1"/>
  <c r="K41" i="7"/>
  <c r="G41" i="7"/>
  <c r="AF40" i="7"/>
  <c r="AE40" i="7"/>
  <c r="V40" i="7"/>
  <c r="U40" i="7"/>
  <c r="O40" i="7"/>
  <c r="N40" i="7"/>
  <c r="P40" i="7" s="1"/>
  <c r="M40" i="7"/>
  <c r="K40" i="7"/>
  <c r="G40" i="7"/>
  <c r="V39" i="7"/>
  <c r="U39" i="7"/>
  <c r="O39" i="7"/>
  <c r="M39" i="7"/>
  <c r="AF39" i="7" s="1"/>
  <c r="K39" i="7"/>
  <c r="G39" i="7"/>
  <c r="V38" i="7"/>
  <c r="U38" i="7"/>
  <c r="O38" i="7"/>
  <c r="M38" i="7"/>
  <c r="K38" i="7"/>
  <c r="G38" i="7"/>
  <c r="AF37" i="7"/>
  <c r="AE37" i="7"/>
  <c r="X37" i="7"/>
  <c r="W37" i="7"/>
  <c r="V37" i="7"/>
  <c r="M37" i="7" s="1"/>
  <c r="O37" i="7"/>
  <c r="K37" i="7"/>
  <c r="G37" i="7"/>
  <c r="AD36" i="7"/>
  <c r="K21" i="6" s="1"/>
  <c r="AC36" i="7"/>
  <c r="Z36" i="7"/>
  <c r="K19" i="6" s="1"/>
  <c r="Y36" i="7"/>
  <c r="O36" i="7"/>
  <c r="K36" i="7"/>
  <c r="K13" i="6" s="1"/>
  <c r="I6" i="6" s="1"/>
  <c r="AF35" i="7"/>
  <c r="AE35" i="7"/>
  <c r="V35" i="7"/>
  <c r="U35" i="7"/>
  <c r="O35" i="7"/>
  <c r="N35" i="7"/>
  <c r="P35" i="7" s="1"/>
  <c r="M35" i="7"/>
  <c r="K35" i="7"/>
  <c r="G35" i="7"/>
  <c r="V34" i="7"/>
  <c r="U34" i="7"/>
  <c r="O34" i="7"/>
  <c r="M34" i="7"/>
  <c r="AF34" i="7" s="1"/>
  <c r="K34" i="7"/>
  <c r="G34" i="7"/>
  <c r="V33" i="7"/>
  <c r="U33" i="7"/>
  <c r="O33" i="7"/>
  <c r="M33" i="7"/>
  <c r="K33" i="7"/>
  <c r="G33" i="7"/>
  <c r="AF32" i="7"/>
  <c r="AE32" i="7"/>
  <c r="V32" i="7"/>
  <c r="U32" i="7"/>
  <c r="O32" i="7"/>
  <c r="N32" i="7"/>
  <c r="P32" i="7" s="1"/>
  <c r="M32" i="7"/>
  <c r="K32" i="7"/>
  <c r="G32" i="7"/>
  <c r="X31" i="7"/>
  <c r="W31" i="7"/>
  <c r="V31" i="7"/>
  <c r="M31" i="7" s="1"/>
  <c r="O31" i="7"/>
  <c r="K31" i="7"/>
  <c r="G31" i="7"/>
  <c r="AD30" i="7"/>
  <c r="Z30" i="7"/>
  <c r="Y30" i="7"/>
  <c r="O30" i="7"/>
  <c r="K30" i="7"/>
  <c r="G13" i="6" s="1"/>
  <c r="V29" i="7"/>
  <c r="M29" i="7" s="1"/>
  <c r="U29" i="7"/>
  <c r="O29" i="7"/>
  <c r="K29" i="7"/>
  <c r="G29" i="7"/>
  <c r="V28" i="7"/>
  <c r="U28" i="7"/>
  <c r="O28" i="7"/>
  <c r="M28" i="7"/>
  <c r="K28" i="7"/>
  <c r="G28" i="7"/>
  <c r="AF27" i="7"/>
  <c r="AE27" i="7"/>
  <c r="V27" i="7"/>
  <c r="U27" i="7"/>
  <c r="O27" i="7"/>
  <c r="N27" i="7"/>
  <c r="Q27" i="7" s="1"/>
  <c r="M27" i="7"/>
  <c r="K27" i="7"/>
  <c r="G27" i="7"/>
  <c r="V26" i="7"/>
  <c r="U26" i="7"/>
  <c r="O26" i="7"/>
  <c r="M26" i="7"/>
  <c r="N26" i="7" s="1"/>
  <c r="K26" i="7"/>
  <c r="G26" i="7"/>
  <c r="AF25" i="7"/>
  <c r="AE25" i="7"/>
  <c r="V25" i="7"/>
  <c r="U25" i="7"/>
  <c r="Q25" i="7"/>
  <c r="P25" i="7"/>
  <c r="O25" i="7"/>
  <c r="N25" i="7"/>
  <c r="M25" i="7"/>
  <c r="K25" i="7"/>
  <c r="G25" i="7"/>
  <c r="V24" i="7"/>
  <c r="U24" i="7"/>
  <c r="O24" i="7"/>
  <c r="M24" i="7"/>
  <c r="N24" i="7" s="1"/>
  <c r="K24" i="7"/>
  <c r="G24" i="7"/>
  <c r="V23" i="7"/>
  <c r="M23" i="7" s="1"/>
  <c r="N23" i="7" s="1"/>
  <c r="U23" i="7"/>
  <c r="O23" i="7"/>
  <c r="K23" i="7"/>
  <c r="G23" i="7"/>
  <c r="AC30" i="7"/>
  <c r="G20" i="6" s="1"/>
  <c r="V22" i="7"/>
  <c r="M22" i="7" s="1"/>
  <c r="O22" i="7"/>
  <c r="K22" i="7"/>
  <c r="G22" i="7"/>
  <c r="AD21" i="7"/>
  <c r="Z21" i="7"/>
  <c r="Y21" i="7"/>
  <c r="O21" i="7"/>
  <c r="K21" i="7"/>
  <c r="F13" i="6" s="1"/>
  <c r="AF20" i="7"/>
  <c r="AE20" i="7"/>
  <c r="V20" i="7"/>
  <c r="U20" i="7"/>
  <c r="Q20" i="7"/>
  <c r="O20" i="7"/>
  <c r="N20" i="7"/>
  <c r="P20" i="7" s="1"/>
  <c r="M20" i="7"/>
  <c r="K20" i="7"/>
  <c r="G20" i="7"/>
  <c r="V19" i="7"/>
  <c r="U19" i="7"/>
  <c r="O19" i="7"/>
  <c r="M19" i="7"/>
  <c r="N19" i="7" s="1"/>
  <c r="K19" i="7"/>
  <c r="G19" i="7"/>
  <c r="X18" i="7"/>
  <c r="W18" i="7"/>
  <c r="V18" i="7"/>
  <c r="M18" i="7" s="1"/>
  <c r="N18" i="7" s="1"/>
  <c r="U18" i="7"/>
  <c r="O18" i="7"/>
  <c r="K18" i="7"/>
  <c r="G18" i="7"/>
  <c r="V17" i="7"/>
  <c r="U17" i="7"/>
  <c r="O17" i="7"/>
  <c r="M17" i="7"/>
  <c r="N17" i="7" s="1"/>
  <c r="K17" i="7"/>
  <c r="G17" i="7"/>
  <c r="AF16" i="7"/>
  <c r="AE16" i="7"/>
  <c r="V16" i="7"/>
  <c r="U16" i="7"/>
  <c r="O16" i="7"/>
  <c r="M16" i="7"/>
  <c r="N16" i="7" s="1"/>
  <c r="K16" i="7"/>
  <c r="G16" i="7"/>
  <c r="AF15" i="7"/>
  <c r="V15" i="7"/>
  <c r="U15" i="7"/>
  <c r="O15" i="7"/>
  <c r="M15" i="7"/>
  <c r="AE15" i="7" s="1"/>
  <c r="K15" i="7"/>
  <c r="G15" i="7"/>
  <c r="V14" i="7"/>
  <c r="U14" i="7"/>
  <c r="O14" i="7"/>
  <c r="M14" i="7"/>
  <c r="AF14" i="7" s="1"/>
  <c r="K14" i="7"/>
  <c r="G14" i="7"/>
  <c r="V13" i="7"/>
  <c r="M13" i="7" s="1"/>
  <c r="U13" i="7"/>
  <c r="O13" i="7"/>
  <c r="K13" i="7"/>
  <c r="G13" i="7"/>
  <c r="AC21" i="7"/>
  <c r="F20" i="6" s="1"/>
  <c r="V12" i="7"/>
  <c r="O12" i="7"/>
  <c r="M12" i="7"/>
  <c r="N12" i="7" s="1"/>
  <c r="K12" i="7"/>
  <c r="G12" i="7"/>
  <c r="AD11" i="7"/>
  <c r="AC11" i="7"/>
  <c r="E20" i="6" s="1"/>
  <c r="Z11" i="7"/>
  <c r="E19" i="6" s="1"/>
  <c r="Y11" i="7"/>
  <c r="O11" i="7"/>
  <c r="K11" i="7"/>
  <c r="V10" i="7"/>
  <c r="U10" i="7"/>
  <c r="O10" i="7"/>
  <c r="M10" i="7"/>
  <c r="K10" i="7"/>
  <c r="G10" i="7"/>
  <c r="AF9" i="7"/>
  <c r="X9" i="7"/>
  <c r="W9" i="7"/>
  <c r="V9" i="7"/>
  <c r="O9" i="7"/>
  <c r="N9" i="7"/>
  <c r="M9" i="7"/>
  <c r="K9" i="7"/>
  <c r="G9" i="7"/>
  <c r="AD8" i="7"/>
  <c r="Z8" i="7"/>
  <c r="Y8" i="7"/>
  <c r="O8" i="7"/>
  <c r="K8" i="7"/>
  <c r="V7" i="7"/>
  <c r="U7" i="7"/>
  <c r="O7" i="7"/>
  <c r="M7" i="7"/>
  <c r="K7" i="7"/>
  <c r="G7" i="7"/>
  <c r="AE6" i="7"/>
  <c r="V6" i="7"/>
  <c r="M6" i="7" s="1"/>
  <c r="N6" i="7" s="1"/>
  <c r="U6" i="7"/>
  <c r="O6" i="7"/>
  <c r="K6" i="7"/>
  <c r="G6" i="7"/>
  <c r="AC8" i="7"/>
  <c r="V5" i="7"/>
  <c r="O5" i="7"/>
  <c r="M5" i="7"/>
  <c r="AE5" i="7" s="1"/>
  <c r="K5" i="7"/>
  <c r="G5" i="7"/>
  <c r="F1" i="7" s="1"/>
  <c r="H2" i="7"/>
  <c r="H1" i="7"/>
  <c r="D1" i="7"/>
  <c r="F3" i="6" s="1"/>
  <c r="M22" i="6"/>
  <c r="L22" i="6"/>
  <c r="K22" i="6"/>
  <c r="J22" i="6"/>
  <c r="I22" i="6"/>
  <c r="H22" i="6"/>
  <c r="G22" i="6"/>
  <c r="F22" i="6"/>
  <c r="E22" i="6"/>
  <c r="D22" i="6"/>
  <c r="M21" i="6"/>
  <c r="L21" i="6"/>
  <c r="G21" i="6"/>
  <c r="F21" i="6"/>
  <c r="D21" i="6"/>
  <c r="M20" i="6"/>
  <c r="K20" i="6"/>
  <c r="M19" i="6"/>
  <c r="J19" i="6"/>
  <c r="I19" i="6"/>
  <c r="G19" i="6"/>
  <c r="F19" i="6"/>
  <c r="D19" i="6"/>
  <c r="M18" i="6"/>
  <c r="L18" i="6"/>
  <c r="K18" i="6"/>
  <c r="J18" i="6"/>
  <c r="I18" i="6"/>
  <c r="H18" i="6"/>
  <c r="G18" i="6"/>
  <c r="F18" i="6"/>
  <c r="E18" i="6"/>
  <c r="D18" i="6"/>
  <c r="M17" i="6"/>
  <c r="L17" i="6"/>
  <c r="K17" i="6"/>
  <c r="J17" i="6"/>
  <c r="I17" i="6"/>
  <c r="H17" i="6"/>
  <c r="G17" i="6"/>
  <c r="F17" i="6"/>
  <c r="E17" i="6"/>
  <c r="D17" i="6"/>
  <c r="M16" i="6"/>
  <c r="L16" i="6"/>
  <c r="K16" i="6"/>
  <c r="J16" i="6"/>
  <c r="I16" i="6"/>
  <c r="H16" i="6"/>
  <c r="G16" i="6"/>
  <c r="F16" i="6"/>
  <c r="E16" i="6"/>
  <c r="D16" i="6"/>
  <c r="J13" i="6"/>
  <c r="I13" i="6"/>
  <c r="E13" i="6"/>
  <c r="D13" i="6"/>
  <c r="C3" i="6"/>
  <c r="K15" i="8" l="1"/>
  <c r="D15" i="8"/>
  <c r="P76" i="9"/>
  <c r="Q76" i="9"/>
  <c r="R70" i="9" s="1"/>
  <c r="M14" i="8"/>
  <c r="M15" i="8" s="1"/>
  <c r="Q31" i="9"/>
  <c r="R22" i="9" s="1"/>
  <c r="P31" i="9"/>
  <c r="G14" i="8"/>
  <c r="G15" i="8" s="1"/>
  <c r="Q55" i="9"/>
  <c r="R49" i="9" s="1"/>
  <c r="H14" i="8"/>
  <c r="H15" i="8" s="1"/>
  <c r="P55" i="9"/>
  <c r="Q43" i="7"/>
  <c r="P43" i="7"/>
  <c r="Q12" i="7"/>
  <c r="P12" i="7"/>
  <c r="AF72" i="7"/>
  <c r="AG67" i="7" s="1"/>
  <c r="AE72" i="7"/>
  <c r="N72" i="7"/>
  <c r="Q19" i="7"/>
  <c r="P19" i="7"/>
  <c r="AF46" i="7"/>
  <c r="AE46" i="7"/>
  <c r="M51" i="7"/>
  <c r="N46" i="7"/>
  <c r="Q24" i="7"/>
  <c r="P24" i="7"/>
  <c r="N29" i="7"/>
  <c r="AE29" i="7"/>
  <c r="AF29" i="7"/>
  <c r="AF31" i="7"/>
  <c r="AE31" i="7"/>
  <c r="M36" i="7"/>
  <c r="N31" i="7"/>
  <c r="M30" i="7"/>
  <c r="AF22" i="7"/>
  <c r="N22" i="7"/>
  <c r="AE22" i="7"/>
  <c r="Q63" i="7"/>
  <c r="P63" i="7"/>
  <c r="AF13" i="7"/>
  <c r="M21" i="7"/>
  <c r="N13" i="7"/>
  <c r="AE13" i="7"/>
  <c r="Q17" i="7"/>
  <c r="P17" i="7"/>
  <c r="Q26" i="7"/>
  <c r="P26" i="7"/>
  <c r="Q53" i="7"/>
  <c r="P53" i="7"/>
  <c r="AC2" i="7"/>
  <c r="M6" i="6" s="1"/>
  <c r="D20" i="6"/>
  <c r="AE53" i="7"/>
  <c r="AF53" i="7"/>
  <c r="E6" i="6"/>
  <c r="G6" i="6"/>
  <c r="F6" i="6"/>
  <c r="AD2" i="7"/>
  <c r="N6" i="6" s="1"/>
  <c r="E21" i="6"/>
  <c r="Q18" i="7"/>
  <c r="P18" i="7"/>
  <c r="M66" i="7"/>
  <c r="AF60" i="7"/>
  <c r="AE60" i="7"/>
  <c r="N5" i="7"/>
  <c r="N34" i="7"/>
  <c r="AF38" i="7"/>
  <c r="AE38" i="7"/>
  <c r="N38" i="7"/>
  <c r="AF42" i="7"/>
  <c r="AF45" i="7"/>
  <c r="AE45" i="7"/>
  <c r="P49" i="7"/>
  <c r="AF18" i="7"/>
  <c r="AE65" i="7"/>
  <c r="AF65" i="7"/>
  <c r="AF10" i="7"/>
  <c r="AE10" i="7"/>
  <c r="AF28" i="7"/>
  <c r="AE28" i="7"/>
  <c r="N28" i="7"/>
  <c r="Q32" i="7"/>
  <c r="AE34" i="7"/>
  <c r="Z2" i="7"/>
  <c r="L6" i="6" s="1"/>
  <c r="AE48" i="7"/>
  <c r="AF48" i="7"/>
  <c r="AF56" i="7"/>
  <c r="N15" i="7"/>
  <c r="N48" i="7"/>
  <c r="M59" i="7"/>
  <c r="N52" i="7"/>
  <c r="P61" i="7"/>
  <c r="AE7" i="7"/>
  <c r="AF7" i="7"/>
  <c r="AE18" i="7"/>
  <c r="AF64" i="7"/>
  <c r="P54" i="7"/>
  <c r="N65" i="7"/>
  <c r="N10" i="7"/>
  <c r="N41" i="7"/>
  <c r="AE58" i="7"/>
  <c r="AF63" i="7"/>
  <c r="AE63" i="7"/>
  <c r="AF26" i="7"/>
  <c r="AE26" i="7"/>
  <c r="M44" i="7"/>
  <c r="N37" i="7"/>
  <c r="AE52" i="7"/>
  <c r="Q9" i="7"/>
  <c r="P9" i="7"/>
  <c r="N7" i="7"/>
  <c r="P27" i="7"/>
  <c r="Q42" i="7"/>
  <c r="P42" i="7"/>
  <c r="P68" i="7"/>
  <c r="M8" i="7"/>
  <c r="AF5" i="7"/>
  <c r="Q16" i="7"/>
  <c r="P16" i="7"/>
  <c r="N45" i="7"/>
  <c r="N56" i="7"/>
  <c r="N58" i="7"/>
  <c r="AE64" i="7"/>
  <c r="Q67" i="7"/>
  <c r="P67" i="7"/>
  <c r="P71" i="7"/>
  <c r="AF23" i="7"/>
  <c r="AF47" i="7"/>
  <c r="Y2" i="7"/>
  <c r="K6" i="6" s="1"/>
  <c r="AF17" i="7"/>
  <c r="AE17" i="7"/>
  <c r="N39" i="7"/>
  <c r="AE24" i="7"/>
  <c r="AF24" i="7"/>
  <c r="Q6" i="7"/>
  <c r="P6" i="7"/>
  <c r="AF52" i="7"/>
  <c r="I3" i="6"/>
  <c r="F2" i="7"/>
  <c r="AE42" i="7"/>
  <c r="Q64" i="7"/>
  <c r="P64" i="7"/>
  <c r="AE23" i="7"/>
  <c r="AE47" i="7"/>
  <c r="AF33" i="7"/>
  <c r="AE33" i="7"/>
  <c r="N33" i="7"/>
  <c r="AE39" i="7"/>
  <c r="AE41" i="7"/>
  <c r="AE12" i="7"/>
  <c r="AF12" i="7"/>
  <c r="Q23" i="7"/>
  <c r="P23" i="7"/>
  <c r="AE43" i="7"/>
  <c r="AF43" i="7"/>
  <c r="AF19" i="7"/>
  <c r="AE19" i="7"/>
  <c r="AF6" i="7"/>
  <c r="AF55" i="7"/>
  <c r="AE55" i="7"/>
  <c r="N55" i="7"/>
  <c r="AE70" i="7"/>
  <c r="AF70" i="7"/>
  <c r="N60" i="7"/>
  <c r="Q47" i="7"/>
  <c r="P47" i="7"/>
  <c r="AE9" i="7"/>
  <c r="M11" i="7"/>
  <c r="AE68" i="7"/>
  <c r="AF68" i="7"/>
  <c r="N70" i="7"/>
  <c r="Q35" i="7"/>
  <c r="Q40" i="7"/>
  <c r="Q57" i="7"/>
  <c r="AE14" i="7"/>
  <c r="N14" i="7"/>
  <c r="N50" i="7"/>
  <c r="N62" i="7"/>
  <c r="AD71" i="5"/>
  <c r="Z71" i="5"/>
  <c r="Y71" i="5"/>
  <c r="O71" i="5"/>
  <c r="K71" i="5"/>
  <c r="V70" i="5"/>
  <c r="U70" i="5"/>
  <c r="O70" i="5"/>
  <c r="M70" i="5"/>
  <c r="K70" i="5"/>
  <c r="G70" i="5"/>
  <c r="V69" i="5"/>
  <c r="U69" i="5"/>
  <c r="O69" i="5"/>
  <c r="M69" i="5"/>
  <c r="AE69" i="5" s="1"/>
  <c r="K69" i="5"/>
  <c r="G69" i="5"/>
  <c r="AF68" i="5"/>
  <c r="V68" i="5"/>
  <c r="U68" i="5"/>
  <c r="O68" i="5"/>
  <c r="M68" i="5"/>
  <c r="N68" i="5" s="1"/>
  <c r="K68" i="5"/>
  <c r="G68" i="5"/>
  <c r="AF67" i="5"/>
  <c r="V67" i="5"/>
  <c r="M67" i="5" s="1"/>
  <c r="U67" i="5"/>
  <c r="O67" i="5"/>
  <c r="K67" i="5"/>
  <c r="G67" i="5"/>
  <c r="AF66" i="5"/>
  <c r="AC71" i="5"/>
  <c r="M20" i="4" s="1"/>
  <c r="X66" i="5"/>
  <c r="W66" i="5"/>
  <c r="V66" i="5"/>
  <c r="O66" i="5"/>
  <c r="M66" i="5"/>
  <c r="K66" i="5"/>
  <c r="G66" i="5"/>
  <c r="AD65" i="5"/>
  <c r="Z65" i="5"/>
  <c r="Y65" i="5"/>
  <c r="O65" i="5"/>
  <c r="M65" i="5"/>
  <c r="N65" i="5" s="1"/>
  <c r="J14" i="4" s="1"/>
  <c r="J15" i="4" s="1"/>
  <c r="K65" i="5"/>
  <c r="V64" i="5"/>
  <c r="U64" i="5"/>
  <c r="O64" i="5"/>
  <c r="M64" i="5"/>
  <c r="K64" i="5"/>
  <c r="G64" i="5"/>
  <c r="V63" i="5"/>
  <c r="U63" i="5"/>
  <c r="O63" i="5"/>
  <c r="M63" i="5"/>
  <c r="K63" i="5"/>
  <c r="G63" i="5"/>
  <c r="V62" i="5"/>
  <c r="U62" i="5"/>
  <c r="O62" i="5"/>
  <c r="M62" i="5"/>
  <c r="K62" i="5"/>
  <c r="G62" i="5"/>
  <c r="V61" i="5"/>
  <c r="U61" i="5"/>
  <c r="O61" i="5"/>
  <c r="M61" i="5"/>
  <c r="K61" i="5"/>
  <c r="G61" i="5"/>
  <c r="V60" i="5"/>
  <c r="U60" i="5"/>
  <c r="O60" i="5"/>
  <c r="M60" i="5"/>
  <c r="K60" i="5"/>
  <c r="G60" i="5"/>
  <c r="AC65" i="5"/>
  <c r="J20" i="4" s="1"/>
  <c r="V59" i="5"/>
  <c r="O59" i="5"/>
  <c r="N59" i="5"/>
  <c r="M59" i="5"/>
  <c r="K59" i="5"/>
  <c r="G59" i="5"/>
  <c r="AD58" i="5"/>
  <c r="Z58" i="5"/>
  <c r="Y58" i="5"/>
  <c r="I18" i="4" s="1"/>
  <c r="O58" i="5"/>
  <c r="K58" i="5"/>
  <c r="V57" i="5"/>
  <c r="U57" i="5"/>
  <c r="O57" i="5"/>
  <c r="M57" i="5"/>
  <c r="K57" i="5"/>
  <c r="G57" i="5"/>
  <c r="V56" i="5"/>
  <c r="U56" i="5"/>
  <c r="O56" i="5"/>
  <c r="M56" i="5"/>
  <c r="AE56" i="5" s="1"/>
  <c r="K56" i="5"/>
  <c r="G56" i="5"/>
  <c r="AF55" i="5"/>
  <c r="V55" i="5"/>
  <c r="U55" i="5"/>
  <c r="O55" i="5"/>
  <c r="M55" i="5"/>
  <c r="N55" i="5" s="1"/>
  <c r="K55" i="5"/>
  <c r="G55" i="5"/>
  <c r="AF54" i="5"/>
  <c r="V54" i="5"/>
  <c r="M54" i="5" s="1"/>
  <c r="U54" i="5"/>
  <c r="O54" i="5"/>
  <c r="K54" i="5"/>
  <c r="G54" i="5"/>
  <c r="AF53" i="5"/>
  <c r="AE53" i="5"/>
  <c r="V53" i="5"/>
  <c r="M53" i="5" s="1"/>
  <c r="N53" i="5" s="1"/>
  <c r="U53" i="5"/>
  <c r="O53" i="5"/>
  <c r="K53" i="5"/>
  <c r="G53" i="5"/>
  <c r="AE52" i="5"/>
  <c r="V52" i="5"/>
  <c r="M52" i="5" s="1"/>
  <c r="U52" i="5"/>
  <c r="O52" i="5"/>
  <c r="K52" i="5"/>
  <c r="G52" i="5"/>
  <c r="AE51" i="5"/>
  <c r="AC58" i="5"/>
  <c r="I20" i="4" s="1"/>
  <c r="V51" i="5"/>
  <c r="M51" i="5" s="1"/>
  <c r="O51" i="5"/>
  <c r="K51" i="5"/>
  <c r="G51" i="5"/>
  <c r="AD50" i="5"/>
  <c r="Z50" i="5"/>
  <c r="H19" i="4" s="1"/>
  <c r="Y50" i="5"/>
  <c r="O50" i="5"/>
  <c r="K50" i="5"/>
  <c r="AE49" i="5"/>
  <c r="V49" i="5"/>
  <c r="M49" i="5" s="1"/>
  <c r="U49" i="5"/>
  <c r="O49" i="5"/>
  <c r="K49" i="5"/>
  <c r="G49" i="5"/>
  <c r="AE48" i="5"/>
  <c r="V48" i="5"/>
  <c r="M48" i="5" s="1"/>
  <c r="U48" i="5"/>
  <c r="O48" i="5"/>
  <c r="K48" i="5"/>
  <c r="G48" i="5"/>
  <c r="AE47" i="5"/>
  <c r="V47" i="5"/>
  <c r="M47" i="5" s="1"/>
  <c r="U47" i="5"/>
  <c r="O47" i="5"/>
  <c r="K47" i="5"/>
  <c r="G47" i="5"/>
  <c r="AE46" i="5"/>
  <c r="V46" i="5"/>
  <c r="M46" i="5" s="1"/>
  <c r="U46" i="5"/>
  <c r="O46" i="5"/>
  <c r="K46" i="5"/>
  <c r="G46" i="5"/>
  <c r="AE45" i="5"/>
  <c r="V45" i="5"/>
  <c r="M45" i="5" s="1"/>
  <c r="U45" i="5"/>
  <c r="O45" i="5"/>
  <c r="K45" i="5"/>
  <c r="G45" i="5"/>
  <c r="AF44" i="5"/>
  <c r="AE44" i="5"/>
  <c r="AC50" i="5"/>
  <c r="H20" i="4" s="1"/>
  <c r="X44" i="5"/>
  <c r="W44" i="5"/>
  <c r="V44" i="5"/>
  <c r="O44" i="5"/>
  <c r="M44" i="5"/>
  <c r="M50" i="5" s="1"/>
  <c r="AE50" i="5" s="1"/>
  <c r="K44" i="5"/>
  <c r="G44" i="5"/>
  <c r="AD43" i="5"/>
  <c r="Z43" i="5"/>
  <c r="Y43" i="5"/>
  <c r="O43" i="5"/>
  <c r="M43" i="5"/>
  <c r="K43" i="5"/>
  <c r="AF42" i="5"/>
  <c r="V42" i="5"/>
  <c r="U42" i="5"/>
  <c r="O42" i="5"/>
  <c r="M42" i="5"/>
  <c r="N42" i="5" s="1"/>
  <c r="K42" i="5"/>
  <c r="G42" i="5"/>
  <c r="AF41" i="5"/>
  <c r="V41" i="5"/>
  <c r="M41" i="5" s="1"/>
  <c r="U41" i="5"/>
  <c r="O41" i="5"/>
  <c r="K41" i="5"/>
  <c r="G41" i="5"/>
  <c r="AF40" i="5"/>
  <c r="AE40" i="5"/>
  <c r="V40" i="5"/>
  <c r="M40" i="5" s="1"/>
  <c r="N40" i="5" s="1"/>
  <c r="U40" i="5"/>
  <c r="O40" i="5"/>
  <c r="K40" i="5"/>
  <c r="G40" i="5"/>
  <c r="AE39" i="5"/>
  <c r="V39" i="5"/>
  <c r="M39" i="5" s="1"/>
  <c r="U39" i="5"/>
  <c r="O39" i="5"/>
  <c r="K39" i="5"/>
  <c r="G39" i="5"/>
  <c r="V38" i="5"/>
  <c r="M38" i="5" s="1"/>
  <c r="U38" i="5"/>
  <c r="O38" i="5"/>
  <c r="K38" i="5"/>
  <c r="G38" i="5"/>
  <c r="V37" i="5"/>
  <c r="M37" i="5" s="1"/>
  <c r="U37" i="5"/>
  <c r="O37" i="5"/>
  <c r="K37" i="5"/>
  <c r="G37" i="5"/>
  <c r="AC43" i="5"/>
  <c r="L20" i="4" s="1"/>
  <c r="X36" i="5"/>
  <c r="W36" i="5"/>
  <c r="V36" i="5"/>
  <c r="M36" i="5" s="1"/>
  <c r="O36" i="5"/>
  <c r="K36" i="5"/>
  <c r="G36" i="5"/>
  <c r="AD35" i="5"/>
  <c r="K21" i="4" s="1"/>
  <c r="AC35" i="5"/>
  <c r="K20" i="4" s="1"/>
  <c r="Z35" i="5"/>
  <c r="K19" i="4" s="1"/>
  <c r="Y35" i="5"/>
  <c r="O35" i="5"/>
  <c r="K35" i="5"/>
  <c r="AE34" i="5"/>
  <c r="V34" i="5"/>
  <c r="M34" i="5" s="1"/>
  <c r="U34" i="5"/>
  <c r="O34" i="5"/>
  <c r="K34" i="5"/>
  <c r="G34" i="5"/>
  <c r="V33" i="5"/>
  <c r="M33" i="5" s="1"/>
  <c r="U33" i="5"/>
  <c r="O33" i="5"/>
  <c r="K33" i="5"/>
  <c r="G33" i="5"/>
  <c r="V32" i="5"/>
  <c r="M32" i="5" s="1"/>
  <c r="U32" i="5"/>
  <c r="O32" i="5"/>
  <c r="K32" i="5"/>
  <c r="G32" i="5"/>
  <c r="V31" i="5"/>
  <c r="M31" i="5" s="1"/>
  <c r="U31" i="5"/>
  <c r="O31" i="5"/>
  <c r="K31" i="5"/>
  <c r="G31" i="5"/>
  <c r="X30" i="5"/>
  <c r="W30" i="5"/>
  <c r="V30" i="5"/>
  <c r="M30" i="5" s="1"/>
  <c r="O30" i="5"/>
  <c r="K30" i="5"/>
  <c r="G30" i="5"/>
  <c r="AD29" i="5"/>
  <c r="AC29" i="5"/>
  <c r="G20" i="4" s="1"/>
  <c r="Z29" i="5"/>
  <c r="G19" i="4" s="1"/>
  <c r="Y29" i="5"/>
  <c r="G18" i="4" s="1"/>
  <c r="O29" i="5"/>
  <c r="K29" i="5"/>
  <c r="V28" i="5"/>
  <c r="M28" i="5" s="1"/>
  <c r="U28" i="5"/>
  <c r="O28" i="5"/>
  <c r="K28" i="5"/>
  <c r="G28" i="5"/>
  <c r="V27" i="5"/>
  <c r="M27" i="5" s="1"/>
  <c r="U27" i="5"/>
  <c r="O27" i="5"/>
  <c r="K27" i="5"/>
  <c r="G27" i="5"/>
  <c r="V26" i="5"/>
  <c r="M26" i="5" s="1"/>
  <c r="U26" i="5"/>
  <c r="O26" i="5"/>
  <c r="K26" i="5"/>
  <c r="G26" i="5"/>
  <c r="V25" i="5"/>
  <c r="U25" i="5"/>
  <c r="P25" i="5"/>
  <c r="O25" i="5"/>
  <c r="N25" i="5"/>
  <c r="Q25" i="5" s="1"/>
  <c r="M25" i="5"/>
  <c r="AF25" i="5" s="1"/>
  <c r="K25" i="5"/>
  <c r="G25" i="5"/>
  <c r="V24" i="5"/>
  <c r="U24" i="5"/>
  <c r="O24" i="5"/>
  <c r="N24" i="5"/>
  <c r="M24" i="5"/>
  <c r="AF24" i="5" s="1"/>
  <c r="K24" i="5"/>
  <c r="G24" i="5"/>
  <c r="V23" i="5"/>
  <c r="U23" i="5"/>
  <c r="O23" i="5"/>
  <c r="N23" i="5"/>
  <c r="M23" i="5"/>
  <c r="K23" i="5"/>
  <c r="G23" i="5"/>
  <c r="V22" i="5"/>
  <c r="U22" i="5"/>
  <c r="O22" i="5"/>
  <c r="M22" i="5"/>
  <c r="K22" i="5"/>
  <c r="G22" i="5"/>
  <c r="V21" i="5"/>
  <c r="O21" i="5"/>
  <c r="N21" i="5"/>
  <c r="M21" i="5"/>
  <c r="K21" i="5"/>
  <c r="G21" i="5"/>
  <c r="AD20" i="5"/>
  <c r="Z20" i="5"/>
  <c r="Y20" i="5"/>
  <c r="F18" i="4" s="1"/>
  <c r="O20" i="5"/>
  <c r="K20" i="5"/>
  <c r="V19" i="5"/>
  <c r="U19" i="5"/>
  <c r="O19" i="5"/>
  <c r="M19" i="5"/>
  <c r="K19" i="5"/>
  <c r="G19" i="5"/>
  <c r="V18" i="5"/>
  <c r="U18" i="5"/>
  <c r="O18" i="5"/>
  <c r="M18" i="5"/>
  <c r="AE18" i="5" s="1"/>
  <c r="K18" i="5"/>
  <c r="G18" i="5"/>
  <c r="AF17" i="5"/>
  <c r="V17" i="5"/>
  <c r="U17" i="5"/>
  <c r="O17" i="5"/>
  <c r="M17" i="5"/>
  <c r="N17" i="5" s="1"/>
  <c r="K17" i="5"/>
  <c r="G17" i="5"/>
  <c r="AF16" i="5"/>
  <c r="V16" i="5"/>
  <c r="M16" i="5" s="1"/>
  <c r="U16" i="5"/>
  <c r="O16" i="5"/>
  <c r="K16" i="5"/>
  <c r="G16" i="5"/>
  <c r="AF15" i="5"/>
  <c r="AE15" i="5"/>
  <c r="V15" i="5"/>
  <c r="M15" i="5" s="1"/>
  <c r="N15" i="5" s="1"/>
  <c r="U15" i="5"/>
  <c r="O15" i="5"/>
  <c r="K15" i="5"/>
  <c r="G15" i="5"/>
  <c r="AE14" i="5"/>
  <c r="V14" i="5"/>
  <c r="M14" i="5" s="1"/>
  <c r="U14" i="5"/>
  <c r="O14" i="5"/>
  <c r="K14" i="5"/>
  <c r="G14" i="5"/>
  <c r="AE13" i="5"/>
  <c r="AC20" i="5"/>
  <c r="F20" i="4" s="1"/>
  <c r="V13" i="5"/>
  <c r="M13" i="5" s="1"/>
  <c r="O13" i="5"/>
  <c r="K13" i="5"/>
  <c r="G13" i="5"/>
  <c r="AE12" i="5"/>
  <c r="AD12" i="5"/>
  <c r="Z12" i="5"/>
  <c r="Y12" i="5"/>
  <c r="O12" i="5"/>
  <c r="K12" i="5"/>
  <c r="AE11" i="5"/>
  <c r="V11" i="5"/>
  <c r="M11" i="5" s="1"/>
  <c r="U11" i="5"/>
  <c r="O11" i="5"/>
  <c r="K11" i="5"/>
  <c r="G11" i="5"/>
  <c r="AF10" i="5"/>
  <c r="AE10" i="5"/>
  <c r="AC12" i="5"/>
  <c r="X10" i="5"/>
  <c r="W10" i="5"/>
  <c r="V10" i="5"/>
  <c r="O10" i="5"/>
  <c r="M10" i="5"/>
  <c r="M12" i="5" s="1"/>
  <c r="K10" i="5"/>
  <c r="G10" i="5"/>
  <c r="AD9" i="5"/>
  <c r="D21" i="4" s="1"/>
  <c r="Z9" i="5"/>
  <c r="Y9" i="5"/>
  <c r="O9" i="5"/>
  <c r="K9" i="5"/>
  <c r="AF8" i="5"/>
  <c r="V8" i="5"/>
  <c r="M8" i="5" s="1"/>
  <c r="U8" i="5"/>
  <c r="O8" i="5"/>
  <c r="K8" i="5"/>
  <c r="G8" i="5"/>
  <c r="AF7" i="5"/>
  <c r="AE7" i="5"/>
  <c r="V7" i="5"/>
  <c r="M7" i="5" s="1"/>
  <c r="N7" i="5" s="1"/>
  <c r="U7" i="5"/>
  <c r="O7" i="5"/>
  <c r="K7" i="5"/>
  <c r="G7" i="5"/>
  <c r="AE6" i="5"/>
  <c r="V6" i="5"/>
  <c r="M6" i="5" s="1"/>
  <c r="U6" i="5"/>
  <c r="O6" i="5"/>
  <c r="K6" i="5"/>
  <c r="G6" i="5"/>
  <c r="AE5" i="5"/>
  <c r="AC9" i="5"/>
  <c r="V5" i="5"/>
  <c r="M5" i="5" s="1"/>
  <c r="O5" i="5"/>
  <c r="K5" i="5"/>
  <c r="G5" i="5"/>
  <c r="F1" i="5" s="1"/>
  <c r="F2" i="5" s="1"/>
  <c r="Z2" i="5"/>
  <c r="Y2" i="5"/>
  <c r="H2" i="5"/>
  <c r="H1" i="5"/>
  <c r="D1" i="5"/>
  <c r="M22" i="4"/>
  <c r="L22" i="4"/>
  <c r="K22" i="4"/>
  <c r="J22" i="4"/>
  <c r="I22" i="4"/>
  <c r="H22" i="4"/>
  <c r="G22" i="4"/>
  <c r="F22" i="4"/>
  <c r="E22" i="4"/>
  <c r="D22" i="4"/>
  <c r="M21" i="4"/>
  <c r="L21" i="4"/>
  <c r="J21" i="4"/>
  <c r="I21" i="4"/>
  <c r="H21" i="4"/>
  <c r="G21" i="4"/>
  <c r="F21" i="4"/>
  <c r="E20" i="4"/>
  <c r="M19" i="4"/>
  <c r="L19" i="4"/>
  <c r="J19" i="4"/>
  <c r="I19" i="4"/>
  <c r="F19" i="4"/>
  <c r="E19" i="4"/>
  <c r="D19" i="4"/>
  <c r="M18" i="4"/>
  <c r="L18" i="4"/>
  <c r="K18" i="4"/>
  <c r="J18" i="4"/>
  <c r="H18" i="4"/>
  <c r="E18" i="4"/>
  <c r="D18" i="4"/>
  <c r="M17" i="4"/>
  <c r="L17" i="4"/>
  <c r="K17" i="4"/>
  <c r="J17" i="4"/>
  <c r="I17" i="4"/>
  <c r="H17" i="4"/>
  <c r="G17" i="4"/>
  <c r="F17" i="4"/>
  <c r="E17" i="4"/>
  <c r="D17" i="4"/>
  <c r="M16" i="4"/>
  <c r="L16" i="4"/>
  <c r="K16" i="4"/>
  <c r="J16" i="4"/>
  <c r="I16" i="4"/>
  <c r="H16" i="4"/>
  <c r="G16" i="4"/>
  <c r="F16" i="4"/>
  <c r="E16" i="4"/>
  <c r="D16" i="4"/>
  <c r="M13" i="4"/>
  <c r="L13" i="4"/>
  <c r="K13" i="4"/>
  <c r="J13" i="4"/>
  <c r="I13" i="4"/>
  <c r="H13" i="4"/>
  <c r="G13" i="4"/>
  <c r="F13" i="4"/>
  <c r="E13" i="4"/>
  <c r="D13" i="4"/>
  <c r="L6" i="4"/>
  <c r="K6" i="4"/>
  <c r="I6" i="4"/>
  <c r="G6" i="4"/>
  <c r="F6" i="4"/>
  <c r="E6" i="4"/>
  <c r="F3" i="4"/>
  <c r="C3" i="4"/>
  <c r="F7" i="8" l="1"/>
  <c r="E7" i="8"/>
  <c r="I8" i="8"/>
  <c r="G7" i="8"/>
  <c r="G8" i="8"/>
  <c r="F8" i="8"/>
  <c r="E8" i="8"/>
  <c r="I7" i="8"/>
  <c r="AC2" i="5"/>
  <c r="M6" i="4" s="1"/>
  <c r="D20" i="4"/>
  <c r="Q52" i="7"/>
  <c r="P52" i="7"/>
  <c r="Q48" i="7"/>
  <c r="P48" i="7"/>
  <c r="Q15" i="7"/>
  <c r="P15" i="7"/>
  <c r="P29" i="7"/>
  <c r="Q29" i="7"/>
  <c r="P33" i="7"/>
  <c r="Q33" i="7"/>
  <c r="Q37" i="7"/>
  <c r="P37" i="7"/>
  <c r="Q62" i="7"/>
  <c r="P62" i="7"/>
  <c r="Q65" i="7"/>
  <c r="P65" i="7"/>
  <c r="Q50" i="7"/>
  <c r="P50" i="7"/>
  <c r="Q22" i="7"/>
  <c r="P22" i="7"/>
  <c r="Q14" i="7"/>
  <c r="P14" i="7"/>
  <c r="N8" i="7"/>
  <c r="AF8" i="7"/>
  <c r="AG5" i="7" s="1"/>
  <c r="AE8" i="7"/>
  <c r="Q28" i="7"/>
  <c r="P28" i="7"/>
  <c r="N30" i="7"/>
  <c r="AF30" i="7"/>
  <c r="AG22" i="7" s="1"/>
  <c r="AE30" i="7"/>
  <c r="Q70" i="7"/>
  <c r="P70" i="7"/>
  <c r="P38" i="7"/>
  <c r="Q38" i="7"/>
  <c r="Q39" i="7"/>
  <c r="P39" i="7"/>
  <c r="Q7" i="7"/>
  <c r="P7" i="7"/>
  <c r="N59" i="7"/>
  <c r="AF59" i="7"/>
  <c r="AG52" i="7" s="1"/>
  <c r="AE59" i="7"/>
  <c r="N11" i="7"/>
  <c r="AF11" i="7"/>
  <c r="AG9" i="7" s="1"/>
  <c r="AE11" i="7"/>
  <c r="N44" i="7"/>
  <c r="AE44" i="7"/>
  <c r="AF44" i="7"/>
  <c r="AG37" i="7" s="1"/>
  <c r="Q34" i="7"/>
  <c r="P34" i="7"/>
  <c r="P5" i="7"/>
  <c r="Q5" i="7"/>
  <c r="Q46" i="7"/>
  <c r="P46" i="7"/>
  <c r="P60" i="7"/>
  <c r="Q60" i="7"/>
  <c r="AF51" i="7"/>
  <c r="AG45" i="7" s="1"/>
  <c r="AE51" i="7"/>
  <c r="N51" i="7"/>
  <c r="Q13" i="7"/>
  <c r="P13" i="7"/>
  <c r="P58" i="7"/>
  <c r="Q58" i="7"/>
  <c r="N66" i="7"/>
  <c r="AF66" i="7"/>
  <c r="AG60" i="7" s="1"/>
  <c r="AE66" i="7"/>
  <c r="AF21" i="7"/>
  <c r="AG12" i="7" s="1"/>
  <c r="AE21" i="7"/>
  <c r="N21" i="7"/>
  <c r="P55" i="7"/>
  <c r="Q55" i="7"/>
  <c r="P56" i="7"/>
  <c r="Q56" i="7"/>
  <c r="Q45" i="7"/>
  <c r="P45" i="7"/>
  <c r="Q41" i="7"/>
  <c r="P41" i="7"/>
  <c r="Q10" i="7"/>
  <c r="P10" i="7"/>
  <c r="Q72" i="7"/>
  <c r="R67" i="7" s="1"/>
  <c r="P72" i="7"/>
  <c r="M14" i="6"/>
  <c r="M15" i="6" s="1"/>
  <c r="Q31" i="7"/>
  <c r="P31" i="7"/>
  <c r="AF36" i="7"/>
  <c r="AG31" i="7" s="1"/>
  <c r="AE36" i="7"/>
  <c r="N36" i="7"/>
  <c r="I3" i="4"/>
  <c r="N5" i="5"/>
  <c r="M9" i="5"/>
  <c r="AF9" i="5" s="1"/>
  <c r="AG5" i="5" s="1"/>
  <c r="AF5" i="5"/>
  <c r="N6" i="5"/>
  <c r="AF6" i="5"/>
  <c r="Q7" i="5"/>
  <c r="P7" i="5"/>
  <c r="N8" i="5"/>
  <c r="AE8" i="5"/>
  <c r="N12" i="5"/>
  <c r="E14" i="4" s="1"/>
  <c r="E15" i="4" s="1"/>
  <c r="AF12" i="5"/>
  <c r="AG10" i="5" s="1"/>
  <c r="N11" i="5"/>
  <c r="AF11" i="5"/>
  <c r="AD2" i="5"/>
  <c r="N6" i="4" s="1"/>
  <c r="E21" i="4"/>
  <c r="N13" i="5"/>
  <c r="AF13" i="5"/>
  <c r="M20" i="5"/>
  <c r="N20" i="5" s="1"/>
  <c r="F14" i="4" s="1"/>
  <c r="F15" i="4" s="1"/>
  <c r="N14" i="5"/>
  <c r="AF14" i="5"/>
  <c r="Q15" i="5"/>
  <c r="P15" i="5"/>
  <c r="N16" i="5"/>
  <c r="AE16" i="5"/>
  <c r="Q17" i="5"/>
  <c r="P17" i="5"/>
  <c r="AF19" i="5"/>
  <c r="AE19" i="5"/>
  <c r="N19" i="5"/>
  <c r="P20" i="5"/>
  <c r="Q20" i="5"/>
  <c r="R13" i="5" s="1"/>
  <c r="AF21" i="5"/>
  <c r="AE21" i="5"/>
  <c r="M29" i="5"/>
  <c r="Q21" i="5"/>
  <c r="P21" i="5"/>
  <c r="AF22" i="5"/>
  <c r="AE22" i="5"/>
  <c r="N22" i="5"/>
  <c r="AF23" i="5"/>
  <c r="AE23" i="5"/>
  <c r="Q23" i="5"/>
  <c r="P23" i="5"/>
  <c r="P24" i="5"/>
  <c r="Q24" i="5"/>
  <c r="AF26" i="5"/>
  <c r="AE26" i="5"/>
  <c r="N26" i="5"/>
  <c r="N27" i="5"/>
  <c r="AF27" i="5"/>
  <c r="AE27" i="5"/>
  <c r="N28" i="5"/>
  <c r="AE28" i="5"/>
  <c r="AF28" i="5"/>
  <c r="N30" i="5"/>
  <c r="AF30" i="5"/>
  <c r="M35" i="5"/>
  <c r="AE35" i="5" s="1"/>
  <c r="AE30" i="5"/>
  <c r="AF31" i="5"/>
  <c r="AE31" i="5"/>
  <c r="N31" i="5"/>
  <c r="N32" i="5"/>
  <c r="AF32" i="5"/>
  <c r="AE32" i="5"/>
  <c r="N33" i="5"/>
  <c r="AE33" i="5"/>
  <c r="AF33" i="5"/>
  <c r="N34" i="5"/>
  <c r="AF34" i="5"/>
  <c r="N36" i="5"/>
  <c r="AF36" i="5"/>
  <c r="AE36" i="5"/>
  <c r="N37" i="5"/>
  <c r="AF37" i="5"/>
  <c r="AE37" i="5"/>
  <c r="N38" i="5"/>
  <c r="AE38" i="5"/>
  <c r="AF38" i="5"/>
  <c r="N39" i="5"/>
  <c r="AF39" i="5"/>
  <c r="Q40" i="5"/>
  <c r="P40" i="5"/>
  <c r="N41" i="5"/>
  <c r="AE41" i="5"/>
  <c r="Q42" i="5"/>
  <c r="P42" i="5"/>
  <c r="N43" i="5"/>
  <c r="L14" i="4" s="1"/>
  <c r="L15" i="4" s="1"/>
  <c r="AF43" i="5"/>
  <c r="AG36" i="5" s="1"/>
  <c r="AE43" i="5"/>
  <c r="N50" i="5"/>
  <c r="AF50" i="5"/>
  <c r="AG44" i="5" s="1"/>
  <c r="N45" i="5"/>
  <c r="AF45" i="5"/>
  <c r="N46" i="5"/>
  <c r="AF46" i="5"/>
  <c r="N47" i="5"/>
  <c r="AF47" i="5"/>
  <c r="N48" i="5"/>
  <c r="AF48" i="5"/>
  <c r="N49" i="5"/>
  <c r="AF49" i="5"/>
  <c r="N51" i="5"/>
  <c r="AF51" i="5"/>
  <c r="M58" i="5"/>
  <c r="N58" i="5" s="1"/>
  <c r="P58" i="5" s="1"/>
  <c r="N52" i="5"/>
  <c r="AF52" i="5"/>
  <c r="Q53" i="5"/>
  <c r="P53" i="5"/>
  <c r="N54" i="5"/>
  <c r="AE54" i="5"/>
  <c r="Q55" i="5"/>
  <c r="P55" i="5"/>
  <c r="AF57" i="5"/>
  <c r="AE57" i="5"/>
  <c r="N57" i="5"/>
  <c r="I14" i="4"/>
  <c r="I15" i="4" s="1"/>
  <c r="AF59" i="5"/>
  <c r="AE59" i="5"/>
  <c r="Q59" i="5"/>
  <c r="P59" i="5"/>
  <c r="AE60" i="5"/>
  <c r="N60" i="5"/>
  <c r="AF60" i="5"/>
  <c r="AE61" i="5"/>
  <c r="N61" i="5"/>
  <c r="AF61" i="5"/>
  <c r="AE62" i="5"/>
  <c r="N62" i="5"/>
  <c r="AF62" i="5"/>
  <c r="AE63" i="5"/>
  <c r="N63" i="5"/>
  <c r="AF63" i="5"/>
  <c r="AE64" i="5"/>
  <c r="N64" i="5"/>
  <c r="AF64" i="5"/>
  <c r="AE65" i="5"/>
  <c r="AF65" i="5"/>
  <c r="AG59" i="5" s="1"/>
  <c r="Q65" i="5"/>
  <c r="R59" i="5" s="1"/>
  <c r="P65" i="5"/>
  <c r="N66" i="5"/>
  <c r="M71" i="5"/>
  <c r="N71" i="5" s="1"/>
  <c r="M14" i="4" s="1"/>
  <c r="M15" i="4" s="1"/>
  <c r="AE66" i="5"/>
  <c r="N67" i="5"/>
  <c r="AE67" i="5"/>
  <c r="Q68" i="5"/>
  <c r="P68" i="5"/>
  <c r="AF70" i="5"/>
  <c r="AE70" i="5"/>
  <c r="N70" i="5"/>
  <c r="P71" i="5"/>
  <c r="AE17" i="5"/>
  <c r="AF18" i="5"/>
  <c r="AE42" i="5"/>
  <c r="AE55" i="5"/>
  <c r="AF56" i="5"/>
  <c r="AE68" i="5"/>
  <c r="AF69" i="5"/>
  <c r="N18" i="5"/>
  <c r="N44" i="5"/>
  <c r="N56" i="5"/>
  <c r="N69" i="5"/>
  <c r="N10" i="5"/>
  <c r="AE25" i="5"/>
  <c r="AE24" i="5"/>
  <c r="G22" i="3"/>
  <c r="F22" i="3"/>
  <c r="E22" i="3"/>
  <c r="D22" i="3"/>
  <c r="M21" i="3"/>
  <c r="L21" i="3"/>
  <c r="K21" i="3"/>
  <c r="J21" i="3"/>
  <c r="I21" i="3"/>
  <c r="H21" i="3"/>
  <c r="G21" i="3"/>
  <c r="F21" i="3"/>
  <c r="E21" i="3"/>
  <c r="D21" i="3"/>
  <c r="M20" i="3"/>
  <c r="L20" i="3"/>
  <c r="K20" i="3"/>
  <c r="J20" i="3"/>
  <c r="I20" i="3"/>
  <c r="H20" i="3"/>
  <c r="G20" i="3"/>
  <c r="F20" i="3"/>
  <c r="E20" i="3"/>
  <c r="M19" i="3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4" i="3"/>
  <c r="L14" i="3"/>
  <c r="K14" i="3"/>
  <c r="J14" i="3"/>
  <c r="I14" i="3"/>
  <c r="H14" i="3"/>
  <c r="G14" i="3"/>
  <c r="F14" i="3"/>
  <c r="E14" i="3"/>
  <c r="D14" i="3"/>
  <c r="M13" i="3"/>
  <c r="L13" i="3"/>
  <c r="K13" i="3"/>
  <c r="J13" i="3"/>
  <c r="I13" i="3"/>
  <c r="H13" i="3"/>
  <c r="G13" i="3"/>
  <c r="F13" i="3"/>
  <c r="E13" i="3"/>
  <c r="D13" i="3"/>
  <c r="N6" i="3"/>
  <c r="L6" i="3"/>
  <c r="K6" i="3"/>
  <c r="I3" i="3"/>
  <c r="F3" i="3"/>
  <c r="M22" i="3"/>
  <c r="L22" i="3"/>
  <c r="K22" i="3"/>
  <c r="J22" i="3"/>
  <c r="I22" i="3"/>
  <c r="H22" i="3"/>
  <c r="D15" i="3"/>
  <c r="C3" i="3"/>
  <c r="M15" i="3"/>
  <c r="L15" i="3"/>
  <c r="G15" i="3"/>
  <c r="K15" i="3"/>
  <c r="F15" i="3"/>
  <c r="E15" i="3"/>
  <c r="G7" i="3"/>
  <c r="I15" i="3"/>
  <c r="I6" i="3"/>
  <c r="H15" i="3"/>
  <c r="Q59" i="7" l="1"/>
  <c r="R52" i="7" s="1"/>
  <c r="P59" i="7"/>
  <c r="I14" i="6"/>
  <c r="I15" i="6" s="1"/>
  <c r="H14" i="6"/>
  <c r="H15" i="6" s="1"/>
  <c r="P51" i="7"/>
  <c r="Q51" i="7"/>
  <c r="R45" i="7" s="1"/>
  <c r="P21" i="7"/>
  <c r="Q21" i="7"/>
  <c r="R12" i="7" s="1"/>
  <c r="F14" i="6"/>
  <c r="F15" i="6" s="1"/>
  <c r="Q30" i="7"/>
  <c r="R22" i="7" s="1"/>
  <c r="P30" i="7"/>
  <c r="G14" i="6"/>
  <c r="G15" i="6" s="1"/>
  <c r="Q36" i="7"/>
  <c r="R31" i="7" s="1"/>
  <c r="P36" i="7"/>
  <c r="K14" i="6"/>
  <c r="Q44" i="7"/>
  <c r="R37" i="7" s="1"/>
  <c r="P44" i="7"/>
  <c r="L14" i="6"/>
  <c r="L15" i="6" s="1"/>
  <c r="Q66" i="7"/>
  <c r="R60" i="7" s="1"/>
  <c r="P66" i="7"/>
  <c r="J14" i="6"/>
  <c r="J15" i="6" s="1"/>
  <c r="P8" i="7"/>
  <c r="D2" i="7"/>
  <c r="Q8" i="7"/>
  <c r="R5" i="7" s="1"/>
  <c r="D14" i="6"/>
  <c r="Q11" i="7"/>
  <c r="R9" i="7" s="1"/>
  <c r="P11" i="7"/>
  <c r="E14" i="6"/>
  <c r="E15" i="6" s="1"/>
  <c r="P37" i="5"/>
  <c r="Q37" i="5"/>
  <c r="Q31" i="5"/>
  <c r="P31" i="5"/>
  <c r="P27" i="5"/>
  <c r="Q27" i="5"/>
  <c r="Q26" i="5"/>
  <c r="P26" i="5"/>
  <c r="Q58" i="5"/>
  <c r="R51" i="5" s="1"/>
  <c r="Q71" i="5"/>
  <c r="R66" i="5" s="1"/>
  <c r="P32" i="5"/>
  <c r="Q32" i="5"/>
  <c r="Q10" i="5"/>
  <c r="P10" i="5"/>
  <c r="Q69" i="5"/>
  <c r="P69" i="5"/>
  <c r="Q56" i="5"/>
  <c r="P56" i="5"/>
  <c r="Q44" i="5"/>
  <c r="P44" i="5"/>
  <c r="Q18" i="5"/>
  <c r="P18" i="5"/>
  <c r="Q70" i="5"/>
  <c r="P70" i="5"/>
  <c r="Q67" i="5"/>
  <c r="P67" i="5"/>
  <c r="AF71" i="5"/>
  <c r="AG66" i="5" s="1"/>
  <c r="AE71" i="5"/>
  <c r="Q66" i="5"/>
  <c r="P66" i="5"/>
  <c r="Q64" i="5"/>
  <c r="P64" i="5"/>
  <c r="Q63" i="5"/>
  <c r="P63" i="5"/>
  <c r="Q62" i="5"/>
  <c r="P62" i="5"/>
  <c r="Q61" i="5"/>
  <c r="P61" i="5"/>
  <c r="Q60" i="5"/>
  <c r="P60" i="5"/>
  <c r="Q57" i="5"/>
  <c r="P57" i="5"/>
  <c r="Q54" i="5"/>
  <c r="P54" i="5"/>
  <c r="P52" i="5"/>
  <c r="Q52" i="5"/>
  <c r="AF58" i="5"/>
  <c r="AG51" i="5" s="1"/>
  <c r="AE58" i="5"/>
  <c r="Q51" i="5"/>
  <c r="P51" i="5"/>
  <c r="Q49" i="5"/>
  <c r="P49" i="5"/>
  <c r="Q48" i="5"/>
  <c r="P48" i="5"/>
  <c r="Q47" i="5"/>
  <c r="P47" i="5"/>
  <c r="Q46" i="5"/>
  <c r="P46" i="5"/>
  <c r="Q45" i="5"/>
  <c r="P45" i="5"/>
  <c r="Q50" i="5"/>
  <c r="R44" i="5" s="1"/>
  <c r="P50" i="5"/>
  <c r="H14" i="4"/>
  <c r="H15" i="4" s="1"/>
  <c r="Q43" i="5"/>
  <c r="R36" i="5" s="1"/>
  <c r="P43" i="5"/>
  <c r="Q41" i="5"/>
  <c r="P41" i="5"/>
  <c r="P39" i="5"/>
  <c r="Q39" i="5"/>
  <c r="Q38" i="5"/>
  <c r="P38" i="5"/>
  <c r="Q36" i="5"/>
  <c r="P36" i="5"/>
  <c r="P34" i="5"/>
  <c r="Q34" i="5"/>
  <c r="Q33" i="5"/>
  <c r="P33" i="5"/>
  <c r="N35" i="5"/>
  <c r="K14" i="4" s="1"/>
  <c r="AF35" i="5"/>
  <c r="AG30" i="5" s="1"/>
  <c r="P30" i="5"/>
  <c r="Q30" i="5"/>
  <c r="Q28" i="5"/>
  <c r="P28" i="5"/>
  <c r="Q22" i="5"/>
  <c r="P22" i="5"/>
  <c r="N29" i="5"/>
  <c r="G14" i="4" s="1"/>
  <c r="G15" i="4" s="1"/>
  <c r="AE29" i="5"/>
  <c r="AF29" i="5"/>
  <c r="AG21" i="5" s="1"/>
  <c r="Q19" i="5"/>
  <c r="P19" i="5"/>
  <c r="Q16" i="5"/>
  <c r="P16" i="5"/>
  <c r="P14" i="5"/>
  <c r="Q14" i="5"/>
  <c r="AF20" i="5"/>
  <c r="AG13" i="5" s="1"/>
  <c r="AE20" i="5"/>
  <c r="Q13" i="5"/>
  <c r="P13" i="5"/>
  <c r="P11" i="5"/>
  <c r="Q11" i="5"/>
  <c r="Q12" i="5"/>
  <c r="R10" i="5" s="1"/>
  <c r="P12" i="5"/>
  <c r="Q8" i="5"/>
  <c r="P8" i="5"/>
  <c r="P6" i="5"/>
  <c r="Q6" i="5"/>
  <c r="N9" i="5"/>
  <c r="D14" i="4" s="1"/>
  <c r="AE9" i="5"/>
  <c r="Q5" i="5"/>
  <c r="P5" i="5"/>
  <c r="I8" i="3"/>
  <c r="E7" i="3"/>
  <c r="F7" i="3"/>
  <c r="I7" i="3"/>
  <c r="E6" i="3"/>
  <c r="J15" i="3"/>
  <c r="E8" i="3" s="1"/>
  <c r="F6" i="3"/>
  <c r="F8" i="3"/>
  <c r="G6" i="3"/>
  <c r="K15" i="6" l="1"/>
  <c r="I8" i="6" s="1"/>
  <c r="I7" i="6"/>
  <c r="D15" i="6"/>
  <c r="G7" i="6"/>
  <c r="F7" i="6"/>
  <c r="E7" i="6"/>
  <c r="G7" i="4"/>
  <c r="E7" i="4"/>
  <c r="D15" i="4"/>
  <c r="F7" i="4"/>
  <c r="K15" i="4"/>
  <c r="I8" i="4" s="1"/>
  <c r="I7" i="4"/>
  <c r="D2" i="5"/>
  <c r="Q9" i="5"/>
  <c r="R5" i="5" s="1"/>
  <c r="P9" i="5"/>
  <c r="Q29" i="5"/>
  <c r="R21" i="5" s="1"/>
  <c r="P29" i="5"/>
  <c r="Q35" i="5"/>
  <c r="R30" i="5" s="1"/>
  <c r="P35" i="5"/>
  <c r="G8" i="3"/>
  <c r="F8" i="6" l="1"/>
  <c r="E8" i="6"/>
  <c r="G8" i="6"/>
  <c r="F8" i="4"/>
  <c r="E8" i="4"/>
  <c r="G8" i="4"/>
  <c r="X71" i="1"/>
  <c r="W71" i="1"/>
  <c r="AD73" i="1"/>
  <c r="Z73" i="1"/>
  <c r="Y73" i="1"/>
  <c r="AD66" i="1"/>
  <c r="Z66" i="1"/>
  <c r="Y66" i="1"/>
  <c r="AD59" i="1"/>
  <c r="Z59" i="1"/>
  <c r="Y59" i="1"/>
  <c r="AD51" i="1"/>
  <c r="Z51" i="1"/>
  <c r="Y51" i="1"/>
  <c r="AD44" i="1"/>
  <c r="Z44" i="1"/>
  <c r="Y44" i="1"/>
  <c r="AD36" i="1"/>
  <c r="Z36" i="1"/>
  <c r="Y36" i="1"/>
  <c r="AD29" i="1"/>
  <c r="Z29" i="1"/>
  <c r="Y29" i="1"/>
  <c r="U26" i="1"/>
  <c r="AD20" i="1"/>
  <c r="Z20" i="1"/>
  <c r="Y20" i="1"/>
  <c r="AD12" i="1"/>
  <c r="Z12" i="1"/>
  <c r="Y12" i="1"/>
  <c r="AD9" i="1"/>
  <c r="Z9" i="1"/>
  <c r="Y9" i="1"/>
  <c r="AD2" i="1" l="1"/>
  <c r="K61" i="1"/>
  <c r="G25" i="1"/>
  <c r="O61" i="1"/>
  <c r="Y2" i="1"/>
  <c r="K70" i="1"/>
  <c r="O70" i="1"/>
  <c r="K54" i="1"/>
  <c r="K28" i="1"/>
  <c r="Z2" i="1"/>
  <c r="U16" i="1"/>
  <c r="U56" i="1"/>
  <c r="K71" i="1"/>
  <c r="O71" i="1"/>
  <c r="G14" i="1" l="1"/>
  <c r="O14" i="1"/>
  <c r="K14" i="1"/>
  <c r="G71" i="1"/>
  <c r="G70" i="1"/>
  <c r="O48" i="1"/>
  <c r="D1" i="1"/>
  <c r="G60" i="1"/>
  <c r="G31" i="1"/>
  <c r="O31" i="1"/>
  <c r="K48" i="1"/>
  <c r="O28" i="1"/>
  <c r="G54" i="1"/>
  <c r="O54" i="1"/>
  <c r="G48" i="1"/>
  <c r="G30" i="1"/>
  <c r="K34" i="1"/>
  <c r="K30" i="1"/>
  <c r="O5" i="1"/>
  <c r="G5" i="1"/>
  <c r="G28" i="1"/>
  <c r="O60" i="1"/>
  <c r="O34" i="1"/>
  <c r="O69" i="1"/>
  <c r="G69" i="1"/>
  <c r="G40" i="1"/>
  <c r="O40" i="1"/>
  <c r="G27" i="1"/>
  <c r="O27" i="1"/>
  <c r="G32" i="1"/>
  <c r="G38" i="1"/>
  <c r="O38" i="1"/>
  <c r="O22" i="1"/>
  <c r="G22" i="1"/>
  <c r="G39" i="1"/>
  <c r="O39" i="1"/>
  <c r="O49" i="1"/>
  <c r="G49" i="1"/>
  <c r="O62" i="1"/>
  <c r="G62" i="1"/>
  <c r="G61" i="1"/>
  <c r="O41" i="1"/>
  <c r="G41" i="1"/>
  <c r="O37" i="1"/>
  <c r="G37" i="1"/>
  <c r="G21" i="1"/>
  <c r="G11" i="1"/>
  <c r="O11" i="1"/>
  <c r="O17" i="1"/>
  <c r="G17" i="1"/>
  <c r="O18" i="1"/>
  <c r="G18" i="1"/>
  <c r="O47" i="1"/>
  <c r="G47" i="1"/>
  <c r="O35" i="1"/>
  <c r="G35" i="1"/>
  <c r="O64" i="1"/>
  <c r="G64" i="1"/>
  <c r="O33" i="1"/>
  <c r="G33" i="1"/>
  <c r="G67" i="1"/>
  <c r="O57" i="1"/>
  <c r="G57" i="1"/>
  <c r="O26" i="1"/>
  <c r="G26" i="1"/>
  <c r="O13" i="1"/>
  <c r="G13" i="1"/>
  <c r="O15" i="1"/>
  <c r="G15" i="1"/>
  <c r="K25" i="1"/>
  <c r="O45" i="1"/>
  <c r="G45" i="1"/>
  <c r="O7" i="1"/>
  <c r="G7" i="1"/>
  <c r="O65" i="1"/>
  <c r="G65" i="1"/>
  <c r="G72" i="1"/>
  <c r="O72" i="1"/>
  <c r="O56" i="1"/>
  <c r="G56" i="1"/>
  <c r="O52" i="1"/>
  <c r="G52" i="1"/>
  <c r="O55" i="1"/>
  <c r="K55" i="1"/>
  <c r="O16" i="1"/>
  <c r="G16" i="1"/>
  <c r="O19" i="1"/>
  <c r="G19" i="1"/>
  <c r="G46" i="1"/>
  <c r="O46" i="1"/>
  <c r="O43" i="1"/>
  <c r="G43" i="1"/>
  <c r="G53" i="1"/>
  <c r="O53" i="1"/>
  <c r="G55" i="1"/>
  <c r="D20" i="3"/>
  <c r="G34" i="1"/>
  <c r="O25" i="1"/>
  <c r="O6" i="1"/>
  <c r="G6" i="1"/>
  <c r="O10" i="1"/>
  <c r="G10" i="1"/>
  <c r="O50" i="1"/>
  <c r="G50" i="1"/>
  <c r="G68" i="1"/>
  <c r="O68" i="1"/>
  <c r="G58" i="1"/>
  <c r="O58" i="1"/>
  <c r="O63" i="1"/>
  <c r="G63" i="1"/>
  <c r="O42" i="1"/>
  <c r="G42" i="1"/>
  <c r="G24" i="1"/>
  <c r="O24" i="1"/>
  <c r="O8" i="1"/>
  <c r="G8" i="1"/>
  <c r="O23" i="1"/>
  <c r="G23" i="1"/>
  <c r="K64" i="1" l="1"/>
  <c r="O30" i="1"/>
  <c r="K24" i="1"/>
  <c r="K65" i="1"/>
  <c r="K43" i="1"/>
  <c r="K31" i="1"/>
  <c r="K40" i="1"/>
  <c r="K68" i="1"/>
  <c r="K46" i="1"/>
  <c r="K56" i="1"/>
  <c r="K50" i="1"/>
  <c r="K17" i="1"/>
  <c r="K5" i="1"/>
  <c r="K60" i="1"/>
  <c r="K35" i="1"/>
  <c r="K7" i="1"/>
  <c r="K72" i="1"/>
  <c r="K23" i="1"/>
  <c r="O36" i="1"/>
  <c r="F1" i="1"/>
  <c r="F2" i="1" s="1"/>
  <c r="K42" i="1"/>
  <c r="O12" i="1"/>
  <c r="K49" i="1"/>
  <c r="K41" i="1"/>
  <c r="K38" i="1"/>
  <c r="K63" i="1"/>
  <c r="K16" i="1"/>
  <c r="K26" i="1"/>
  <c r="K33" i="1"/>
  <c r="K47" i="1"/>
  <c r="K18" i="1"/>
  <c r="O29" i="1"/>
  <c r="O21" i="1"/>
  <c r="K32" i="1"/>
  <c r="K6" i="1"/>
  <c r="O51" i="1"/>
  <c r="K67" i="1"/>
  <c r="K22" i="1"/>
  <c r="K27" i="1"/>
  <c r="O66" i="1"/>
  <c r="O9" i="1"/>
  <c r="O73" i="1"/>
  <c r="O67" i="1"/>
  <c r="K10" i="1"/>
  <c r="H1" i="1"/>
  <c r="K53" i="1"/>
  <c r="O59" i="1"/>
  <c r="K13" i="1"/>
  <c r="K11" i="1"/>
  <c r="K45" i="1"/>
  <c r="K62" i="1"/>
  <c r="K8" i="1"/>
  <c r="O20" i="1"/>
  <c r="K57" i="1"/>
  <c r="K39" i="1"/>
  <c r="K21" i="1"/>
  <c r="K19" i="1"/>
  <c r="O32" i="1"/>
  <c r="K58" i="1"/>
  <c r="K52" i="1"/>
  <c r="K15" i="1"/>
  <c r="K37" i="1"/>
  <c r="K69" i="1"/>
  <c r="O44" i="1"/>
  <c r="M6" i="3" l="1"/>
  <c r="K66" i="1"/>
  <c r="K59" i="1"/>
  <c r="K36" i="1"/>
  <c r="K12" i="1"/>
  <c r="K51" i="1"/>
  <c r="K20" i="1"/>
  <c r="K29" i="1"/>
  <c r="K73" i="1"/>
  <c r="K9" i="1"/>
  <c r="K44" i="1"/>
  <c r="V52" i="1" l="1"/>
  <c r="M52" i="1" s="1"/>
  <c r="W67" i="1" l="1"/>
  <c r="V67" i="1"/>
  <c r="M67" i="1" s="1"/>
  <c r="V37" i="1"/>
  <c r="M37" i="1" s="1"/>
  <c r="W37" i="1"/>
  <c r="AF52" i="1"/>
  <c r="N52" i="1"/>
  <c r="AE52" i="1"/>
  <c r="X45" i="1"/>
  <c r="U53" i="1"/>
  <c r="V53" i="1"/>
  <c r="M53" i="1" s="1"/>
  <c r="V16" i="1"/>
  <c r="M16" i="1" s="1"/>
  <c r="U46" i="1"/>
  <c r="V21" i="1"/>
  <c r="M21" i="1" s="1"/>
  <c r="U17" i="1" l="1"/>
  <c r="AE21" i="1"/>
  <c r="N21" i="1"/>
  <c r="AF21" i="1"/>
  <c r="V45" i="1"/>
  <c r="M45" i="1" s="1"/>
  <c r="W45" i="1"/>
  <c r="P52" i="1"/>
  <c r="Q52" i="1"/>
  <c r="W30" i="1"/>
  <c r="V30" i="1"/>
  <c r="M30" i="1" s="1"/>
  <c r="U31" i="1"/>
  <c r="X30" i="1"/>
  <c r="N67" i="1"/>
  <c r="AF67" i="1"/>
  <c r="AE67" i="1"/>
  <c r="AF37" i="1"/>
  <c r="N37" i="1"/>
  <c r="AE37" i="1"/>
  <c r="AE16" i="1"/>
  <c r="AF16" i="1"/>
  <c r="N16" i="1"/>
  <c r="AE53" i="1"/>
  <c r="N53" i="1"/>
  <c r="AF53" i="1"/>
  <c r="V26" i="1"/>
  <c r="M26" i="1" s="1"/>
  <c r="U54" i="1"/>
  <c r="V13" i="1"/>
  <c r="M13" i="1" s="1"/>
  <c r="V46" i="1"/>
  <c r="M46" i="1" s="1"/>
  <c r="V31" i="1"/>
  <c r="M31" i="1" s="1"/>
  <c r="V60" i="1"/>
  <c r="M60" i="1" s="1"/>
  <c r="U22" i="1"/>
  <c r="V5" i="1"/>
  <c r="M5" i="1" s="1"/>
  <c r="V17" i="1"/>
  <c r="M17" i="1" s="1"/>
  <c r="U32" i="1" l="1"/>
  <c r="AF30" i="1"/>
  <c r="AE30" i="1"/>
  <c r="N30" i="1"/>
  <c r="Q16" i="1"/>
  <c r="P16" i="1"/>
  <c r="N5" i="1"/>
  <c r="AF5" i="1"/>
  <c r="AE5" i="1"/>
  <c r="N46" i="1"/>
  <c r="AF46" i="1"/>
  <c r="AE46" i="1"/>
  <c r="AE45" i="1"/>
  <c r="AF45" i="1"/>
  <c r="N45" i="1"/>
  <c r="N31" i="1"/>
  <c r="AF31" i="1"/>
  <c r="AE31" i="1"/>
  <c r="U27" i="1"/>
  <c r="N26" i="1"/>
  <c r="AE26" i="1"/>
  <c r="AF26" i="1"/>
  <c r="P37" i="1"/>
  <c r="Q37" i="1"/>
  <c r="N60" i="1"/>
  <c r="AF60" i="1"/>
  <c r="AE60" i="1"/>
  <c r="Q21" i="1"/>
  <c r="P21" i="1"/>
  <c r="P53" i="1"/>
  <c r="Q53" i="1"/>
  <c r="P67" i="1"/>
  <c r="Q67" i="1"/>
  <c r="AE13" i="1"/>
  <c r="AF13" i="1"/>
  <c r="N13" i="1"/>
  <c r="W10" i="1"/>
  <c r="V10" i="1"/>
  <c r="M10" i="1" s="1"/>
  <c r="U61" i="1"/>
  <c r="AF17" i="1"/>
  <c r="AE17" i="1"/>
  <c r="N17" i="1"/>
  <c r="U68" i="1"/>
  <c r="X67" i="1"/>
  <c r="V27" i="1"/>
  <c r="M27" i="1" s="1"/>
  <c r="V54" i="1"/>
  <c r="M54" i="1" s="1"/>
  <c r="U47" i="1"/>
  <c r="U14" i="1"/>
  <c r="V22" i="1"/>
  <c r="M22" i="1" s="1"/>
  <c r="U6" i="1"/>
  <c r="V32" i="1"/>
  <c r="M32" i="1" s="1"/>
  <c r="V68" i="1"/>
  <c r="M68" i="1" s="1"/>
  <c r="U18" i="1"/>
  <c r="V47" i="1" l="1"/>
  <c r="M47" i="1" s="1"/>
  <c r="N47" i="1" s="1"/>
  <c r="N22" i="1"/>
  <c r="AF22" i="1"/>
  <c r="AE22" i="1"/>
  <c r="V14" i="1"/>
  <c r="M14" i="1" s="1"/>
  <c r="Q5" i="1"/>
  <c r="P5" i="1"/>
  <c r="P26" i="1"/>
  <c r="Q26" i="1"/>
  <c r="U28" i="1"/>
  <c r="N68" i="1"/>
  <c r="AF68" i="1"/>
  <c r="AE68" i="1"/>
  <c r="AE10" i="1"/>
  <c r="AF10" i="1"/>
  <c r="N10" i="1"/>
  <c r="Q31" i="1"/>
  <c r="P31" i="1"/>
  <c r="P46" i="1"/>
  <c r="Q46" i="1"/>
  <c r="Q17" i="1"/>
  <c r="P17" i="1"/>
  <c r="AF54" i="1"/>
  <c r="AE54" i="1"/>
  <c r="N54" i="1"/>
  <c r="Q13" i="1"/>
  <c r="P13" i="1"/>
  <c r="V28" i="1"/>
  <c r="M28" i="1" s="1"/>
  <c r="V11" i="1"/>
  <c r="M11" i="1" s="1"/>
  <c r="M12" i="1" s="1"/>
  <c r="P60" i="1"/>
  <c r="Q60" i="1"/>
  <c r="Q30" i="1"/>
  <c r="P30" i="1"/>
  <c r="U38" i="1"/>
  <c r="X37" i="1"/>
  <c r="N27" i="1"/>
  <c r="AF27" i="1"/>
  <c r="AE27" i="1"/>
  <c r="AE32" i="1"/>
  <c r="N32" i="1"/>
  <c r="AF32" i="1"/>
  <c r="P45" i="1"/>
  <c r="Q45" i="1"/>
  <c r="U11" i="1"/>
  <c r="X10" i="1"/>
  <c r="U55" i="1"/>
  <c r="U48" i="1"/>
  <c r="V61" i="1"/>
  <c r="M61" i="1" s="1"/>
  <c r="V38" i="1"/>
  <c r="M38" i="1" s="1"/>
  <c r="U15" i="1"/>
  <c r="V6" i="1"/>
  <c r="M6" i="1" s="1"/>
  <c r="U69" i="1"/>
  <c r="V18" i="1"/>
  <c r="M18" i="1" s="1"/>
  <c r="U33" i="1"/>
  <c r="U23" i="1"/>
  <c r="U49" i="1"/>
  <c r="AE47" i="1" l="1"/>
  <c r="AF47" i="1"/>
  <c r="AF12" i="1"/>
  <c r="AG10" i="1" s="1"/>
  <c r="AE12" i="1"/>
  <c r="N12" i="1"/>
  <c r="P47" i="1"/>
  <c r="Q47" i="1"/>
  <c r="AF28" i="1"/>
  <c r="AE28" i="1"/>
  <c r="N28" i="1"/>
  <c r="P32" i="1"/>
  <c r="Q32" i="1"/>
  <c r="Q68" i="1"/>
  <c r="P68" i="1"/>
  <c r="V55" i="1"/>
  <c r="M55" i="1" s="1"/>
  <c r="Q10" i="1"/>
  <c r="P10" i="1"/>
  <c r="N14" i="1"/>
  <c r="AF14" i="1"/>
  <c r="AE14" i="1"/>
  <c r="AF61" i="1"/>
  <c r="AE61" i="1"/>
  <c r="N61" i="1"/>
  <c r="N6" i="1"/>
  <c r="AF6" i="1"/>
  <c r="AE6" i="1"/>
  <c r="AF38" i="1"/>
  <c r="N38" i="1"/>
  <c r="AE38" i="1"/>
  <c r="N18" i="1"/>
  <c r="AF18" i="1"/>
  <c r="AE18" i="1"/>
  <c r="AE11" i="1"/>
  <c r="AF11" i="1"/>
  <c r="N11" i="1"/>
  <c r="P27" i="1"/>
  <c r="Q27" i="1"/>
  <c r="P54" i="1"/>
  <c r="Q54" i="1"/>
  <c r="V48" i="1"/>
  <c r="M48" i="1" s="1"/>
  <c r="Q22" i="1"/>
  <c r="P22" i="1"/>
  <c r="V56" i="1"/>
  <c r="M56" i="1" s="1"/>
  <c r="U62" i="1"/>
  <c r="V23" i="1"/>
  <c r="M23" i="1" s="1"/>
  <c r="V33" i="1"/>
  <c r="M33" i="1" s="1"/>
  <c r="V69" i="1"/>
  <c r="M69" i="1" s="1"/>
  <c r="U19" i="1"/>
  <c r="U7" i="1"/>
  <c r="V15" i="1"/>
  <c r="M15" i="1" s="1"/>
  <c r="U39" i="1"/>
  <c r="V49" i="1"/>
  <c r="M49" i="1" s="1"/>
  <c r="Q6" i="1" l="1"/>
  <c r="P6" i="1"/>
  <c r="N15" i="1"/>
  <c r="AE15" i="1"/>
  <c r="AF15" i="1"/>
  <c r="N69" i="1"/>
  <c r="AF69" i="1"/>
  <c r="AE69" i="1"/>
  <c r="P28" i="1"/>
  <c r="Q28" i="1"/>
  <c r="M20" i="1"/>
  <c r="AE33" i="1"/>
  <c r="AF33" i="1"/>
  <c r="N33" i="1"/>
  <c r="AF48" i="1"/>
  <c r="AE48" i="1"/>
  <c r="N48" i="1"/>
  <c r="Q38" i="1"/>
  <c r="P38" i="1"/>
  <c r="AE49" i="1"/>
  <c r="AF49" i="1"/>
  <c r="N49" i="1"/>
  <c r="P14" i="1"/>
  <c r="Q14" i="1"/>
  <c r="Q61" i="1"/>
  <c r="P61" i="1"/>
  <c r="AF56" i="1"/>
  <c r="AE56" i="1"/>
  <c r="N56" i="1"/>
  <c r="V19" i="1"/>
  <c r="M19" i="1" s="1"/>
  <c r="P18" i="1"/>
  <c r="Q18" i="1"/>
  <c r="AE23" i="1"/>
  <c r="N23" i="1"/>
  <c r="AF23" i="1"/>
  <c r="Q12" i="1"/>
  <c r="R10" i="1" s="1"/>
  <c r="P12" i="1"/>
  <c r="Q11" i="1"/>
  <c r="P11" i="1"/>
  <c r="N55" i="1"/>
  <c r="AF55" i="1"/>
  <c r="AE55" i="1"/>
  <c r="U57" i="1"/>
  <c r="V62" i="1"/>
  <c r="M62" i="1" s="1"/>
  <c r="U24" i="1"/>
  <c r="U50" i="1"/>
  <c r="V39" i="1"/>
  <c r="M39" i="1" s="1"/>
  <c r="U34" i="1"/>
  <c r="U70" i="1"/>
  <c r="V7" i="1"/>
  <c r="M7" i="1" s="1"/>
  <c r="AF20" i="1" l="1"/>
  <c r="AG13" i="1" s="1"/>
  <c r="N20" i="1"/>
  <c r="AE20" i="1"/>
  <c r="Q55" i="1"/>
  <c r="P55" i="1"/>
  <c r="Q48" i="1"/>
  <c r="P48" i="1"/>
  <c r="N39" i="1"/>
  <c r="AF39" i="1"/>
  <c r="AE39" i="1"/>
  <c r="AF62" i="1"/>
  <c r="AE62" i="1"/>
  <c r="N62" i="1"/>
  <c r="P69" i="1"/>
  <c r="Q69" i="1"/>
  <c r="N19" i="1"/>
  <c r="AE19" i="1"/>
  <c r="AF19" i="1"/>
  <c r="Q56" i="1"/>
  <c r="P56" i="1"/>
  <c r="N7" i="1"/>
  <c r="AF7" i="1"/>
  <c r="AE7" i="1"/>
  <c r="Q33" i="1"/>
  <c r="P33" i="1"/>
  <c r="Q15" i="1"/>
  <c r="P15" i="1"/>
  <c r="Q23" i="1"/>
  <c r="P23" i="1"/>
  <c r="Q49" i="1"/>
  <c r="P49" i="1"/>
  <c r="V57" i="1"/>
  <c r="M57" i="1" s="1"/>
  <c r="U63" i="1"/>
  <c r="U40" i="1"/>
  <c r="V70" i="1"/>
  <c r="M70" i="1" s="1"/>
  <c r="U8" i="1"/>
  <c r="V24" i="1"/>
  <c r="M24" i="1" s="1"/>
  <c r="P7" i="1" l="1"/>
  <c r="Q7" i="1"/>
  <c r="Q39" i="1"/>
  <c r="P39" i="1"/>
  <c r="V50" i="1"/>
  <c r="M50" i="1" s="1"/>
  <c r="Q19" i="1"/>
  <c r="P19" i="1"/>
  <c r="N70" i="1"/>
  <c r="AE70" i="1"/>
  <c r="AF70" i="1"/>
  <c r="W34" i="1"/>
  <c r="V34" i="1"/>
  <c r="M34" i="1" s="1"/>
  <c r="AF24" i="1"/>
  <c r="AE24" i="1"/>
  <c r="N24" i="1"/>
  <c r="AF57" i="1"/>
  <c r="AE57" i="1"/>
  <c r="N57" i="1"/>
  <c r="Q62" i="1"/>
  <c r="P62" i="1"/>
  <c r="P20" i="1"/>
  <c r="Q20" i="1"/>
  <c r="R13" i="1" s="1"/>
  <c r="V63" i="1"/>
  <c r="M63" i="1" s="1"/>
  <c r="U58" i="1"/>
  <c r="U25" i="1"/>
  <c r="V40" i="1"/>
  <c r="M40" i="1" s="1"/>
  <c r="U71" i="1"/>
  <c r="V8" i="1"/>
  <c r="M8" i="1" s="1"/>
  <c r="AF8" i="1" l="1"/>
  <c r="AE8" i="1"/>
  <c r="N8" i="1"/>
  <c r="M9" i="1"/>
  <c r="N40" i="1"/>
  <c r="AE40" i="1"/>
  <c r="AF40" i="1"/>
  <c r="Q57" i="1"/>
  <c r="P57" i="1"/>
  <c r="P70" i="1"/>
  <c r="Q70" i="1"/>
  <c r="Q24" i="1"/>
  <c r="P24" i="1"/>
  <c r="N50" i="1"/>
  <c r="AE50" i="1"/>
  <c r="AF50" i="1"/>
  <c r="M51" i="1"/>
  <c r="N63" i="1"/>
  <c r="AF63" i="1"/>
  <c r="AE63" i="1"/>
  <c r="AF34" i="1"/>
  <c r="AE34" i="1"/>
  <c r="N34" i="1"/>
  <c r="V25" i="1"/>
  <c r="M25" i="1" s="1"/>
  <c r="U64" i="1"/>
  <c r="V58" i="1"/>
  <c r="M58" i="1" s="1"/>
  <c r="U41" i="1"/>
  <c r="V71" i="1"/>
  <c r="M71" i="1" s="1"/>
  <c r="AF25" i="1" l="1"/>
  <c r="N25" i="1"/>
  <c r="AE25" i="1"/>
  <c r="M29" i="1"/>
  <c r="P63" i="1"/>
  <c r="Q63" i="1"/>
  <c r="AE51" i="1"/>
  <c r="AF51" i="1"/>
  <c r="AG45" i="1" s="1"/>
  <c r="N51" i="1"/>
  <c r="AE9" i="1"/>
  <c r="N9" i="1"/>
  <c r="AF9" i="1"/>
  <c r="AG5" i="1" s="1"/>
  <c r="N58" i="1"/>
  <c r="AF58" i="1"/>
  <c r="AE58" i="1"/>
  <c r="M59" i="1"/>
  <c r="Q40" i="1"/>
  <c r="P40" i="1"/>
  <c r="P50" i="1"/>
  <c r="Q50" i="1"/>
  <c r="P8" i="1"/>
  <c r="Q8" i="1"/>
  <c r="N71" i="1"/>
  <c r="AE71" i="1"/>
  <c r="AF71" i="1"/>
  <c r="Q34" i="1"/>
  <c r="P34" i="1"/>
  <c r="V64" i="1"/>
  <c r="M64" i="1" s="1"/>
  <c r="V41" i="1"/>
  <c r="M41" i="1" s="1"/>
  <c r="Q71" i="1" l="1"/>
  <c r="P71" i="1"/>
  <c r="Q9" i="1"/>
  <c r="R5" i="1" s="1"/>
  <c r="P9" i="1"/>
  <c r="AF64" i="1"/>
  <c r="AE64" i="1"/>
  <c r="N64" i="1"/>
  <c r="N41" i="1"/>
  <c r="AE41" i="1"/>
  <c r="AF41" i="1"/>
  <c r="N59" i="1"/>
  <c r="AF59" i="1"/>
  <c r="AG52" i="1" s="1"/>
  <c r="AE59" i="1"/>
  <c r="AE29" i="1"/>
  <c r="AF29" i="1"/>
  <c r="AG21" i="1" s="1"/>
  <c r="N29" i="1"/>
  <c r="X34" i="1"/>
  <c r="U35" i="1"/>
  <c r="Q51" i="1"/>
  <c r="R45" i="1" s="1"/>
  <c r="P51" i="1"/>
  <c r="Q25" i="1"/>
  <c r="P25" i="1"/>
  <c r="P58" i="1"/>
  <c r="Q58" i="1"/>
  <c r="U65" i="1"/>
  <c r="U42" i="1"/>
  <c r="P41" i="1" l="1"/>
  <c r="Q41" i="1"/>
  <c r="Q64" i="1"/>
  <c r="P64" i="1"/>
  <c r="Q29" i="1"/>
  <c r="R21" i="1" s="1"/>
  <c r="P29" i="1"/>
  <c r="V35" i="1"/>
  <c r="M35" i="1" s="1"/>
  <c r="Q59" i="1"/>
  <c r="R52" i="1" s="1"/>
  <c r="P59" i="1"/>
  <c r="U72" i="1"/>
  <c r="V65" i="1" l="1"/>
  <c r="M65" i="1" s="1"/>
  <c r="AE35" i="1"/>
  <c r="AF35" i="1"/>
  <c r="N35" i="1"/>
  <c r="M36" i="1"/>
  <c r="V42" i="1"/>
  <c r="M42" i="1" s="1"/>
  <c r="AF42" i="1" l="1"/>
  <c r="N42" i="1"/>
  <c r="AE42" i="1"/>
  <c r="N36" i="1"/>
  <c r="AF36" i="1"/>
  <c r="AG30" i="1" s="1"/>
  <c r="AE36" i="1"/>
  <c r="Q35" i="1"/>
  <c r="P35" i="1"/>
  <c r="U43" i="1"/>
  <c r="V72" i="1"/>
  <c r="M72" i="1" s="1"/>
  <c r="AF65" i="1"/>
  <c r="N65" i="1"/>
  <c r="AE65" i="1"/>
  <c r="M66" i="1"/>
  <c r="AF72" i="1" l="1"/>
  <c r="N72" i="1"/>
  <c r="AE72" i="1"/>
  <c r="M73" i="1"/>
  <c r="V43" i="1"/>
  <c r="M43" i="1" s="1"/>
  <c r="AF66" i="1"/>
  <c r="AG60" i="1" s="1"/>
  <c r="AE66" i="1"/>
  <c r="N66" i="1"/>
  <c r="Q36" i="1"/>
  <c r="R30" i="1" s="1"/>
  <c r="P36" i="1"/>
  <c r="Q65" i="1"/>
  <c r="P65" i="1"/>
  <c r="Q42" i="1"/>
  <c r="P42" i="1"/>
  <c r="H2" i="1" l="1"/>
  <c r="P66" i="1"/>
  <c r="Q66" i="1"/>
  <c r="R60" i="1" s="1"/>
  <c r="AF73" i="1"/>
  <c r="AG67" i="1" s="1"/>
  <c r="AE73" i="1"/>
  <c r="N73" i="1"/>
  <c r="N43" i="1"/>
  <c r="AF43" i="1"/>
  <c r="AE43" i="1"/>
  <c r="M44" i="1"/>
  <c r="Q72" i="1"/>
  <c r="P72" i="1"/>
  <c r="AF44" i="1" l="1"/>
  <c r="AG37" i="1" s="1"/>
  <c r="AE44" i="1"/>
  <c r="N44" i="1"/>
  <c r="D2" i="1" s="1"/>
  <c r="P73" i="1"/>
  <c r="Q73" i="1"/>
  <c r="R67" i="1" s="1"/>
  <c r="Q43" i="1"/>
  <c r="P43" i="1"/>
  <c r="Q44" i="1" l="1"/>
  <c r="R37" i="1" s="1"/>
  <c r="P44" i="1"/>
</calcChain>
</file>

<file path=xl/sharedStrings.xml><?xml version="1.0" encoding="utf-8"?>
<sst xmlns="http://schemas.openxmlformats.org/spreadsheetml/2006/main" count="12441" uniqueCount="2685">
  <si>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</si>
  <si>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</si>
  <si>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</si>
  <si>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</si>
  <si>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</si>
  <si>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</si>
  <si>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</si>
  <si>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</si>
  <si>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</si>
  <si>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</si>
  <si>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</si>
  <si>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</si>
  <si>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</si>
  <si>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</si>
  <si>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</si>
  <si>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</si>
  <si>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</si>
  <si>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</si>
  <si>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</si>
  <si>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</si>
  <si>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</si>
  <si>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</si>
  <si>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</si>
  <si>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</si>
  <si>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</si>
  <si>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</si>
  <si>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</si>
  <si>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</si>
  <si>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</si>
  <si>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</si>
  <si>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</si>
  <si>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</si>
  <si>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</si>
  <si>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</si>
  <si>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</si>
  <si>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</si>
  <si>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</si>
  <si>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</si>
  <si>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</si>
  <si>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</si>
  <si>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</si>
  <si>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</si>
  <si>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</si>
  <si>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</si>
  <si>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</si>
  <si>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</si>
  <si>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</si>
  <si>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</si>
  <si>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</si>
  <si>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</si>
  <si>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</si>
  <si>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</si>
  <si>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</si>
  <si>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</si>
  <si>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</si>
  <si>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</si>
  <si>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</si>
  <si>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</si>
  <si>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</si>
  <si>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</si>
  <si>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</si>
  <si>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</si>
  <si>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</si>
  <si>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</si>
  <si>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</si>
  <si>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</si>
  <si>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</si>
  <si>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</si>
  <si>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</si>
  <si>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</si>
  <si>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</si>
  <si>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</si>
  <si>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</si>
  <si>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</si>
  <si>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</si>
  <si>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</si>
  <si>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</si>
  <si>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</si>
  <si>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星期四</t>
  </si>
  <si>
    <t/>
  </si>
  <si>
    <t>三明治</t>
  </si>
  <si>
    <t>紐奧良風味烤雞鮮蔬三明治</t>
  </si>
  <si>
    <t>經典總匯三明治</t>
  </si>
  <si>
    <t>雞蛋沙拉三明治(114年)</t>
  </si>
  <si>
    <t>肉鬆火腿三明治</t>
  </si>
  <si>
    <t>好多菜三明治(114年)</t>
  </si>
  <si>
    <t>檸檬紅茶三明治</t>
  </si>
  <si>
    <t>鮪魚起司溏心蛋三明治</t>
  </si>
  <si>
    <t>陽光地瓜總匯三明治</t>
  </si>
  <si>
    <t>醬燒烤雞三明治</t>
  </si>
  <si>
    <t>覆盆莓榛果可可三明治</t>
  </si>
  <si>
    <t>瘋狂起司三明治(113年)</t>
  </si>
  <si>
    <t>切達海鮮雙饗三明治</t>
  </si>
  <si>
    <t>調理麵包</t>
  </si>
  <si>
    <t>豬肉起司堡</t>
  </si>
  <si>
    <t>豬肉起司蛋堡</t>
  </si>
  <si>
    <t>經典雙牛起司堡(113年)</t>
  </si>
  <si>
    <t>排骨雞起司炒麵麵包</t>
  </si>
  <si>
    <t>滿滿起司燻腸洋芋堡</t>
  </si>
  <si>
    <t>花生培根歐姆蛋堡</t>
  </si>
  <si>
    <t>沙拉</t>
  </si>
  <si>
    <t>蔥鹽雞肉麵沙拉(114年)</t>
  </si>
  <si>
    <t>莎莎烤雞麵沙拉</t>
  </si>
  <si>
    <t>微波主食</t>
  </si>
  <si>
    <t>蒜蒜燒豚飯</t>
  </si>
  <si>
    <t>壹號醬雞豚雙拼</t>
  </si>
  <si>
    <t>二配香辣醬蒜味香腸蛋炒飯</t>
  </si>
  <si>
    <t>二配香拌海鮮醬肉絲蛋炒飯</t>
  </si>
  <si>
    <t>二配鮭魚蛋炒飯</t>
  </si>
  <si>
    <t>溏心蛋洋芋沙拉</t>
  </si>
  <si>
    <t>香雞蛋堡(112年)</t>
  </si>
  <si>
    <t>蜂蜜芥末辣雞堡</t>
  </si>
  <si>
    <t>美式雞腿堡</t>
  </si>
  <si>
    <t>厚豆腐蛋白蕈菇豬肉堡</t>
  </si>
  <si>
    <t>泰式酸辣炸雞堡</t>
  </si>
  <si>
    <t>香鬆起司蛋三明治(114年)</t>
  </si>
  <si>
    <t>輕乳酪巧克力三明治</t>
  </si>
  <si>
    <t>經典火腿玉米蛋三明治</t>
  </si>
  <si>
    <t>藍莓優格三明治</t>
  </si>
  <si>
    <t>火腿起司蛋三明治</t>
  </si>
  <si>
    <t>二配港式香滑嫩蛋牛肉燴飯</t>
  </si>
  <si>
    <t>二配美味蟹煲</t>
  </si>
  <si>
    <t>二配麻油雞燴飯</t>
  </si>
  <si>
    <t>二配金咖哩濃厚辛口咖哩飯</t>
  </si>
  <si>
    <t>青醬優格雞肉握沙拉(113年)</t>
  </si>
  <si>
    <t>青檸烤雞握沙拉(113年)</t>
  </si>
  <si>
    <t>小吃</t>
  </si>
  <si>
    <t>剝皮辣椒雞湯</t>
  </si>
  <si>
    <t>季節調理麵</t>
  </si>
  <si>
    <t>柚子雞白湯拉麵</t>
  </si>
  <si>
    <t>熱食義麵</t>
  </si>
  <si>
    <t>焗烤起司肉醬筆尖麵</t>
  </si>
  <si>
    <t>二配金咖哩果香甘口咖哩飯</t>
  </si>
  <si>
    <t>二配泰式綠咖哩雞</t>
  </si>
  <si>
    <t>二配厚香料咖哩雞排飯</t>
  </si>
  <si>
    <t>古早味炒炊粉</t>
  </si>
  <si>
    <t>麻婆豆腐波浪麵</t>
  </si>
  <si>
    <t>鐵板滑蛋炸豬排丼</t>
  </si>
  <si>
    <t>極上炙烤親子丼</t>
  </si>
  <si>
    <t>日式野菜烘蛋燴飯</t>
  </si>
  <si>
    <t>二配川味麻婆燒豆腐燴飯</t>
  </si>
  <si>
    <t>二配粗飽系雞排炒飯(114年)</t>
  </si>
  <si>
    <t>二配起司控培根白醬焗烤飯</t>
  </si>
  <si>
    <t>合計次數</t>
    <phoneticPr fontId="4" type="noConversion"/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</si>
  <si>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</si>
  <si>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</si>
  <si>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</si>
  <si>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</si>
  <si>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</si>
  <si>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</si>
  <si>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</si>
  <si>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</si>
  <si>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</si>
  <si>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</si>
  <si>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</si>
  <si>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</si>
  <si>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</si>
  <si>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</si>
  <si>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</si>
  <si>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</si>
  <si>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</si>
  <si>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</si>
  <si>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</si>
  <si>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</si>
  <si>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</si>
  <si>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</si>
  <si>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</si>
  <si>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</si>
  <si>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</si>
  <si>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</si>
  <si>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</si>
  <si>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</si>
  <si>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</si>
  <si>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</si>
  <si>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</si>
  <si>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</si>
  <si>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</si>
  <si>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</si>
  <si>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</si>
  <si>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</si>
  <si>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</si>
  <si>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</si>
  <si>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</si>
  <si>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</si>
  <si>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</si>
  <si>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</si>
  <si>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</si>
  <si>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</si>
  <si>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</si>
  <si>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</si>
  <si>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</si>
  <si>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</si>
  <si>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</si>
  <si>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</si>
  <si>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</si>
  <si>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</si>
  <si>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</si>
  <si>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</si>
  <si>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</si>
  <si>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</si>
  <si>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</si>
  <si>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</si>
  <si>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</si>
  <si>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</si>
  <si>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</si>
  <si>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</si>
  <si>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</si>
  <si>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</si>
  <si>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</si>
  <si>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</si>
  <si>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</si>
  <si>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</si>
  <si>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</si>
  <si>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</si>
  <si>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</si>
  <si>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</si>
  <si>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</si>
  <si>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</si>
  <si>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</si>
  <si>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</si>
  <si>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</si>
  <si>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</si>
  <si>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</si>
  <si>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</si>
  <si>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</si>
  <si>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</si>
  <si>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</si>
  <si>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</si>
  <si>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</si>
  <si>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</si>
  <si>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</si>
  <si>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</si>
  <si>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</si>
  <si>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</si>
  <si>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</si>
  <si>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</si>
  <si>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</si>
  <si>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</si>
  <si>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</si>
  <si>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</si>
  <si>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</si>
  <si>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</si>
  <si>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</si>
  <si>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</si>
  <si>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</si>
  <si>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</si>
  <si>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</si>
  <si>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</si>
  <si>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</si>
  <si>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</si>
  <si>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</si>
  <si>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</si>
  <si>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</si>
  <si>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</si>
  <si>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</si>
  <si>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</si>
  <si>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</si>
  <si>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</si>
  <si>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</si>
  <si>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</si>
  <si>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</si>
  <si>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</si>
  <si>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</si>
  <si>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</si>
  <si>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</si>
  <si>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</si>
  <si>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</si>
  <si>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</si>
  <si>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</si>
  <si>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</si>
  <si>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</si>
  <si>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</si>
  <si>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</si>
  <si>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</si>
  <si>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</si>
  <si>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</si>
  <si>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</si>
  <si>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</si>
  <si>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</si>
  <si>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</si>
  <si>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</si>
  <si>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</si>
  <si>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</si>
  <si>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</si>
  <si>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</si>
  <si>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</si>
  <si>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</si>
  <si>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</si>
  <si>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</si>
  <si>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</si>
  <si>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</si>
  <si>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</si>
  <si>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</si>
  <si>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</si>
  <si>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</si>
  <si>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</si>
  <si>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</si>
  <si>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</si>
  <si>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</si>
  <si>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</si>
  <si>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</si>
  <si>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</si>
  <si>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</si>
  <si>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</si>
  <si>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</si>
  <si>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</si>
  <si>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</si>
  <si>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</si>
  <si>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</si>
  <si>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</si>
  <si>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</si>
  <si>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</si>
  <si>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</si>
  <si>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</si>
  <si>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</si>
  <si>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</si>
  <si>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</si>
  <si>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</si>
  <si>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</si>
  <si>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</si>
  <si>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</si>
  <si>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</si>
  <si>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</si>
  <si>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</si>
  <si>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</si>
  <si>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</si>
  <si>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</si>
  <si>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</si>
  <si>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</si>
  <si>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</si>
  <si>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</si>
  <si>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</si>
  <si>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</si>
  <si>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</si>
  <si>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</si>
  <si>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</si>
  <si>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</si>
  <si>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</si>
  <si>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</si>
  <si>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</si>
  <si>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</si>
  <si>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</si>
  <si>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</si>
  <si>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</si>
  <si>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</si>
  <si>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</si>
  <si>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</si>
  <si>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</si>
  <si>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</si>
  <si>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</si>
  <si>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</si>
  <si>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</si>
  <si>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</si>
  <si>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</si>
  <si>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</si>
  <si>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</si>
  <si>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</si>
  <si>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</si>
  <si>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</si>
  <si>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</si>
  <si>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</si>
  <si>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</si>
  <si>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</si>
  <si>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</si>
  <si>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</si>
  <si>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</si>
  <si>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</si>
  <si>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</si>
  <si>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</si>
  <si>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</si>
  <si>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</si>
  <si>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</si>
  <si>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</si>
  <si>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</si>
  <si>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</si>
  <si>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</si>
  <si>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</si>
  <si>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</si>
  <si>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</si>
  <si>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</si>
  <si>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</si>
  <si>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</si>
  <si>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</si>
  <si>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</si>
  <si>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</si>
  <si>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</si>
  <si>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</si>
  <si>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</si>
  <si>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</si>
  <si>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</si>
  <si>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</si>
  <si>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</si>
  <si>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</si>
  <si>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</si>
  <si>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</si>
  <si>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</si>
  <si>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</si>
  <si>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</si>
  <si>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</si>
  <si>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</si>
  <si>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</si>
  <si>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</si>
  <si>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</si>
  <si>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</si>
  <si>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</si>
  <si>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</si>
  <si>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</si>
  <si>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</si>
  <si>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</si>
  <si>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</si>
  <si>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</si>
  <si>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</si>
  <si>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</si>
  <si>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</si>
  <si>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</si>
  <si>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</si>
  <si>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</si>
  <si>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</si>
  <si>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</si>
  <si>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</si>
  <si>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</si>
  <si>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</si>
  <si>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</si>
  <si>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</si>
  <si>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</si>
  <si>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</si>
  <si>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</si>
  <si>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</si>
  <si>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</si>
  <si>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</si>
  <si>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</si>
  <si>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</si>
  <si>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</si>
  <si>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</si>
  <si>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</si>
  <si>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</si>
  <si>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</si>
  <si>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</si>
  <si>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</si>
  <si>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</si>
  <si>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</si>
  <si>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</si>
  <si>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</si>
  <si>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</si>
  <si>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</si>
  <si>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</si>
  <si>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</si>
  <si>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</si>
  <si>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</si>
  <si>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</si>
  <si>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</si>
  <si>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</si>
  <si>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</si>
  <si>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</si>
  <si>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</si>
  <si>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</si>
  <si>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</si>
  <si>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</si>
  <si>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</si>
  <si>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</si>
  <si>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</si>
  <si>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</si>
  <si>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</si>
  <si>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</si>
  <si>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</si>
  <si>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</si>
  <si>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</si>
  <si>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</si>
  <si>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</si>
  <si>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</si>
  <si>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</si>
  <si>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</si>
  <si>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</si>
  <si>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</si>
  <si>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</si>
  <si>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</si>
  <si>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</si>
  <si>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</si>
  <si>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</si>
  <si>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</si>
  <si>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</si>
  <si>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</si>
  <si>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</si>
  <si>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</si>
  <si>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</si>
  <si>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</si>
  <si>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</si>
  <si>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</si>
  <si>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</si>
  <si>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</si>
  <si>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</si>
  <si>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</si>
  <si>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</si>
  <si>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</si>
  <si>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</si>
  <si>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</si>
  <si>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</si>
  <si>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</si>
  <si>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</si>
  <si>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</si>
  <si>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</si>
  <si>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</si>
  <si>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</si>
  <si>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</si>
  <si>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</si>
  <si>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</si>
  <si>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</si>
  <si>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</si>
  <si>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</si>
  <si>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</si>
  <si>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</si>
  <si>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</si>
  <si>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</si>
  <si>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</si>
  <si>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星期一</t>
  </si>
  <si>
    <t>二配濃蕃茄火腿蛋包飯</t>
  </si>
  <si>
    <t>二配香炒沙茶豬肉飯</t>
  </si>
  <si>
    <t>星期二</t>
  </si>
  <si>
    <t>好多蒜燒豚飯</t>
  </si>
  <si>
    <t>焗烤洋芋沙拉</t>
  </si>
  <si>
    <t>星期三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</si>
  <si>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</si>
  <si>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</si>
  <si>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</si>
  <si>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</si>
  <si>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</si>
  <si>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</si>
  <si>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</si>
  <si>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</si>
  <si>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</si>
  <si>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</si>
  <si>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</si>
  <si>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</si>
  <si>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</si>
  <si>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</si>
  <si>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</si>
  <si>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</si>
  <si>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</si>
  <si>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</si>
  <si>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</si>
  <si>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</si>
  <si>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</si>
  <si>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</si>
  <si>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</si>
  <si>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</si>
  <si>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次數</t>
    <phoneticPr fontId="13" type="noConversion"/>
  </si>
  <si>
    <t>設備次數</t>
    <phoneticPr fontId="13" type="noConversion"/>
  </si>
  <si>
    <t>L型包裝機</t>
    <phoneticPr fontId="4" type="noConversion"/>
  </si>
  <si>
    <t>三明治包裝機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</si>
  <si>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</si>
  <si>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</si>
  <si>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</si>
  <si>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</si>
  <si>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</si>
  <si>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</si>
  <si>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</si>
  <si>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</si>
  <si>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</si>
  <si>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</si>
  <si>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</si>
  <si>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</si>
  <si>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</si>
  <si>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</si>
  <si>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</si>
  <si>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</si>
  <si>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</si>
  <si>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</si>
  <si>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</si>
  <si>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</si>
  <si>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</si>
  <si>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</si>
  <si>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</si>
  <si>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</si>
  <si>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</si>
  <si>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</si>
  <si>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</si>
  <si>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</si>
  <si>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</si>
  <si>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</si>
  <si>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</si>
  <si>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</si>
  <si>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</si>
  <si>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</si>
  <si>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</si>
  <si>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</si>
  <si>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</si>
  <si>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</si>
  <si>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</si>
  <si>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</si>
  <si>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</si>
  <si>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</si>
  <si>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</si>
  <si>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</si>
  <si>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</si>
  <si>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</si>
  <si>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</si>
  <si>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</si>
  <si>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</si>
  <si>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</si>
  <si>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</si>
  <si>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</si>
  <si>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</si>
  <si>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</si>
  <si>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</si>
  <si>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</si>
  <si>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</si>
  <si>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</si>
  <si>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</si>
  <si>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</si>
  <si>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</si>
  <si>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</si>
  <si>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</si>
  <si>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</si>
  <si>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</si>
  <si>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</si>
  <si>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</si>
  <si>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</si>
  <si>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</si>
  <si>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</si>
  <si>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</si>
  <si>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</si>
  <si>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</si>
  <si>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</si>
  <si>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</si>
  <si>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</si>
  <si>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</si>
  <si>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</si>
  <si>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</si>
  <si>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</si>
  <si>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</si>
  <si>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</si>
  <si>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</si>
  <si>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</si>
  <si>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</si>
  <si>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</si>
  <si>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</si>
  <si>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</si>
  <si>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</si>
  <si>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</si>
  <si>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</si>
  <si>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</si>
  <si>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</si>
  <si>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</si>
  <si>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</si>
  <si>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</si>
  <si>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</si>
  <si>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</si>
  <si>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</si>
  <si>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</si>
  <si>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</si>
  <si>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</si>
  <si>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</si>
  <si>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</si>
  <si>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</si>
  <si>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</si>
  <si>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</si>
  <si>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</si>
  <si>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</si>
  <si>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</si>
  <si>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</si>
  <si>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</si>
  <si>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</si>
  <si>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</si>
  <si>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</si>
  <si>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</si>
  <si>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</si>
  <si>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</si>
  <si>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</si>
  <si>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</si>
  <si>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</si>
  <si>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</si>
  <si>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</si>
  <si>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</si>
  <si>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</si>
  <si>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</si>
  <si>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</si>
  <si>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</si>
  <si>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</si>
  <si>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</si>
  <si>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</si>
  <si>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</si>
  <si>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</si>
  <si>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</si>
  <si>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</si>
  <si>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</si>
  <si>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</si>
  <si>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</si>
  <si>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</si>
  <si>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</si>
  <si>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</si>
  <si>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</si>
  <si>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</si>
  <si>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</si>
  <si>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</si>
  <si>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</si>
  <si>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</si>
  <si>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</si>
  <si>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</si>
  <si>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</si>
  <si>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</si>
  <si>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</si>
  <si>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</si>
  <si>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</si>
  <si>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</si>
  <si>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</si>
  <si>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</si>
  <si>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</si>
  <si>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</si>
  <si>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</si>
  <si>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</si>
  <si>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</si>
  <si>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</si>
  <si>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</si>
  <si>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</si>
  <si>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</si>
  <si>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</si>
  <si>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</si>
  <si>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</si>
  <si>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</si>
  <si>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</si>
  <si>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</si>
  <si>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</si>
  <si>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</si>
  <si>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</si>
  <si>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</si>
  <si>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排關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</si>
  <si>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</si>
  <si>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</si>
  <si>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</si>
  <si>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</si>
  <si>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備註</t>
    <phoneticPr fontId="3" type="noConversion"/>
  </si>
  <si>
    <t>炒飯+沙拉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</si>
  <si>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</si>
  <si>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</si>
  <si>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</si>
  <si>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達成率平均</t>
    <phoneticPr fontId="4" type="noConversion"/>
  </si>
  <si>
    <t>總次數</t>
    <phoneticPr fontId="13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</si>
  <si>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</si>
  <si>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</si>
  <si>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</si>
  <si>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</si>
  <si>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新豐9線</t>
    <phoneticPr fontId="4" type="noConversion"/>
  </si>
  <si>
    <t>新豐9線</t>
    <phoneticPr fontId="4" type="noConversion"/>
  </si>
  <si>
    <t>新豐1線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</si>
  <si>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</si>
  <si>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</si>
  <si>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</si>
  <si>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</si>
  <si>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➀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</si>
  <si>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</si>
  <si>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</si>
  <si>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</si>
  <si>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</si>
  <si>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</si>
  <si>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</si>
  <si>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</si>
  <si>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</si>
  <si>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</si>
  <si>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</si>
  <si>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</si>
  <si>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</si>
  <si>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</si>
  <si>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</si>
  <si>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圓盤機</t>
    <phoneticPr fontId="4" type="noConversion"/>
  </si>
  <si>
    <t>備註</t>
    <phoneticPr fontId="3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</si>
  <si>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</si>
  <si>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</si>
  <si>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</si>
  <si>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</si>
  <si>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</si>
  <si>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合計
次數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</si>
  <si>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</si>
  <si>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</si>
  <si>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</si>
  <si>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</si>
  <si>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</si>
  <si>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</si>
  <si>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</si>
  <si>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</si>
  <si>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</si>
  <si>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</si>
  <si>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</si>
  <si>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短暫停線統計
(5分鐘以下)</t>
    <phoneticPr fontId="4" type="noConversion"/>
  </si>
  <si>
    <t>總次數</t>
    <phoneticPr fontId="13" type="noConversion"/>
  </si>
  <si>
    <t>設備因素(次數)</t>
    <phoneticPr fontId="13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</si>
  <si>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</si>
  <si>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</si>
  <si>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</si>
  <si>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</si>
  <si>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</si>
  <si>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</si>
  <si>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</si>
  <si>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</si>
  <si>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</si>
  <si>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</si>
  <si>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</si>
  <si>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</si>
  <si>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</si>
  <si>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</si>
  <si>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</si>
  <si>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</si>
  <si>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</si>
  <si>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</si>
  <si>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</si>
  <si>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</si>
  <si>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</si>
  <si>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</si>
  <si>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</si>
  <si>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</si>
  <si>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</si>
  <si>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</si>
  <si>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</si>
  <si>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</si>
  <si>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</si>
  <si>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</si>
  <si>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</si>
  <si>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</si>
  <si>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</si>
  <si>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</si>
  <si>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</si>
  <si>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</si>
  <si>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</si>
  <si>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</si>
  <si>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</si>
  <si>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</si>
  <si>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</si>
  <si>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</si>
  <si>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</si>
  <si>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</si>
  <si>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</si>
  <si>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</si>
  <si>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</si>
  <si>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</si>
  <si>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</si>
  <si>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</si>
  <si>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</si>
  <si>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</si>
  <si>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</si>
  <si>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</si>
  <si>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</si>
  <si>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</si>
  <si>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</si>
  <si>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</si>
  <si>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</si>
  <si>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</si>
  <si>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</si>
  <si>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營收</t>
    <phoneticPr fontId="7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</si>
  <si>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</si>
  <si>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</si>
  <si>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</si>
  <si>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</si>
  <si>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</si>
  <si>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</si>
  <si>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</si>
  <si>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</si>
  <si>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</si>
  <si>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</si>
  <si>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</si>
  <si>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</si>
  <si>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</si>
  <si>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</si>
  <si>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</si>
  <si>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</si>
  <si>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</si>
  <si>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</si>
  <si>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</si>
  <si>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</si>
  <si>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</si>
  <si>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</si>
  <si>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</si>
  <si>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</si>
  <si>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</si>
  <si>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</si>
  <si>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</si>
  <si>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</si>
  <si>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</si>
  <si>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</si>
  <si>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</si>
  <si>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</si>
  <si>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</si>
  <si>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</si>
  <si>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</si>
  <si>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</si>
  <si>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</si>
  <si>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</si>
  <si>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</si>
  <si>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</si>
  <si>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</si>
  <si>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</si>
  <si>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</si>
  <si>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</si>
  <si>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</si>
  <si>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</si>
  <si>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</si>
  <si>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</si>
  <si>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</si>
  <si>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</si>
  <si>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</si>
  <si>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</si>
  <si>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</si>
  <si>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</si>
  <si>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</si>
  <si>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</si>
  <si>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</si>
  <si>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</si>
  <si>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</si>
  <si>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</si>
  <si>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</si>
  <si>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</si>
  <si>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</si>
  <si>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</si>
  <si>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</si>
  <si>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</si>
  <si>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</si>
  <si>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</si>
  <si>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</si>
  <si>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</si>
  <si>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</si>
  <si>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</si>
  <si>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</si>
  <si>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</si>
  <si>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</si>
  <si>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</si>
  <si>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</si>
  <si>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</si>
  <si>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</si>
  <si>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</si>
  <si>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</si>
  <si>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</si>
  <si>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</si>
  <si>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</si>
  <si>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</si>
  <si>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</si>
  <si>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</si>
  <si>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</si>
  <si>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</si>
  <si>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</si>
  <si>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</si>
  <si>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</si>
  <si>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</si>
  <si>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</si>
  <si>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</si>
  <si>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</si>
  <si>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</si>
  <si>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</si>
  <si>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</si>
  <si>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</si>
  <si>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</si>
  <si>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</si>
  <si>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</si>
  <si>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</si>
  <si>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</si>
  <si>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</si>
  <si>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</si>
  <si>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</si>
  <si>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</si>
  <si>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</si>
  <si>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</si>
  <si>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</si>
  <si>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</si>
  <si>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</si>
  <si>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</si>
  <si>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</si>
  <si>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</si>
  <si>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</si>
  <si>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</si>
  <si>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</si>
  <si>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</si>
  <si>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</si>
  <si>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</si>
  <si>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</si>
  <si>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</si>
  <si>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</si>
  <si>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</si>
  <si>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</si>
  <si>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</si>
  <si>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</si>
  <si>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</si>
  <si>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</si>
  <si>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</si>
  <si>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</si>
  <si>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</si>
  <si>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</si>
  <si>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</si>
  <si>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</si>
  <si>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</si>
  <si>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</si>
  <si>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</si>
  <si>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</si>
  <si>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</si>
  <si>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</si>
  <si>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</si>
  <si>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</si>
  <si>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</si>
  <si>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</si>
  <si>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</si>
  <si>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</si>
  <si>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</si>
  <si>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</si>
  <si>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</si>
  <si>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</si>
  <si>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</si>
  <si>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</si>
  <si>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</si>
  <si>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</si>
  <si>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</si>
  <si>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</si>
  <si>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</si>
  <si>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</si>
  <si>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</si>
  <si>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</si>
  <si>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</si>
  <si>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</si>
  <si>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</si>
  <si>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</si>
  <si>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</si>
  <si>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</si>
  <si>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</si>
  <si>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</si>
  <si>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</si>
  <si>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</si>
  <si>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</si>
  <si>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</si>
  <si>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</si>
  <si>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</si>
  <si>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</si>
  <si>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</si>
  <si>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</si>
  <si>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</si>
  <si>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</si>
  <si>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</si>
  <si>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</si>
  <si>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</si>
  <si>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</si>
  <si>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</si>
  <si>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</si>
  <si>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</si>
  <si>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</si>
  <si>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</si>
  <si>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</si>
  <si>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</si>
  <si>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</si>
  <si>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</si>
  <si>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</si>
  <si>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</si>
  <si>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</si>
  <si>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</si>
  <si>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</si>
  <si>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</si>
  <si>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</si>
  <si>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</si>
  <si>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</si>
  <si>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</si>
  <si>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</si>
  <si>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</si>
  <si>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</si>
  <si>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</si>
  <si>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</si>
  <si>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</si>
  <si>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</si>
  <si>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</si>
  <si>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</si>
  <si>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</si>
  <si>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</si>
  <si>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</si>
  <si>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</si>
  <si>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</si>
  <si>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</si>
  <si>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</si>
  <si>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</si>
  <si>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</si>
  <si>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</si>
  <si>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➂</t>
    <phoneticPr fontId="4" type="noConversion"/>
  </si>
  <si>
    <t>全溫層</t>
    <phoneticPr fontId="3" type="noConversion"/>
  </si>
  <si>
    <t>合計次數</t>
    <phoneticPr fontId="4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</si>
  <si>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</si>
  <si>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</si>
  <si>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</si>
  <si>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</si>
  <si>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</si>
  <si>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</si>
  <si>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</si>
  <si>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設備次數</t>
    <phoneticPr fontId="1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</si>
  <si>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</si>
  <si>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</si>
  <si>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</si>
  <si>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</si>
  <si>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</si>
  <si>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</si>
  <si>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</si>
  <si>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出勤人數</t>
    <phoneticPr fontId="4" type="noConversion"/>
  </si>
  <si>
    <t>人時性差異分析</t>
    <phoneticPr fontId="4" type="noConversion"/>
  </si>
  <si>
    <t>產線異常
分析說明(5分鐘以上)</t>
    <phoneticPr fontId="4" type="noConversion"/>
  </si>
  <si>
    <t>合計
次數</t>
    <phoneticPr fontId="4" type="noConversion"/>
  </si>
  <si>
    <t>產能差異分析</t>
    <phoneticPr fontId="4" type="noConversion"/>
  </si>
  <si>
    <t>線別</t>
    <phoneticPr fontId="3" type="noConversion"/>
  </si>
  <si>
    <t>廠價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</si>
  <si>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</si>
  <si>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</si>
  <si>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</si>
  <si>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</si>
  <si>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</si>
  <si>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</si>
  <si>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</si>
  <si>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</si>
  <si>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</si>
  <si>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</si>
  <si>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</si>
  <si>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</si>
  <si>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</si>
  <si>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</si>
  <si>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</si>
  <si>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</si>
  <si>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</si>
  <si>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</si>
  <si>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</si>
  <si>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</si>
  <si>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</si>
  <si>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</si>
  <si>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</si>
  <si>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</si>
  <si>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</si>
  <si>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</si>
  <si>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</si>
  <si>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</si>
  <si>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</si>
  <si>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</si>
  <si>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</si>
  <si>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</si>
  <si>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</si>
  <si>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</si>
  <si>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</si>
  <si>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</si>
  <si>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</si>
  <si>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</si>
  <si>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</si>
  <si>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</si>
  <si>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</si>
  <si>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</si>
  <si>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</si>
  <si>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</si>
  <si>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</si>
  <si>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</si>
  <si>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</si>
  <si>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</si>
  <si>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</si>
  <si>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</si>
  <si>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</si>
  <si>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</si>
  <si>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</si>
  <si>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</si>
  <si>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</si>
  <si>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</si>
  <si>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</si>
  <si>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</si>
  <si>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</si>
  <si>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</si>
  <si>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</si>
  <si>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</si>
  <si>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</si>
  <si>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</si>
  <si>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</si>
  <si>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</si>
  <si>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</si>
  <si>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</si>
  <si>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</si>
  <si>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</si>
  <si>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</si>
  <si>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</si>
  <si>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</si>
  <si>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</si>
  <si>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</si>
  <si>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</si>
  <si>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</si>
  <si>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</si>
  <si>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</si>
  <si>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</si>
  <si>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</si>
  <si>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</si>
  <si>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</si>
  <si>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</si>
  <si>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</si>
  <si>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</si>
  <si>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</si>
  <si>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</si>
  <si>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</si>
  <si>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</si>
  <si>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</si>
  <si>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</si>
  <si>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</si>
  <si>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</si>
  <si>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</si>
  <si>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</si>
  <si>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</si>
  <si>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</si>
  <si>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</si>
  <si>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</si>
  <si>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</si>
  <si>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</si>
  <si>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</si>
  <si>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</si>
  <si>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</si>
  <si>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</si>
  <si>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</si>
  <si>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</si>
  <si>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</si>
  <si>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</si>
  <si>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</si>
  <si>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</si>
  <si>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</si>
  <si>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</si>
  <si>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</si>
  <si>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</si>
  <si>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</si>
  <si>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</si>
  <si>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</si>
  <si>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</si>
  <si>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</si>
  <si>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</si>
  <si>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</si>
  <si>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</si>
  <si>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</si>
  <si>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</si>
  <si>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</si>
  <si>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草莓優格三明治</t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</si>
  <si>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</si>
  <si>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</si>
  <si>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</si>
  <si>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</si>
  <si>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</si>
  <si>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</si>
  <si>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</si>
  <si>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</si>
  <si>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</si>
  <si>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</si>
  <si>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墨西哥辣醬熱狗堡</t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</si>
  <si>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</si>
  <si>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</si>
  <si>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</si>
  <si>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</si>
  <si>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</si>
  <si>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</si>
  <si>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</si>
  <si>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</si>
  <si>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</si>
  <si>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</si>
  <si>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</si>
  <si>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</si>
  <si>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</si>
  <si>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</si>
  <si>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</si>
  <si>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</si>
  <si>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</si>
  <si>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</si>
  <si>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</si>
  <si>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</si>
  <si>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</si>
  <si>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</si>
  <si>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</si>
  <si>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</si>
  <si>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</si>
  <si>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</si>
  <si>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</si>
  <si>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</si>
  <si>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</si>
  <si>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</si>
  <si>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</si>
  <si>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</si>
  <si>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</si>
  <si>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</si>
  <si>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</si>
  <si>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</si>
  <si>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</si>
  <si>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</si>
  <si>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</si>
  <si>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</si>
  <si>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結束</t>
    <phoneticPr fontId="4" type="noConversion"/>
  </si>
  <si>
    <t>新豐6線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</si>
  <si>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</si>
  <si>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</si>
  <si>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</si>
  <si>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</si>
  <si>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</si>
  <si>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</si>
  <si>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</si>
  <si>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</si>
  <si>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</si>
  <si>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</si>
  <si>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</si>
  <si>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</si>
  <si>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</si>
  <si>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</si>
  <si>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</si>
  <si>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</si>
  <si>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</si>
  <si>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</si>
  <si>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</si>
  <si>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</si>
  <si>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</si>
  <si>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</si>
  <si>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</si>
  <si>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</si>
  <si>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</si>
  <si>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</si>
  <si>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</si>
  <si>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</si>
  <si>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</si>
  <si>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</si>
  <si>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</si>
  <si>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</si>
  <si>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</si>
  <si>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</si>
  <si>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</si>
  <si>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</si>
  <si>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</si>
  <si>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</si>
  <si>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</si>
  <si>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</si>
  <si>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</si>
  <si>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</si>
  <si>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</si>
  <si>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</si>
  <si>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</si>
  <si>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</si>
  <si>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</si>
  <si>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</si>
  <si>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</si>
  <si>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</si>
  <si>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</si>
  <si>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</si>
  <si>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</si>
  <si>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</si>
  <si>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</si>
  <si>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</si>
  <si>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</si>
  <si>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</si>
  <si>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</si>
  <si>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</si>
  <si>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</si>
  <si>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</si>
  <si>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</si>
  <si>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</si>
  <si>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</si>
  <si>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</si>
  <si>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</si>
  <si>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</si>
  <si>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</si>
  <si>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</si>
  <si>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</si>
  <si>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</si>
  <si>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</si>
  <si>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</si>
  <si>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</si>
  <si>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</si>
  <si>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</si>
  <si>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</si>
  <si>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</si>
  <si>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</si>
  <si>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</si>
  <si>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</si>
  <si>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</si>
  <si>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</si>
  <si>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</si>
  <si>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</si>
  <si>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</si>
  <si>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</si>
  <si>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</si>
  <si>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</si>
  <si>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</si>
  <si>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</si>
  <si>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</si>
  <si>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</si>
  <si>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</si>
  <si>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</si>
  <si>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</si>
  <si>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</si>
  <si>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</si>
  <si>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</si>
  <si>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</si>
  <si>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</si>
  <si>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</si>
  <si>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</si>
  <si>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</si>
  <si>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</si>
  <si>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</si>
  <si>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</si>
  <si>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</si>
  <si>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</si>
  <si>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</si>
  <si>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</si>
  <si>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</si>
  <si>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</si>
  <si>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</si>
  <si>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</si>
  <si>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</si>
  <si>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</si>
  <si>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</si>
  <si>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</si>
  <si>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</si>
  <si>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</si>
  <si>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</si>
  <si>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</si>
  <si>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</si>
  <si>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</si>
  <si>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</si>
  <si>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</si>
  <si>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</si>
  <si>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</si>
  <si>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</si>
  <si>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</si>
  <si>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</si>
  <si>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</si>
  <si>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</si>
  <si>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</si>
  <si>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</si>
  <si>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</si>
  <si>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</si>
  <si>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</si>
  <si>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</si>
  <si>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</si>
  <si>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</si>
  <si>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</si>
  <si>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</si>
  <si>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</si>
  <si>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</si>
  <si>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</si>
  <si>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</si>
  <si>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</si>
  <si>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</si>
  <si>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</si>
  <si>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</si>
  <si>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</si>
  <si>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</si>
  <si>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</si>
  <si>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</si>
  <si>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</si>
  <si>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</si>
  <si>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</si>
  <si>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</si>
  <si>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</si>
  <si>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</si>
  <si>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</si>
  <si>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</si>
  <si>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</si>
  <si>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</si>
  <si>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稼動時間/分</t>
    <phoneticPr fontId="4" type="noConversion"/>
  </si>
  <si>
    <t>結束</t>
    <phoneticPr fontId="4" type="noConversion"/>
  </si>
  <si>
    <t>時間/分</t>
    <phoneticPr fontId="13" type="noConversion"/>
  </si>
  <si>
    <t>新豐6線</t>
    <phoneticPr fontId="4" type="noConversion"/>
  </si>
  <si>
    <t>新豐5線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</si>
  <si>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</si>
  <si>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</si>
  <si>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</si>
  <si>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</si>
  <si>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</si>
  <si>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</si>
  <si>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</si>
  <si>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</si>
  <si>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</si>
  <si>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</si>
  <si>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</si>
  <si>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</si>
  <si>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</si>
  <si>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</si>
  <si>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</si>
  <si>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</si>
  <si>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</si>
  <si>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</si>
  <si>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</si>
  <si>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</si>
  <si>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</si>
  <si>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</si>
  <si>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</si>
  <si>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</si>
  <si>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</si>
  <si>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</si>
  <si>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</si>
  <si>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</si>
  <si>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</si>
  <si>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</si>
  <si>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</si>
  <si>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</si>
  <si>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</si>
  <si>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</si>
  <si>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</si>
  <si>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</si>
  <si>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</si>
  <si>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</si>
  <si>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</si>
  <si>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</si>
  <si>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</si>
  <si>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</si>
  <si>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</si>
  <si>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</si>
  <si>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</si>
  <si>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</si>
  <si>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</si>
  <si>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</si>
  <si>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</si>
  <si>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</si>
  <si>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</si>
  <si>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</si>
  <si>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</si>
  <si>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</si>
  <si>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</si>
  <si>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</si>
  <si>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</si>
  <si>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</si>
  <si>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</si>
  <si>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</si>
  <si>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</si>
  <si>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</si>
  <si>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</si>
  <si>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</si>
  <si>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</si>
  <si>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</si>
  <si>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</si>
  <si>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</si>
  <si>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</si>
  <si>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</si>
  <si>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</si>
  <si>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</si>
  <si>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</si>
  <si>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</si>
  <si>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</si>
  <si>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</si>
  <si>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</si>
  <si>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</si>
  <si>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</si>
  <si>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</si>
  <si>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</si>
  <si>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</si>
  <si>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</si>
  <si>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</si>
  <si>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</si>
  <si>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</si>
  <si>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</si>
  <si>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</si>
  <si>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</si>
  <si>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</si>
  <si>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</si>
  <si>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</si>
  <si>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</si>
  <si>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</si>
  <si>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</si>
  <si>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</si>
  <si>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</si>
  <si>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</si>
  <si>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</si>
  <si>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</si>
  <si>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</si>
  <si>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</si>
  <si>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</si>
  <si>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</si>
  <si>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</si>
  <si>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</si>
  <si>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</si>
  <si>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</si>
  <si>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</si>
  <si>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</si>
  <si>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</si>
  <si>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</si>
  <si>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</si>
  <si>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</si>
  <si>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</si>
  <si>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</si>
  <si>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</si>
  <si>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</si>
  <si>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</si>
  <si>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</si>
  <si>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</si>
  <si>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</si>
  <si>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</si>
  <si>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</si>
  <si>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</si>
  <si>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</si>
  <si>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</si>
  <si>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</si>
  <si>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</si>
  <si>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</si>
  <si>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</si>
  <si>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</si>
  <si>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</si>
  <si>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</si>
  <si>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</si>
  <si>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</si>
  <si>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</si>
  <si>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</si>
  <si>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</si>
  <si>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</si>
  <si>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</si>
  <si>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</si>
  <si>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</si>
  <si>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</si>
  <si>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</si>
  <si>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</si>
  <si>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</si>
  <si>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</si>
  <si>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</si>
  <si>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</si>
  <si>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</si>
  <si>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</si>
  <si>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</si>
  <si>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</si>
  <si>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</si>
  <si>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</si>
  <si>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</si>
  <si>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</si>
  <si>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</si>
  <si>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</si>
  <si>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</si>
  <si>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</si>
  <si>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</si>
  <si>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</si>
  <si>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</si>
  <si>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</si>
  <si>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</si>
  <si>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</si>
  <si>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</si>
  <si>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</si>
  <si>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</si>
  <si>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</si>
  <si>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</si>
  <si>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</si>
  <si>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</si>
  <si>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</si>
  <si>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</si>
  <si>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</si>
  <si>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</si>
  <si>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</si>
  <si>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</si>
  <si>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</si>
  <si>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</si>
  <si>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</si>
  <si>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</si>
  <si>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</si>
  <si>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</si>
  <si>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</si>
  <si>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</si>
  <si>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</si>
  <si>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</si>
  <si>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</si>
  <si>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</si>
  <si>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</si>
  <si>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</si>
  <si>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</si>
  <si>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</si>
  <si>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</si>
  <si>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</si>
  <si>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</si>
  <si>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</si>
  <si>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</si>
  <si>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</si>
  <si>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</si>
  <si>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</si>
  <si>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</si>
  <si>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</si>
  <si>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</si>
  <si>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</si>
  <si>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</si>
  <si>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</si>
  <si>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</si>
  <si>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</si>
  <si>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</si>
  <si>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</si>
  <si>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</si>
  <si>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</si>
  <si>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</si>
  <si>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</si>
  <si>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主要應用設備</t>
    <phoneticPr fontId="3" type="noConversion"/>
  </si>
  <si>
    <t>三明治包裝機</t>
    <phoneticPr fontId="4" type="noConversion"/>
  </si>
  <si>
    <t>共用L型包裝機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</si>
  <si>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</si>
  <si>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</si>
  <si>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</si>
  <si>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人時性差異分析</t>
    <phoneticPr fontId="4" type="noConversion"/>
  </si>
  <si>
    <t>合計
次數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</si>
  <si>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</si>
  <si>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</si>
  <si>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</si>
  <si>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</si>
  <si>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</si>
  <si>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</si>
  <si>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</si>
  <si>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</si>
  <si>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</si>
  <si>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</si>
  <si>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</si>
  <si>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</si>
  <si>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</si>
  <si>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</si>
  <si>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</si>
  <si>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</si>
  <si>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</si>
  <si>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</si>
  <si>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</si>
  <si>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</si>
  <si>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</si>
  <si>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</si>
  <si>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</si>
  <si>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</si>
  <si>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</si>
  <si>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</si>
  <si>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</si>
  <si>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</si>
  <si>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</si>
  <si>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</si>
  <si>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</si>
  <si>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二配紅燒牛肉燴飯</t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</si>
  <si>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</si>
  <si>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</si>
  <si>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</si>
  <si>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</si>
  <si>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</si>
  <si>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</si>
  <si>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</si>
  <si>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</si>
  <si>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</si>
  <si>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</si>
  <si>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</si>
  <si>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</si>
  <si>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</si>
  <si>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</si>
  <si>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</si>
  <si>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</si>
  <si>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</si>
  <si>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</si>
  <si>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</si>
  <si>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</si>
  <si>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</si>
  <si>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</si>
  <si>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</si>
  <si>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</si>
  <si>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</si>
  <si>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</si>
  <si>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</si>
  <si>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</si>
  <si>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</si>
  <si>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</si>
  <si>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</si>
  <si>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</si>
  <si>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</si>
  <si>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</si>
  <si>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</si>
  <si>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</si>
  <si>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</si>
  <si>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</si>
  <si>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</si>
  <si>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</si>
  <si>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</si>
  <si>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</si>
  <si>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</si>
  <si>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</si>
  <si>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</si>
  <si>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</si>
  <si>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</si>
  <si>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</si>
  <si>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</si>
  <si>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</si>
  <si>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</si>
  <si>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</si>
  <si>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</si>
  <si>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</si>
  <si>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</si>
  <si>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</si>
  <si>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</si>
  <si>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</si>
  <si>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</si>
  <si>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</si>
  <si>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</si>
  <si>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</si>
  <si>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</si>
  <si>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</si>
  <si>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</si>
  <si>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</si>
  <si>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</si>
  <si>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</si>
  <si>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新豐3線</t>
    <phoneticPr fontId="4" type="noConversion"/>
  </si>
  <si>
    <t>黃金雙層鱈魚招財堡</t>
  </si>
  <si>
    <t>平均</t>
    <phoneticPr fontId="4" type="noConversion"/>
  </si>
  <si>
    <t>新豐1線</t>
    <phoneticPr fontId="4" type="noConversion"/>
  </si>
  <si>
    <t>美乃炙烤雞肉飯</t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</si>
  <si>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</si>
  <si>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</si>
  <si>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</si>
  <si>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</si>
  <si>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</si>
  <si>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</si>
  <si>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</si>
  <si>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</si>
  <si>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</si>
  <si>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</si>
  <si>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</si>
  <si>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</si>
  <si>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</si>
  <si>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</si>
  <si>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</si>
  <si>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</si>
  <si>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</si>
  <si>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</si>
  <si>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</si>
  <si>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</si>
  <si>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</si>
  <si>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</si>
  <si>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</si>
  <si>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</si>
  <si>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</si>
  <si>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</si>
  <si>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</si>
  <si>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</si>
  <si>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</si>
  <si>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</si>
  <si>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</si>
  <si>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</si>
  <si>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</si>
  <si>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</si>
  <si>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</si>
  <si>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</si>
  <si>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</si>
  <si>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</si>
  <si>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</si>
  <si>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</si>
  <si>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</si>
  <si>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</si>
  <si>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</si>
  <si>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</si>
  <si>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</si>
  <si>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</si>
  <si>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</si>
  <si>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</si>
  <si>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</si>
  <si>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</si>
  <si>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</si>
  <si>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</si>
  <si>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</si>
  <si>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</si>
  <si>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</si>
  <si>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合計
次數</t>
    <phoneticPr fontId="4" type="noConversion"/>
  </si>
  <si>
    <t>產能差異分析</t>
    <phoneticPr fontId="4" type="noConversion"/>
  </si>
  <si>
    <t>線別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</si>
  <si>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</si>
  <si>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</si>
  <si>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</si>
  <si>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</si>
  <si>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達成率</t>
    <phoneticPr fontId="4" type="noConversion"/>
  </si>
  <si>
    <t>產線異常統計
(5分鐘以上)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</si>
  <si>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</si>
  <si>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</si>
  <si>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</si>
  <si>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</si>
  <si>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</si>
  <si>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</si>
  <si>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</si>
  <si>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</si>
  <si>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</si>
  <si>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</si>
  <si>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</si>
  <si>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</si>
  <si>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</si>
  <si>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</si>
  <si>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</si>
  <si>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</si>
  <si>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</si>
  <si>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</si>
  <si>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</si>
  <si>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</si>
  <si>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</si>
  <si>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</si>
  <si>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</si>
  <si>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</si>
  <si>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</si>
  <si>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</si>
  <si>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</si>
  <si>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</si>
  <si>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</si>
  <si>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</si>
  <si>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</si>
  <si>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</si>
  <si>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</si>
  <si>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</si>
  <si>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</si>
  <si>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</si>
  <si>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</si>
  <si>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</si>
  <si>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</si>
  <si>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</si>
  <si>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</si>
  <si>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</si>
  <si>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</si>
  <si>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</si>
  <si>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</si>
  <si>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</si>
  <si>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</si>
  <si>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</si>
  <si>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</si>
  <si>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</si>
  <si>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</si>
  <si>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</si>
  <si>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</si>
  <si>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</si>
  <si>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</si>
  <si>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</si>
  <si>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</si>
  <si>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</si>
  <si>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</si>
  <si>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</si>
  <si>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</si>
  <si>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</si>
  <si>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</si>
  <si>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</si>
  <si>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</si>
  <si>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</si>
  <si>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</si>
  <si>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</si>
  <si>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</si>
  <si>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</si>
  <si>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</si>
  <si>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</si>
  <si>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</si>
  <si>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</si>
  <si>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</si>
  <si>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</si>
  <si>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</si>
  <si>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</si>
  <si>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</si>
  <si>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</si>
  <si>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</si>
  <si>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</si>
  <si>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</si>
  <si>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</si>
  <si>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</si>
  <si>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</si>
  <si>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</si>
  <si>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</si>
  <si>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</si>
  <si>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</si>
  <si>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</si>
  <si>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</si>
  <si>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</si>
  <si>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</si>
  <si>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</si>
  <si>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</si>
  <si>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</si>
  <si>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</si>
  <si>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</si>
  <si>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</si>
  <si>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</si>
  <si>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</si>
  <si>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</si>
  <si>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</si>
  <si>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</si>
  <si>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</si>
  <si>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</si>
  <si>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</si>
  <si>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</si>
  <si>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</si>
  <si>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</si>
  <si>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</si>
  <si>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</si>
  <si>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</si>
  <si>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</si>
  <si>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</si>
  <si>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</si>
  <si>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</si>
  <si>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</si>
  <si>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</si>
  <si>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</si>
  <si>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</si>
  <si>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</si>
  <si>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</si>
  <si>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</si>
  <si>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</si>
  <si>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</si>
  <si>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</si>
  <si>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</si>
  <si>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</si>
  <si>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</si>
  <si>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</si>
  <si>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</si>
  <si>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</si>
  <si>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</si>
  <si>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</si>
  <si>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</si>
  <si>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</si>
  <si>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</si>
  <si>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</si>
  <si>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</si>
  <si>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</si>
  <si>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</si>
  <si>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</si>
  <si>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</si>
  <si>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</si>
  <si>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</si>
  <si>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</si>
  <si>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</si>
  <si>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</si>
  <si>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</si>
  <si>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</si>
  <si>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</si>
  <si>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</si>
  <si>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</si>
  <si>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</si>
  <si>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</si>
  <si>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</si>
  <si>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</si>
  <si>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</si>
  <si>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</si>
  <si>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</si>
  <si>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</si>
  <si>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</si>
  <si>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</si>
  <si>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</si>
  <si>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</si>
  <si>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</si>
  <si>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</si>
  <si>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</si>
  <si>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</si>
  <si>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</si>
  <si>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</si>
  <si>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</si>
  <si>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</si>
  <si>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</si>
  <si>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</si>
  <si>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</si>
  <si>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</si>
  <si>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</si>
  <si>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</si>
  <si>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</si>
  <si>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</si>
  <si>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</si>
  <si>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</si>
  <si>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</si>
  <si>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</si>
  <si>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</si>
  <si>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</si>
  <si>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</si>
  <si>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</si>
  <si>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</si>
  <si>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</si>
  <si>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</si>
  <si>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</si>
  <si>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</si>
  <si>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</si>
  <si>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</si>
  <si>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</si>
  <si>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</si>
  <si>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</si>
  <si>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</si>
  <si>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</si>
  <si>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</si>
  <si>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</si>
  <si>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</si>
  <si>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</si>
  <si>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</si>
  <si>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</si>
  <si>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</si>
  <si>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</si>
  <si>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</si>
  <si>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</si>
  <si>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</si>
  <si>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</si>
  <si>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</si>
  <si>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</si>
  <si>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</si>
  <si>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</si>
  <si>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</si>
  <si>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</si>
  <si>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</si>
  <si>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</si>
  <si>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</si>
  <si>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</si>
  <si>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</si>
  <si>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</si>
  <si>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</si>
  <si>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</si>
  <si>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</si>
  <si>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</si>
  <si>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</si>
  <si>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</si>
  <si>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</si>
  <si>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</si>
  <si>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</si>
  <si>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</si>
  <si>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</si>
  <si>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</si>
  <si>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</si>
  <si>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</si>
  <si>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</si>
  <si>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</si>
  <si>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</si>
  <si>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</si>
  <si>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</si>
  <si>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</si>
  <si>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</si>
  <si>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</si>
  <si>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</si>
  <si>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</si>
  <si>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</si>
  <si>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</si>
  <si>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</si>
  <si>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</si>
  <si>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</si>
  <si>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</si>
  <si>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</si>
  <si>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</si>
  <si>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</si>
  <si>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</si>
  <si>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</si>
  <si>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</si>
  <si>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</si>
  <si>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</si>
  <si>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</si>
  <si>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</si>
  <si>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</si>
  <si>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</si>
  <si>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</si>
  <si>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</si>
  <si>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</si>
  <si>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</si>
  <si>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</si>
  <si>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</si>
  <si>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</si>
  <si>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合計
設備次數</t>
    <phoneticPr fontId="3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</si>
  <si>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</si>
  <si>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</si>
  <si>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</si>
  <si>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</si>
  <si>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</si>
  <si>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</si>
  <si>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</si>
  <si>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</si>
  <si>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</si>
  <si>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</si>
  <si>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</si>
  <si>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</si>
  <si>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</si>
  <si>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</si>
  <si>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</si>
  <si>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</si>
  <si>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</si>
  <si>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</si>
  <si>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</si>
  <si>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</si>
  <si>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</si>
  <si>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</si>
  <si>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</si>
  <si>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</si>
  <si>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</si>
  <si>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</si>
  <si>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</si>
  <si>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</si>
  <si>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</si>
  <si>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</si>
  <si>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</si>
  <si>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</si>
  <si>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</si>
  <si>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</si>
  <si>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</si>
  <si>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</si>
  <si>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</si>
  <si>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</si>
  <si>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</si>
  <si>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</si>
  <si>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</si>
  <si>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</si>
  <si>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</si>
  <si>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</si>
  <si>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</si>
  <si>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</si>
  <si>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營業額</t>
    <phoneticPr fontId="3" type="noConversion"/>
  </si>
  <si>
    <t>➁</t>
    <phoneticPr fontId="4" type="noConversion"/>
  </si>
  <si>
    <t>異常停線</t>
    <phoneticPr fontId="4" type="noConversion"/>
  </si>
  <si>
    <t>組合室</t>
    <phoneticPr fontId="3" type="noConversion"/>
  </si>
  <si>
    <t>合計次數</t>
    <phoneticPr fontId="4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</si>
  <si>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</si>
  <si>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</si>
  <si>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</si>
  <si>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時間/分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</si>
  <si>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</si>
  <si>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</si>
  <si>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</si>
  <si>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共用L型包裝機</t>
    <phoneticPr fontId="4" type="noConversion"/>
  </si>
  <si>
    <t>營業額</t>
    <phoneticPr fontId="7" type="noConversion"/>
  </si>
  <si>
    <t>合計
次數</t>
    <phoneticPr fontId="4" type="noConversion"/>
  </si>
  <si>
    <t>產線異常
分析說明(5分鐘以上)</t>
    <phoneticPr fontId="4" type="noConversion"/>
  </si>
  <si>
    <t>人時性</t>
    <phoneticPr fontId="4" type="noConversion"/>
  </si>
  <si>
    <t>線別</t>
    <phoneticPr fontId="3" type="noConversion"/>
  </si>
  <si>
    <t>品名</t>
    <phoneticPr fontId="3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</si>
  <si>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</si>
  <si>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</si>
  <si>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</si>
  <si>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</si>
  <si>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</si>
  <si>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</si>
  <si>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</si>
  <si>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</si>
  <si>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</si>
  <si>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</si>
  <si>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</si>
  <si>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</si>
  <si>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</si>
  <si>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</si>
  <si>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</si>
  <si>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</si>
  <si>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</si>
  <si>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</si>
  <si>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</si>
  <si>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</si>
  <si>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</si>
  <si>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</si>
  <si>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</si>
  <si>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</si>
  <si>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</si>
  <si>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</si>
  <si>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</si>
  <si>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</si>
  <si>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</si>
  <si>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</si>
  <si>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</si>
  <si>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</si>
  <si>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</si>
  <si>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</si>
  <si>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</si>
  <si>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</si>
  <si>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</si>
  <si>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</si>
  <si>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</si>
  <si>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</si>
  <si>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</si>
  <si>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</si>
  <si>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</si>
  <si>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</si>
  <si>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</si>
  <si>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</si>
  <si>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</si>
  <si>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</si>
  <si>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</si>
  <si>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</si>
  <si>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</si>
  <si>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</si>
  <si>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</si>
  <si>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</si>
  <si>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</si>
  <si>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</si>
  <si>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</si>
  <si>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</si>
  <si>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</si>
  <si>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</si>
  <si>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</si>
  <si>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</si>
  <si>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</si>
  <si>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</si>
  <si>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</si>
  <si>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</si>
  <si>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</si>
  <si>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</si>
  <si>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</si>
  <si>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</si>
  <si>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</si>
  <si>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</si>
  <si>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</si>
  <si>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</si>
  <si>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</si>
  <si>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</si>
  <si>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</si>
  <si>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</si>
  <si>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</si>
  <si>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</si>
  <si>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</si>
  <si>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</si>
  <si>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</si>
  <si>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</si>
  <si>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</si>
  <si>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</si>
  <si>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</si>
  <si>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</si>
  <si>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</si>
  <si>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</si>
  <si>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</si>
  <si>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</si>
  <si>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</si>
  <si>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</si>
  <si>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</si>
  <si>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</si>
  <si>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</si>
  <si>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</si>
  <si>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</si>
  <si>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</si>
  <si>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</si>
  <si>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</si>
  <si>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</si>
  <si>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</si>
  <si>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</si>
  <si>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</si>
  <si>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</si>
  <si>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</si>
  <si>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</si>
  <si>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</si>
  <si>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</si>
  <si>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</si>
  <si>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</si>
  <si>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</si>
  <si>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</si>
  <si>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</si>
  <si>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</si>
  <si>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</si>
  <si>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</si>
  <si>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</si>
  <si>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</si>
  <si>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</si>
  <si>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</si>
  <si>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</si>
  <si>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</si>
  <si>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</si>
  <si>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</si>
  <si>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</si>
  <si>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</si>
  <si>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</si>
  <si>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</si>
  <si>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</si>
  <si>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</si>
  <si>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</si>
  <si>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</si>
  <si>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</si>
  <si>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</si>
  <si>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</si>
  <si>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</si>
  <si>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</si>
  <si>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</si>
  <si>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</si>
  <si>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</si>
  <si>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</si>
  <si>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</si>
  <si>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</si>
  <si>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</si>
  <si>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</si>
  <si>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</si>
  <si>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</si>
  <si>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</si>
  <si>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</si>
  <si>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</si>
  <si>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</si>
  <si>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</si>
  <si>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</si>
  <si>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</si>
  <si>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</si>
  <si>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設備次數</t>
    <phoneticPr fontId="3" type="noConversion"/>
  </si>
  <si>
    <t>人時性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</si>
  <si>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</si>
  <si>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</si>
  <si>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</si>
  <si>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</si>
  <si>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</si>
  <si>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</si>
  <si>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達成率</t>
    <phoneticPr fontId="4" type="noConversion"/>
  </si>
  <si>
    <t>產線異常統計
(5分鐘以上)</t>
    <phoneticPr fontId="4" type="noConversion"/>
  </si>
  <si>
    <t>(新豐回填)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</si>
  <si>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</si>
  <si>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</si>
  <si>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</si>
  <si>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</si>
  <si>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</si>
  <si>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</si>
  <si>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</si>
  <si>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</si>
  <si>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</si>
  <si>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</si>
  <si>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</si>
  <si>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</si>
  <si>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</si>
  <si>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</si>
  <si>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</si>
  <si>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</si>
  <si>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</si>
  <si>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</si>
  <si>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</si>
  <si>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</si>
  <si>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</si>
  <si>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</si>
  <si>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</si>
  <si>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</si>
  <si>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</si>
  <si>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</si>
  <si>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</si>
  <si>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</si>
  <si>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</si>
  <si>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</si>
  <si>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</si>
  <si>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</si>
  <si>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</si>
  <si>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</si>
  <si>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</si>
  <si>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</si>
  <si>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</si>
  <si>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</si>
  <si>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</si>
  <si>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</si>
  <si>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</si>
  <si>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</si>
  <si>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</si>
  <si>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</si>
  <si>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</si>
  <si>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</si>
  <si>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</si>
  <si>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</si>
  <si>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</si>
  <si>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</si>
  <si>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</si>
  <si>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>出勤人數</t>
    <phoneticPr fontId="4" type="noConversion"/>
  </si>
  <si>
    <t>合計
時間/分</t>
    <phoneticPr fontId="3" type="noConversion"/>
  </si>
  <si>
    <t>合計
設備次數</t>
    <phoneticPr fontId="3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</si>
  <si>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</si>
  <si>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</si>
  <si>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</si>
  <si>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</si>
  <si>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</si>
  <si>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</si>
  <si>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</si>
  <si>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</si>
  <si>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</si>
  <si>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</si>
  <si>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</si>
  <si>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</si>
  <si>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</si>
  <si>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</si>
  <si>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</si>
  <si>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</si>
  <si>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</si>
  <si>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</si>
  <si>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</si>
  <si>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</si>
  <si>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</si>
  <si>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</si>
  <si>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</si>
  <si>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</si>
  <si>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</si>
  <si>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</si>
  <si>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</si>
  <si>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</si>
  <si>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</si>
  <si>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</si>
  <si>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</si>
  <si>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</si>
  <si>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</si>
  <si>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</si>
  <si>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</si>
  <si>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</si>
  <si>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</si>
  <si>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</si>
  <si>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</si>
  <si>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</si>
  <si>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</si>
  <si>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</si>
  <si>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</si>
  <si>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</si>
  <si>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</si>
  <si>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</si>
  <si>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</si>
  <si>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</si>
  <si>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</si>
  <si>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</si>
  <si>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</si>
  <si>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</si>
  <si>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</si>
  <si>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</si>
  <si>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</si>
  <si>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</si>
  <si>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</si>
  <si>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</si>
  <si>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</si>
  <si>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</si>
  <si>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</si>
  <si>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</si>
  <si>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</si>
  <si>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</si>
  <si>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</si>
  <si>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</si>
  <si>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</si>
  <si>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</si>
  <si>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</si>
  <si>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</si>
  <si>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</si>
  <si>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</si>
  <si>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</si>
  <si>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</si>
  <si>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</si>
  <si>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</si>
  <si>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</si>
  <si>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</si>
  <si>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</si>
  <si>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</si>
  <si>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</si>
  <si>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</si>
  <si>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</si>
  <si>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</si>
  <si>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</si>
  <si>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</si>
  <si>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</si>
  <si>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</si>
  <si>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</si>
  <si>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</si>
  <si>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</si>
  <si>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</si>
  <si>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</si>
  <si>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</si>
  <si>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</si>
  <si>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</si>
  <si>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</si>
  <si>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</si>
  <si>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</si>
  <si>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</si>
  <si>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</si>
  <si>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</si>
  <si>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</si>
  <si>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</si>
  <si>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</si>
  <si>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</si>
  <si>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</si>
  <si>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</si>
  <si>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</si>
  <si>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</si>
  <si>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</si>
  <si>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</si>
  <si>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</si>
  <si>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</si>
  <si>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</si>
  <si>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</si>
  <si>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</si>
  <si>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</si>
  <si>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</si>
  <si>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</si>
  <si>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</si>
  <si>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</si>
  <si>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</si>
  <si>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</si>
  <si>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</si>
  <si>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</si>
  <si>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</si>
  <si>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</si>
  <si>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</si>
  <si>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</si>
  <si>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</si>
  <si>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</si>
  <si>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</si>
  <si>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</si>
  <si>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</si>
  <si>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</si>
  <si>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</si>
  <si>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</si>
  <si>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</si>
  <si>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</si>
  <si>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</si>
  <si>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</si>
  <si>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</si>
  <si>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</si>
  <si>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</si>
  <si>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</si>
  <si>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</si>
  <si>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</si>
  <si>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</si>
  <si>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日報登錄</t>
    <phoneticPr fontId="4" type="noConversion"/>
  </si>
  <si>
    <t>人時性</t>
    <phoneticPr fontId="4" type="noConversion"/>
  </si>
  <si>
    <t>人數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</si>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</sst>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46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/>
    <xf numFmtId="177" fontId="6" fillId="0" borderId="1" xfId="1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3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2" fontId="6" fillId="0" borderId="1" xfId="1" applyNumberFormat="1" applyFont="1" applyFill="1" applyBorder="1" applyAlignment="1">
      <alignment horizontal="center" vertical="center"/>
    </xf>
    <xf numFmtId="182" fontId="6" fillId="0" borderId="5" xfId="1" applyNumberFormat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1" fillId="0" borderId="0" xfId="1" applyFont="1" applyFill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2501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O13" sqref="O13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2587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2588</v>
      </c>
      <c r="C3" s="478" t="str">
        <f>TEXT('0131 4度C'!A2,"yyyy.mm.ddaaaa")</f>
        <v>2026.01.31星期六</v>
      </c>
      <c r="D3" s="479"/>
      <c r="E3" s="56" t="s">
        <v>2589</v>
      </c>
      <c r="F3" s="480">
        <f>'0131 4度C'!D1</f>
        <v>135047</v>
      </c>
      <c r="G3" s="481"/>
      <c r="H3" s="56" t="s">
        <v>2590</v>
      </c>
      <c r="I3" s="482">
        <f>'0131 4度C'!F1</f>
        <v>4693379.18</v>
      </c>
      <c r="J3" s="483"/>
      <c r="K3" s="57"/>
      <c r="L3" s="58"/>
      <c r="M3" s="59"/>
      <c r="N3" s="59"/>
    </row>
    <row r="4" spans="2:17" ht="28.5" customHeight="1">
      <c r="B4" s="484" t="s">
        <v>2591</v>
      </c>
      <c r="C4" s="470" t="s">
        <v>2592</v>
      </c>
      <c r="D4" s="471"/>
      <c r="E4" s="487" t="s">
        <v>2593</v>
      </c>
      <c r="F4" s="488"/>
      <c r="G4" s="487" t="s">
        <v>2594</v>
      </c>
      <c r="H4" s="488"/>
      <c r="I4" s="487" t="s">
        <v>168</v>
      </c>
      <c r="J4" s="488"/>
      <c r="K4" s="468" t="s">
        <v>2595</v>
      </c>
      <c r="L4" s="469"/>
      <c r="M4" s="469" t="s">
        <v>2596</v>
      </c>
      <c r="N4" s="469"/>
    </row>
    <row r="5" spans="2:17" ht="28.5" customHeight="1">
      <c r="B5" s="485"/>
      <c r="C5" s="470" t="s">
        <v>2597</v>
      </c>
      <c r="D5" s="471"/>
      <c r="E5" s="470" t="s">
        <v>2598</v>
      </c>
      <c r="F5" s="471"/>
      <c r="G5" s="472" t="s">
        <v>2599</v>
      </c>
      <c r="H5" s="473"/>
      <c r="I5" s="474" t="s">
        <v>2600</v>
      </c>
      <c r="J5" s="475"/>
      <c r="K5" s="60" t="s">
        <v>2601</v>
      </c>
      <c r="L5" s="61" t="s">
        <v>176</v>
      </c>
      <c r="M5" s="60" t="s">
        <v>2601</v>
      </c>
      <c r="N5" s="61" t="s">
        <v>2602</v>
      </c>
    </row>
    <row r="6" spans="2:17" ht="28.5" customHeight="1">
      <c r="B6" s="485"/>
      <c r="C6" s="470" t="s">
        <v>144</v>
      </c>
      <c r="D6" s="471"/>
      <c r="E6" s="462">
        <f>AVERAGE(D13:M13)</f>
        <v>143.77629041204031</v>
      </c>
      <c r="F6" s="463">
        <f>AVERAGE(D31:O31,D13:J13)</f>
        <v>146.44822878475711</v>
      </c>
      <c r="G6" s="464">
        <f>AVERAGE(D13:J13)</f>
        <v>146.44822878475711</v>
      </c>
      <c r="H6" s="465"/>
      <c r="I6" s="464">
        <f>AVERAGE(K13:M13)</f>
        <v>137.54176754236778</v>
      </c>
      <c r="J6" s="465"/>
      <c r="K6" s="466">
        <f>'0131 4度C'!Y2</f>
        <v>0</v>
      </c>
      <c r="L6" s="451">
        <f>'0131 4度C'!Z2</f>
        <v>0</v>
      </c>
      <c r="M6" s="467">
        <f>'0131 4度C'!AC2</f>
        <v>32</v>
      </c>
      <c r="N6" s="451">
        <f>'0131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137.81224489275746</v>
      </c>
      <c r="F7" s="455">
        <f>AVERAGE(D32:O32,D14:J14)</f>
        <v>140.36757754664515</v>
      </c>
      <c r="G7" s="456">
        <f>AVERAGE(D14:J14)</f>
        <v>140.36757754664515</v>
      </c>
      <c r="H7" s="457"/>
      <c r="I7" s="456">
        <f>AVERAGE(K14:M14)</f>
        <v>131.84980203368616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0.9577845140277409</v>
      </c>
      <c r="F8" s="459">
        <f>AVERAGE(D15:J15,D33:O33)</f>
        <v>0.95746997991012972</v>
      </c>
      <c r="G8" s="460">
        <f>AVERAGE(D15:J15)</f>
        <v>0.95746997991012972</v>
      </c>
      <c r="H8" s="461"/>
      <c r="I8" s="460">
        <f>AVERAGE(K15:M15)</f>
        <v>0.95851842696883349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2603</v>
      </c>
      <c r="N9" s="59"/>
      <c r="O9" s="59"/>
      <c r="P9" s="59"/>
      <c r="Q9" s="59"/>
    </row>
    <row r="10" spans="2:17" ht="30" customHeight="1">
      <c r="B10" s="434" t="s">
        <v>2604</v>
      </c>
      <c r="C10" s="435"/>
      <c r="D10" s="436" t="s">
        <v>2605</v>
      </c>
      <c r="E10" s="437"/>
      <c r="F10" s="437"/>
      <c r="G10" s="437"/>
      <c r="H10" s="437"/>
      <c r="I10" s="437"/>
      <c r="J10" s="438"/>
      <c r="K10" s="439" t="s">
        <v>2606</v>
      </c>
      <c r="L10" s="440"/>
      <c r="M10" s="441"/>
      <c r="P10" s="65"/>
      <c r="Q10" s="65"/>
    </row>
    <row r="11" spans="2:17" ht="17.25" customHeight="1">
      <c r="B11" s="442" t="s">
        <v>2607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2608</v>
      </c>
      <c r="C13" s="72" t="s">
        <v>2609</v>
      </c>
      <c r="D13" s="73">
        <f>SUMIFS('0131 4度C'!$K:$K,'0131 4度C'!$A:$A,"新豐6線",'0131 4度C'!$B:$B,"平均")</f>
        <v>116.50485436893203</v>
      </c>
      <c r="E13" s="74">
        <f>SUMIFS('0131 4度C'!$K:$K,'0131 4度C'!$A:$A,"新豐2線",'0131 4度C'!$B:$B,"平均")</f>
        <v>83.333333333333329</v>
      </c>
      <c r="F13" s="75">
        <f>SUMIFS('0131 4度C'!$K:$K,'0131 4度C'!$A:$A,"新豐5線",'0131 4度C'!$B:$B,"平均")</f>
        <v>110.16949152542372</v>
      </c>
      <c r="G13" s="75">
        <f>SUMIFS('0131 4度C'!$K:$K,'0131 4度C'!$A:$A,"新豐7線",'0131 4度C'!$B:$B,"平均")</f>
        <v>122.72727272727273</v>
      </c>
      <c r="H13" s="75">
        <f>SUMIFS('0131 4度C'!$K:$K,'0131 4度C'!$A:$A,"新豐3線",'0131 4度C'!$B:$B,"平均")</f>
        <v>300</v>
      </c>
      <c r="I13" s="75">
        <f>SUMIFS('0131 4度C'!$K:$K,'0131 4度C'!$A:$A,"新豐1線",'0131 4度C'!$B:$B,"平均")</f>
        <v>103.72340425531914</v>
      </c>
      <c r="J13" s="76">
        <f>SUMIFS('0131 4度C'!$K:$K,'0131 4度C'!$A:$A,"新豐10線",'0131 4度C'!$B:$B,"平均")</f>
        <v>188.67924528301887</v>
      </c>
      <c r="K13" s="77">
        <f>SUMIFS('0131 4度C'!$K:$K,'0131 4度C'!$A:$A,"新豐8線",'0131 4度C'!$B:$B,"平均")</f>
        <v>135.84905660377356</v>
      </c>
      <c r="L13" s="78">
        <f>SUMIFS('0131 4度C'!$K:$K,'0131 4度C'!$A:$A,"新豐9線",'0131 4度C'!$B:$B,"平均")</f>
        <v>130.43478260869566</v>
      </c>
      <c r="M13" s="76">
        <f>SUMIFS('0131 4度C'!$K:$K,'0131 4度C'!$A:$A,"新豐4線",'0131 4度C'!$B:$B,"平均")</f>
        <v>146.34146341463415</v>
      </c>
    </row>
    <row r="14" spans="2:17" ht="39.6" customHeight="1">
      <c r="B14" s="447"/>
      <c r="C14" s="79" t="s">
        <v>2610</v>
      </c>
      <c r="D14" s="80">
        <f>SUMIFS('0131 4度C'!$N:$N,'0131 4度C'!$A:$A,"新豐6線",'0131 4度C'!$B:$B,"平均")</f>
        <v>111.81794064737345</v>
      </c>
      <c r="E14" s="81">
        <f>SUMIFS('0131 4度C'!$N:$N,'0131 4度C'!$A:$A,"新豐2線",'0131 4度C'!$B:$B,"平均")</f>
        <v>79.556488045593554</v>
      </c>
      <c r="F14" s="81">
        <f>SUMIFS('0131 4度C'!$N:$N,'0131 4度C'!$A:$A,"新豐5線",'0131 4度C'!$B:$B,"平均")</f>
        <v>106.29959234288792</v>
      </c>
      <c r="G14" s="81">
        <f>SUMIFS('0131 4度C'!$N:$N,'0131 4度C'!$A:$A,"新豐7線",'0131 4度C'!$B:$B,"平均")</f>
        <v>118.40803249154479</v>
      </c>
      <c r="H14" s="81">
        <f>SUMIFS('0131 4度C'!$N:$N,'0131 4度C'!$A:$A,"新豐3線",'0131 4度C'!$B:$B,"平均")</f>
        <v>288.15875916730329</v>
      </c>
      <c r="I14" s="81">
        <f>SUMIFS('0131 4度C'!$N:$N,'0131 4度C'!$A:$A,"新豐1線",'0131 4度C'!$B:$B,"平均")</f>
        <v>97.320760146720701</v>
      </c>
      <c r="J14" s="82">
        <f>SUMIFS('0131 4度C'!$N:$N,'0131 4度C'!$A:$A,"新豐10線",'0131 4度C'!$B:$B,"平均")</f>
        <v>181.01146998509248</v>
      </c>
      <c r="K14" s="83">
        <f>SUMIFS('0131 4度C'!$N:$N,'0131 4度C'!$A:$A,"新豐8線",'0131 4度C'!$B:$B,"平均")</f>
        <v>130.23929997675754</v>
      </c>
      <c r="L14" s="84">
        <f>SUMIFS('0131 4度C'!$N:$N,'0131 4度C'!$A:$A,"新豐9線",'0131 4度C'!$B:$B,"平均")</f>
        <v>124.67631707384109</v>
      </c>
      <c r="M14" s="82">
        <f>SUMIFS('0131 4度C'!$N:$N,'0131 4度C'!$A:$A,"新豐4線",'0131 4度C'!$B:$B,"平均")</f>
        <v>140.63378905045988</v>
      </c>
    </row>
    <row r="15" spans="2:17" ht="40.15" customHeight="1">
      <c r="B15" s="448"/>
      <c r="C15" s="85" t="s">
        <v>2611</v>
      </c>
      <c r="D15" s="86">
        <f t="shared" ref="D15:M15" si="0">D14/D13</f>
        <v>0.9597706572232888</v>
      </c>
      <c r="E15" s="87">
        <f t="shared" si="0"/>
        <v>0.95467785654712267</v>
      </c>
      <c r="F15" s="87">
        <f t="shared" si="0"/>
        <v>0.96487322280467502</v>
      </c>
      <c r="G15" s="87">
        <f t="shared" si="0"/>
        <v>0.96480619067184636</v>
      </c>
      <c r="H15" s="87">
        <f t="shared" si="0"/>
        <v>0.96052919722434427</v>
      </c>
      <c r="I15" s="87">
        <f t="shared" si="0"/>
        <v>0.93827194397864067</v>
      </c>
      <c r="J15" s="88">
        <f t="shared" si="0"/>
        <v>0.95936079092099014</v>
      </c>
      <c r="K15" s="86">
        <f t="shared" si="0"/>
        <v>0.95870595816224313</v>
      </c>
      <c r="L15" s="87">
        <f t="shared" si="0"/>
        <v>0.95585176423278162</v>
      </c>
      <c r="M15" s="88">
        <f t="shared" si="0"/>
        <v>0.96099755851147584</v>
      </c>
    </row>
    <row r="16" spans="2:17" ht="17.25" customHeight="1">
      <c r="B16" s="449" t="s">
        <v>2612</v>
      </c>
      <c r="C16" s="89" t="s">
        <v>2613</v>
      </c>
      <c r="D16" s="90">
        <f>VLOOKUP("新豐6線",'0131 4度C'!$A:$T,19,0)</f>
        <v>0.70833333333333337</v>
      </c>
      <c r="E16" s="91">
        <f>VLOOKUP("新豐2線",'0131 4度C'!$A:$T,19,0)</f>
        <v>0.20833333333333334</v>
      </c>
      <c r="F16" s="91">
        <f>VLOOKUP("新豐5線",'0131 4度C'!$A:$T,19,0)</f>
        <v>0.20833333333333334</v>
      </c>
      <c r="G16" s="91">
        <f>VLOOKUP("新豐7線",'0131 4度C'!$A:$T,19,0)</f>
        <v>0.20833333333333334</v>
      </c>
      <c r="H16" s="91">
        <f>VLOOKUP("新豐3線",'0131 4度C'!$A:$T,19,0)</f>
        <v>0.20833333333333334</v>
      </c>
      <c r="I16" s="91">
        <f>VLOOKUP("新豐1線",'0131 4度C'!$A:$T,19,0)</f>
        <v>0.20833333333333334</v>
      </c>
      <c r="J16" s="92">
        <f>VLOOKUP("新豐10線",'0131 4度C'!$A:$T,19,0)</f>
        <v>0.20833333333333334</v>
      </c>
      <c r="K16" s="93">
        <f>VLOOKUP("新豐8線",'0131 4度C'!$A:$T,19,0)</f>
        <v>0.125</v>
      </c>
      <c r="L16" s="94">
        <f>VLOOKUP("新豐9線",'0131 4度C'!$A:$T,19,0)</f>
        <v>0.125</v>
      </c>
      <c r="M16" s="95">
        <f>VLOOKUP("新豐4線",'0131 4度C'!$A:$T,19,0)</f>
        <v>0.125</v>
      </c>
    </row>
    <row r="17" spans="2:13" ht="17.25" customHeight="1">
      <c r="B17" s="450"/>
      <c r="C17" s="89" t="s">
        <v>2614</v>
      </c>
      <c r="D17" s="93">
        <f>LOOKUP(2,1/(('0131 4度C'!$A:$A="新豐6線")*('0131 4度C'!$T:$T&lt;&gt;"")),'0131 4度C'!$T:$T)</f>
        <v>0.88472222222222219</v>
      </c>
      <c r="E17" s="91">
        <f>LOOKUP(2,1/(('0131 4度C'!$A:$A="新豐2線")*('0131 4度C'!$T:$T&lt;&gt;"")),'0131 4度C'!$T:$T)</f>
        <v>0.41180555555555554</v>
      </c>
      <c r="F17" s="91">
        <f>LOOKUP(2,1/(('0131 4度C'!$A:$A="新豐5線")*('0131 4度C'!$T:$T&lt;&gt;"")),'0131 4度C'!$T:$T)</f>
        <v>0.90555555555555545</v>
      </c>
      <c r="G17" s="91">
        <f>LOOKUP(2,1/(('0131 4度C'!$A:$A="新豐7線")*('0131 4度C'!$T:$T&lt;&gt;"")),'0131 4度C'!$T:$T)</f>
        <v>0.90416666666666667</v>
      </c>
      <c r="H17" s="91">
        <f>LOOKUP(2,1/(('0131 4度C'!$A:$A="新豐3線")*('0131 4度C'!$T:$T&lt;&gt;"")),'0131 4度C'!$T:$T)</f>
        <v>0.63124999999999987</v>
      </c>
      <c r="I17" s="91">
        <f>LOOKUP(2,1/(('0131 4度C'!$A:$A="新豐1線")*('0131 4度C'!$T:$T&lt;&gt;"")),'0131 4度C'!$T:$T)</f>
        <v>0.88958333333333328</v>
      </c>
      <c r="J17" s="92">
        <f>LOOKUP(2,1/(('0131 4度C'!$A:$A="新豐10線")*('0131 4度C'!$T:$T&lt;&gt;"")),'0131 4度C'!$T:$T)</f>
        <v>0.42083333333333328</v>
      </c>
      <c r="K17" s="90">
        <f>LOOKUP(2,1/(('0131 4度C'!$A:$A="新豐8線")*('0131 4度C'!$T:$T&lt;&gt;"")),'0131 4度C'!$T:$T)</f>
        <v>0.52013888888888871</v>
      </c>
      <c r="L17" s="91">
        <f>LOOKUP(2,1/(('0131 4度C'!$A:$A="新豐9線")*('0131 4度C'!$T:$T&lt;&gt;"")),'0131 4度C'!$T:$T)</f>
        <v>0.50902777777777775</v>
      </c>
      <c r="M17" s="92">
        <f>LOOKUP(2,1/(('0131 4度C'!$A:$A="新豐4線")*('0131 4度C'!$T:$T&lt;&gt;"")),'0131 4度C'!$T:$T)</f>
        <v>0.48819444444444443</v>
      </c>
    </row>
    <row r="18" spans="2:13" ht="17.25" customHeight="1">
      <c r="B18" s="428" t="s">
        <v>2615</v>
      </c>
      <c r="C18" s="96" t="s">
        <v>2616</v>
      </c>
      <c r="D18" s="97">
        <f>SUMIFS('0131 4度C'!$Y:$Y,'0131 4度C'!$A:$A,"新豐6線",'0131 4度C'!$B:$B,"平均")</f>
        <v>0</v>
      </c>
      <c r="E18" s="98">
        <f>SUMIFS('0131 4度C'!$Y:$Y,'0131 4度C'!$A:$A,"新豐2線",'0131 4度C'!$B:$B,"平均")</f>
        <v>0</v>
      </c>
      <c r="F18" s="98">
        <f>SUMIFS('0131 4度C'!$Y:$Y,'0131 4度C'!$A:$A,"新豐5線",'0131 4度C'!$B:$B,"平均")</f>
        <v>0</v>
      </c>
      <c r="G18" s="98">
        <f>SUMIFS('0131 4度C'!$Y:$Y,'0131 4度C'!$A:$A,"新豐7線",'0131 4度C'!$B:$B,"平均")</f>
        <v>0</v>
      </c>
      <c r="H18" s="98">
        <f>SUMIFS('0131 4度C'!$Y:$Y,'0131 4度C'!$A:$A,"新豐3線",'0131 4度C'!$B:$B,"平均")</f>
        <v>0</v>
      </c>
      <c r="I18" s="98">
        <f>SUMIFS('0131 4度C'!$Y:$Y,'0131 4度C'!$A:$A,"新豐1線",'0131 4度C'!$B:$B,"平均")</f>
        <v>0</v>
      </c>
      <c r="J18" s="99">
        <f>SUMIFS('0131 4度C'!$Y:$Y,'0131 4度C'!$A:$A,"新豐10線",'0131 4度C'!$B:$B,"平均")</f>
        <v>0</v>
      </c>
      <c r="K18" s="100">
        <f>SUMIFS('0131 4度C'!$Y:$Y,'0131 4度C'!$A:$A,"新豐8線",'0131 4度C'!$B:$B,"平均")</f>
        <v>0</v>
      </c>
      <c r="L18" s="98">
        <f>SUMIFS('0131 4度C'!$Y:$Y,'0131 4度C'!$A:$A,"新豐9線",'0131 4度C'!$B:$B,"平均")</f>
        <v>0</v>
      </c>
      <c r="M18" s="99">
        <f>SUMIFS('0131 4度C'!$Y:$Y,'0131 4度C'!$A:$A,"新豐4線",'0131 4度C'!$B:$B,"平均")</f>
        <v>0</v>
      </c>
    </row>
    <row r="19" spans="2:13" ht="17.25" customHeight="1">
      <c r="B19" s="429"/>
      <c r="C19" s="96" t="s">
        <v>2617</v>
      </c>
      <c r="D19" s="97">
        <f>SUMIFS('0131 4度C'!$Z:$Z,'0131 4度C'!$A:$A,"新豐6線",'0131 4度C'!$B:$B,"平均")</f>
        <v>0</v>
      </c>
      <c r="E19" s="98">
        <f>SUMIFS('0131 4度C'!$Z:$Z,'0131 4度C'!$A:$A,"新豐2線",'0131 4度C'!$B:$B,"平均")</f>
        <v>0</v>
      </c>
      <c r="F19" s="98">
        <f>SUMIFS('0131 4度C'!$Z:$Z,'0131 4度C'!$A:$A,"新豐5線",'0131 4度C'!$B:$B,"平均")</f>
        <v>0</v>
      </c>
      <c r="G19" s="98">
        <f>SUMIFS('0131 4度C'!$Z:$Z,'0131 4度C'!$A:$A,"新豐7線",'0131 4度C'!$B:$B,"平均")</f>
        <v>0</v>
      </c>
      <c r="H19" s="98">
        <f>SUMIFS('0131 4度C'!$Z:$Z,'0131 4度C'!$A:$A,"新豐3線",'0131 4度C'!$B:$B,"平均")</f>
        <v>0</v>
      </c>
      <c r="I19" s="98">
        <f>SUMIFS('0131 4度C'!$Z:$Z,'0131 4度C'!$A:$A,"新豐1線",'0131 4度C'!$B:$B,"平均")</f>
        <v>0</v>
      </c>
      <c r="J19" s="99">
        <f>SUMIFS('0131 4度C'!$Z:$Z,'0131 4度C'!$A:$A,"新豐10線",'0131 4度C'!$B:$B,"平均")</f>
        <v>0</v>
      </c>
      <c r="K19" s="100">
        <f>SUMIFS('0131 4度C'!$Z:$Z,'0131 4度C'!$A:$A,"新豐8線",'0131 4度C'!$B:$B,"平均")</f>
        <v>0</v>
      </c>
      <c r="L19" s="98">
        <f>SUMIFS('0131 4度C'!$Z:$Z,'0131 4度C'!$A:$A,"新豐9線",'0131 4度C'!$B:$B,"平均")</f>
        <v>0</v>
      </c>
      <c r="M19" s="99">
        <f>SUMIFS('0131 4度C'!$Z:$Z,'0131 4度C'!$A:$A,"新豐4線",'0131 4度C'!$B:$B,"平均")</f>
        <v>0</v>
      </c>
    </row>
    <row r="20" spans="2:13" ht="17.25" customHeight="1">
      <c r="B20" s="428" t="s">
        <v>2618</v>
      </c>
      <c r="C20" s="96" t="s">
        <v>2619</v>
      </c>
      <c r="D20" s="97">
        <f>SUMIFS('0131 4度C'!$AC:$AC,'0131 4度C'!$A:$A,"新豐6線",'0131 4度C'!$B:$B,"平均")</f>
        <v>1</v>
      </c>
      <c r="E20" s="98">
        <f>SUMIFS('0131 4度C'!$AC:$AC,'0131 4度C'!$A:$A,"新豐2線",'0131 4度C'!$B:$B,"平均")</f>
        <v>2</v>
      </c>
      <c r="F20" s="98">
        <f>SUMIFS('0131 4度C'!$AC:$AC,'0131 4度C'!$A:$A,"新豐5線",'0131 4度C'!$B:$B,"平均")</f>
        <v>3</v>
      </c>
      <c r="G20" s="98">
        <f>SUMIFS('0131 4度C'!$AC:$AC,'0131 4度C'!$A:$A,"新豐7線",'0131 4度C'!$B:$B,"平均")</f>
        <v>3</v>
      </c>
      <c r="H20" s="98">
        <f>SUMIFS('0131 4度C'!$AC:$AC,'0131 4度C'!$A:$A,"新豐3線",'0131 4度C'!$B:$B,"平均")</f>
        <v>0</v>
      </c>
      <c r="I20" s="98">
        <f>SUMIFS('0131 4度C'!$AC:$AC,'0131 4度C'!$A:$A,"新豐1線",'0131 4度C'!$B:$B,"平均")</f>
        <v>4</v>
      </c>
      <c r="J20" s="99">
        <f>SUMIFS('0131 4度C'!$AC:$AC,'0131 4度C'!$A:$A,"新豐10線",'0131 4度C'!$B:$B,"平均")</f>
        <v>1</v>
      </c>
      <c r="K20" s="100">
        <f>SUMIFS('0131 4度C'!$AC:$AC,'0131 4度C'!$A:$A,"新豐8線",'0131 4度C'!$B:$B,"平均")</f>
        <v>6</v>
      </c>
      <c r="L20" s="98">
        <f>SUMIFS('0131 4度C'!$AC:$AC,'0131 4度C'!$A:$A,"新豐9線",'0131 4度C'!$B:$B,"平均")</f>
        <v>6</v>
      </c>
      <c r="M20" s="99">
        <f>SUMIFS('0131 4度C'!$AC:$AC,'0131 4度C'!$A:$A,"新豐4線",'0131 4度C'!$B:$B,"平均")</f>
        <v>6</v>
      </c>
    </row>
    <row r="21" spans="2:13" ht="17.25" customHeight="1">
      <c r="B21" s="429"/>
      <c r="C21" s="96" t="s">
        <v>2620</v>
      </c>
      <c r="D21" s="97">
        <f>SUMIFS('0131 4度C'!$AD:$AD,'0131 4度C'!$A:$A,"新豐6線",'0131 4度C'!$B:$B,"平均")</f>
        <v>0</v>
      </c>
      <c r="E21" s="98">
        <f>SUMIFS('0131 4度C'!$AD:$AD,'0131 4度C'!$A:$A,"新豐2線",'0131 4度C'!$B:$B,"平均")</f>
        <v>0</v>
      </c>
      <c r="F21" s="98">
        <f>SUMIFS('0131 4度C'!$AD:$AD,'0131 4度C'!$A:$A,"新豐5線",'0131 4度C'!$B:$B,"平均")</f>
        <v>0</v>
      </c>
      <c r="G21" s="98">
        <f>SUMIFS('0131 4度C'!$AD:$AD,'0131 4度C'!$A:$A,"新豐7線",'0131 4度C'!$B:$B,"平均")</f>
        <v>0</v>
      </c>
      <c r="H21" s="98">
        <f>SUMIFS('0131 4度C'!$AD:$AD,'0131 4度C'!$A:$A,"新豐3線",'0131 4度C'!$B:$B,"平均")</f>
        <v>0</v>
      </c>
      <c r="I21" s="98">
        <f>SUMIFS('0131 4度C'!$AD:$AD,'0131 4度C'!$A:$A,"新豐1線",'0131 4度C'!$B:$B,"平均")</f>
        <v>0</v>
      </c>
      <c r="J21" s="99">
        <f>SUMIFS('0131 4度C'!$AD:$AD,'0131 4度C'!$A:$A,"新豐10線",'0131 4度C'!$B:$B,"平均")</f>
        <v>0</v>
      </c>
      <c r="K21" s="100">
        <f>SUMIFS('0131 4度C'!$AD:$AD,'0131 4度C'!$A:$A,"新豐8線",'0131 4度C'!$B:$B,"平均")</f>
        <v>0</v>
      </c>
      <c r="L21" s="98">
        <f>SUMIFS('0131 4度C'!$AD:$AD,'0131 4度C'!$A:$A,"新豐9線",'0131 4度C'!$B:$B,"平均")</f>
        <v>0</v>
      </c>
      <c r="M21" s="99">
        <f>SUMIFS('0131 4度C'!$AD:$AD,'0131 4度C'!$A:$A,"新豐4線",'0131 4度C'!$B:$B,"平均")</f>
        <v>0</v>
      </c>
    </row>
    <row r="22" spans="2:13" ht="17.25" customHeight="1">
      <c r="B22" s="430" t="s">
        <v>2621</v>
      </c>
      <c r="C22" s="431"/>
      <c r="D22" s="101">
        <f>SUMIFS('0131 4度C'!$I:$I,'0131 4度C'!$A:$A,"新豐6線",'0131 4度C'!$B:$B,"平均")</f>
        <v>17.166666666666668</v>
      </c>
      <c r="E22" s="102">
        <f>SUMIFS('0131 4度C'!$I:$I,'0131 4度C'!$A:$A,"新豐2線",'0131 4度C'!$B:$B,"平均")</f>
        <v>18</v>
      </c>
      <c r="F22" s="102">
        <f>SUMIFS('0131 4度C'!$I:$I,'0131 4度C'!$A:$A,"新豐5線",'0131 4度C'!$B:$B,"平均")</f>
        <v>16.857142857142858</v>
      </c>
      <c r="G22" s="102">
        <f>SUMIFS('0131 4度C'!$I:$I,'0131 4度C'!$A:$A,"新豐7線",'0131 4度C'!$B:$B,"平均")</f>
        <v>15.714285714285714</v>
      </c>
      <c r="H22" s="102">
        <f>SUMIFS('0131 4度C'!$I:$I,'0131 4度C'!$A:$A,"新豐3線",'0131 4度C'!$B:$B,"平均")</f>
        <v>10</v>
      </c>
      <c r="I22" s="102">
        <f>SUMIFS('0131 4度C'!$I:$I,'0131 4度C'!$A:$A,"新豐1線",'0131 4度C'!$B:$B,"平均")</f>
        <v>18.8</v>
      </c>
      <c r="J22" s="103">
        <f>SUMIFS('0131 4度C'!$I:$I,'0131 4度C'!$A:$A,"新豐10線",'0131 4度C'!$B:$B,"平均")</f>
        <v>10.6</v>
      </c>
      <c r="K22" s="101">
        <f>SUMIFS('0131 4度C'!$I:$I,'0131 4度C'!$A:$A,"新豐8線",'0131 4度C'!$B:$B,"平均")</f>
        <v>17.666666666666668</v>
      </c>
      <c r="L22" s="102">
        <f>SUMIFS('0131 4度C'!$I:$I,'0131 4度C'!$A:$A,"新豐9線",'0131 4度C'!$B:$B,"平均")</f>
        <v>18.399999999999999</v>
      </c>
      <c r="M22" s="103">
        <f>SUMIFS('0131 4度C'!$I:$I,'0131 4度C'!$A:$A,"新豐4線",'0131 4度C'!$B:$B,"平均")</f>
        <v>16.399999999999999</v>
      </c>
    </row>
    <row r="23" spans="2:13" ht="17.25" customHeight="1">
      <c r="B23" s="430" t="s">
        <v>2622</v>
      </c>
      <c r="C23" s="431"/>
      <c r="D23" s="104" t="s">
        <v>157</v>
      </c>
      <c r="E23" s="105" t="s">
        <v>158</v>
      </c>
      <c r="F23" s="105" t="s">
        <v>2623</v>
      </c>
      <c r="G23" s="105" t="s">
        <v>2623</v>
      </c>
      <c r="H23" s="105" t="s">
        <v>159</v>
      </c>
      <c r="I23" s="105" t="s">
        <v>157</v>
      </c>
      <c r="J23" s="106" t="s">
        <v>159</v>
      </c>
      <c r="K23" s="104" t="s">
        <v>2624</v>
      </c>
      <c r="L23" s="105" t="s">
        <v>2624</v>
      </c>
      <c r="M23" s="106" t="s">
        <v>2624</v>
      </c>
    </row>
    <row r="24" spans="2:13" ht="17.25" customHeight="1">
      <c r="B24" s="430" t="s">
        <v>2625</v>
      </c>
      <c r="C24" s="431"/>
      <c r="D24" s="104"/>
      <c r="E24" s="105"/>
      <c r="F24" s="105" t="s">
        <v>2626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2627</v>
      </c>
      <c r="C25" s="433"/>
      <c r="D25" s="107"/>
      <c r="E25" s="108" t="s">
        <v>2628</v>
      </c>
      <c r="F25" s="426" t="s">
        <v>2629</v>
      </c>
      <c r="G25" s="427"/>
      <c r="H25" s="108" t="s">
        <v>2630</v>
      </c>
      <c r="I25" s="108" t="s">
        <v>2631</v>
      </c>
      <c r="J25" s="109" t="s">
        <v>2632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8"/>
  <sheetViews>
    <sheetView zoomScale="80" zoomScaleNormal="80" workbookViewId="0">
      <pane ySplit="4" topLeftCell="A5" activePane="bottomLeft" state="frozen"/>
      <selection activeCell="A7" sqref="A7"/>
      <selection pane="bottomLeft" activeCell="A5" sqref="A5:A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834</v>
      </c>
      <c r="B1" s="1"/>
      <c r="C1" s="2" t="s">
        <v>2633</v>
      </c>
      <c r="D1" s="3">
        <f>SUM(F5:F77)</f>
        <v>135047</v>
      </c>
      <c r="E1" s="412" t="s">
        <v>767</v>
      </c>
      <c r="F1" s="1">
        <f>SUM(G5:G77)</f>
        <v>4693379.18</v>
      </c>
      <c r="G1" s="1" t="s">
        <v>2634</v>
      </c>
      <c r="H1" s="5">
        <f>L11+L14+L54+L65+L22+L71+L37+L43+L30+L77</f>
        <v>159.60476190476192</v>
      </c>
      <c r="I1" s="542" t="s">
        <v>2635</v>
      </c>
      <c r="J1" s="542"/>
      <c r="K1" s="542"/>
      <c r="L1" s="542" t="s">
        <v>2636</v>
      </c>
      <c r="M1" s="542"/>
      <c r="N1" s="542"/>
      <c r="O1" s="542" t="s">
        <v>2637</v>
      </c>
      <c r="P1" s="542"/>
      <c r="Q1" s="542"/>
      <c r="R1" s="542"/>
      <c r="S1" s="542" t="s">
        <v>2638</v>
      </c>
      <c r="T1" s="542"/>
      <c r="U1" s="542"/>
      <c r="V1" s="542"/>
      <c r="W1" s="542"/>
      <c r="X1" s="542"/>
      <c r="Y1" s="6" t="s">
        <v>2639</v>
      </c>
      <c r="Z1" s="7" t="s">
        <v>2640</v>
      </c>
      <c r="AA1" s="543" t="s">
        <v>2641</v>
      </c>
      <c r="AB1" s="543"/>
      <c r="AC1" s="8" t="s">
        <v>2642</v>
      </c>
      <c r="AD1" s="7" t="s">
        <v>11</v>
      </c>
      <c r="AE1" s="542" t="s">
        <v>2643</v>
      </c>
      <c r="AF1" s="544"/>
      <c r="AG1" s="544"/>
    </row>
    <row r="2" spans="1:33" ht="26.25" customHeight="1">
      <c r="A2" s="49">
        <v>46053</v>
      </c>
      <c r="B2" s="50" t="s">
        <v>382</v>
      </c>
      <c r="C2" s="2" t="s">
        <v>183</v>
      </c>
      <c r="D2" s="10">
        <f>AVERAGE(N11,N14,N54,N65,N22,N71,N30,N37,N43,N77)</f>
        <v>137.81224489275746</v>
      </c>
      <c r="E2" s="11" t="s">
        <v>14</v>
      </c>
      <c r="F2" s="12">
        <f>F1/D1</f>
        <v>34.753672277059096</v>
      </c>
      <c r="G2" s="1" t="s">
        <v>2644</v>
      </c>
      <c r="H2" s="424">
        <f>COUNT(H5:H77)</f>
        <v>7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SUM(Y11+Y14+Y22+Y30+Y37+Y43+Y54+Y65+Y71+Y77)</f>
        <v>0</v>
      </c>
      <c r="Z2" s="14">
        <f>SUM(Z11+Z14+Z22+Z30+Z37+Z43+Z54+Z65+Z71+Z77)</f>
        <v>0</v>
      </c>
      <c r="AA2" s="543"/>
      <c r="AB2" s="543"/>
      <c r="AC2" s="14">
        <v>32</v>
      </c>
      <c r="AD2" s="14">
        <f>SUM(AD11+AD14+AD22+AD30+AD37+AD43+AD54+AD65+AD71+AD77)</f>
        <v>0</v>
      </c>
      <c r="AE2" s="544"/>
      <c r="AF2" s="544"/>
      <c r="AG2" s="544"/>
    </row>
    <row r="3" spans="1:33" ht="40.5" customHeight="1">
      <c r="A3" s="491" t="s">
        <v>2645</v>
      </c>
      <c r="B3" s="491" t="s">
        <v>2646</v>
      </c>
      <c r="C3" s="491" t="s">
        <v>775</v>
      </c>
      <c r="D3" s="491"/>
      <c r="E3" s="540" t="s">
        <v>2647</v>
      </c>
      <c r="F3" s="491" t="s">
        <v>2648</v>
      </c>
      <c r="G3" s="540" t="s">
        <v>2649</v>
      </c>
      <c r="H3" s="533" t="s">
        <v>2650</v>
      </c>
      <c r="I3" s="531" t="s">
        <v>2651</v>
      </c>
      <c r="J3" s="528" t="s">
        <v>2652</v>
      </c>
      <c r="K3" s="538" t="s">
        <v>2653</v>
      </c>
      <c r="L3" s="531" t="s">
        <v>2654</v>
      </c>
      <c r="M3" s="528" t="s">
        <v>2652</v>
      </c>
      <c r="N3" s="538" t="s">
        <v>2653</v>
      </c>
      <c r="O3" s="531" t="s">
        <v>2654</v>
      </c>
      <c r="P3" s="538" t="s">
        <v>2653</v>
      </c>
      <c r="Q3" s="529" t="s">
        <v>2655</v>
      </c>
      <c r="R3" s="507" t="s">
        <v>2656</v>
      </c>
      <c r="S3" s="539" t="s">
        <v>27</v>
      </c>
      <c r="T3" s="539"/>
      <c r="U3" s="533" t="s">
        <v>28</v>
      </c>
      <c r="V3" s="533" t="s">
        <v>2657</v>
      </c>
      <c r="W3" s="491" t="s">
        <v>2658</v>
      </c>
      <c r="X3" s="491"/>
      <c r="Y3" s="534" t="s">
        <v>2659</v>
      </c>
      <c r="Z3" s="495"/>
      <c r="AA3" s="535" t="s">
        <v>2660</v>
      </c>
      <c r="AB3" s="536"/>
      <c r="AC3" s="534" t="s">
        <v>2661</v>
      </c>
      <c r="AD3" s="495"/>
      <c r="AE3" s="528" t="s">
        <v>2662</v>
      </c>
      <c r="AF3" s="529" t="s">
        <v>2663</v>
      </c>
      <c r="AG3" s="507" t="s">
        <v>2664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423" t="s">
        <v>37</v>
      </c>
      <c r="T4" s="423" t="s">
        <v>38</v>
      </c>
      <c r="U4" s="533"/>
      <c r="V4" s="533"/>
      <c r="W4" s="412" t="s">
        <v>2665</v>
      </c>
      <c r="X4" s="412" t="s">
        <v>2666</v>
      </c>
      <c r="Y4" s="414" t="s">
        <v>2667</v>
      </c>
      <c r="Z4" s="414" t="s">
        <v>2668</v>
      </c>
      <c r="AA4" s="537"/>
      <c r="AB4" s="536"/>
      <c r="AC4" s="414" t="s">
        <v>2669</v>
      </c>
      <c r="AD4" s="414" t="s">
        <v>2670</v>
      </c>
      <c r="AE4" s="528"/>
      <c r="AF4" s="529"/>
      <c r="AG4" s="507"/>
    </row>
    <row r="5" spans="1:33">
      <c r="A5" s="530" t="s">
        <v>2671</v>
      </c>
      <c r="B5" s="42" t="s">
        <v>103</v>
      </c>
      <c r="C5" s="532" t="s">
        <v>120</v>
      </c>
      <c r="D5" s="532"/>
      <c r="E5" s="42">
        <v>50.67</v>
      </c>
      <c r="F5" s="423">
        <v>1213</v>
      </c>
      <c r="G5" s="412">
        <f t="shared" ref="G5:G10" si="0">E5*F5</f>
        <v>61462.71</v>
      </c>
      <c r="H5" s="425" t="s">
        <v>79</v>
      </c>
      <c r="I5" s="421">
        <v>17</v>
      </c>
      <c r="J5" s="37">
        <v>2000</v>
      </c>
      <c r="K5" s="17">
        <f t="shared" ref="K5:K68" si="1">J5/I5</f>
        <v>117.64705882352941</v>
      </c>
      <c r="L5" s="421">
        <v>17</v>
      </c>
      <c r="M5" s="18">
        <f t="shared" ref="M5:M10" si="2">F5/V5*60</f>
        <v>1915.2631578947355</v>
      </c>
      <c r="N5" s="17">
        <f t="shared" ref="N5:N68" si="3">M5/L5</f>
        <v>112.66253869969033</v>
      </c>
      <c r="O5" s="19">
        <f t="shared" ref="O5:O68" si="4">L5-I5</f>
        <v>0</v>
      </c>
      <c r="P5" s="20">
        <f t="shared" ref="P5:P68" si="5">N5-K5</f>
        <v>-4.9845201238390757</v>
      </c>
      <c r="Q5" s="415">
        <f t="shared" ref="Q5:Q68" si="6">N5/K5</f>
        <v>0.95763157894736783</v>
      </c>
      <c r="R5" s="489">
        <f>Q11</f>
        <v>0.9597706572232888</v>
      </c>
      <c r="S5" s="40">
        <v>0.70833333333333337</v>
      </c>
      <c r="T5" s="40">
        <v>0.73472222222222228</v>
      </c>
      <c r="U5" s="412"/>
      <c r="V5" s="422">
        <f t="shared" ref="V5:V10" si="7">(T5-S5)*24*60</f>
        <v>38.000000000000028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4" si="8">M5-J5</f>
        <v>-84.736842105264486</v>
      </c>
      <c r="AF5" s="415">
        <f t="shared" ref="AF5:AF68" si="9">M5/J5</f>
        <v>0.95763157894736772</v>
      </c>
      <c r="AG5" s="489">
        <f>AF11</f>
        <v>0.9597706572232888</v>
      </c>
    </row>
    <row r="6" spans="1:33">
      <c r="A6" s="531" t="s">
        <v>2672</v>
      </c>
      <c r="B6" s="42" t="s">
        <v>103</v>
      </c>
      <c r="C6" s="532" t="s">
        <v>121</v>
      </c>
      <c r="D6" s="532"/>
      <c r="E6" s="42">
        <v>54.09</v>
      </c>
      <c r="F6" s="423">
        <v>1182</v>
      </c>
      <c r="G6" s="412">
        <f t="shared" si="0"/>
        <v>63934.380000000005</v>
      </c>
      <c r="H6" s="425" t="s">
        <v>79</v>
      </c>
      <c r="I6" s="421">
        <v>19</v>
      </c>
      <c r="J6" s="37">
        <v>2000</v>
      </c>
      <c r="K6" s="17">
        <f t="shared" si="1"/>
        <v>105.26315789473684</v>
      </c>
      <c r="L6" s="421">
        <v>19</v>
      </c>
      <c r="M6" s="18">
        <f t="shared" si="2"/>
        <v>1916.7567567567553</v>
      </c>
      <c r="N6" s="17">
        <f t="shared" si="3"/>
        <v>100.88193456614502</v>
      </c>
      <c r="O6" s="19">
        <f t="shared" si="4"/>
        <v>0</v>
      </c>
      <c r="P6" s="20">
        <f t="shared" si="5"/>
        <v>-4.3812233285918154</v>
      </c>
      <c r="Q6" s="415">
        <f t="shared" si="6"/>
        <v>0.9583783783783778</v>
      </c>
      <c r="R6" s="489"/>
      <c r="S6" s="40">
        <v>0.73958333333333337</v>
      </c>
      <c r="T6" s="40">
        <v>0.76527777777777783</v>
      </c>
      <c r="U6" s="412">
        <f t="shared" ref="U6:U10" si="10">IF(S6=TIME(17,0,0),"",(S6-T5)*24*60)</f>
        <v>6.9999999999999751</v>
      </c>
      <c r="V6" s="422">
        <f t="shared" si="7"/>
        <v>37.000000000000028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-83.243243243244706</v>
      </c>
      <c r="AF6" s="415">
        <f t="shared" si="9"/>
        <v>0.95837837837837769</v>
      </c>
      <c r="AG6" s="489"/>
    </row>
    <row r="7" spans="1:33">
      <c r="A7" s="531" t="s">
        <v>2672</v>
      </c>
      <c r="B7" s="42" t="s">
        <v>103</v>
      </c>
      <c r="C7" s="523" t="s">
        <v>122</v>
      </c>
      <c r="D7" s="524"/>
      <c r="E7" s="42">
        <v>50.29</v>
      </c>
      <c r="F7" s="423">
        <v>711</v>
      </c>
      <c r="G7" s="412">
        <f t="shared" si="0"/>
        <v>35756.19</v>
      </c>
      <c r="H7" s="425" t="s">
        <v>79</v>
      </c>
      <c r="I7" s="421">
        <v>16</v>
      </c>
      <c r="J7" s="37">
        <v>2000</v>
      </c>
      <c r="K7" s="17">
        <f t="shared" si="1"/>
        <v>125</v>
      </c>
      <c r="L7" s="421">
        <v>16</v>
      </c>
      <c r="M7" s="18">
        <f t="shared" si="2"/>
        <v>1939.0909090909161</v>
      </c>
      <c r="N7" s="17">
        <f t="shared" si="3"/>
        <v>121.19318181818225</v>
      </c>
      <c r="O7" s="19">
        <f t="shared" si="4"/>
        <v>0</v>
      </c>
      <c r="P7" s="20">
        <f t="shared" si="5"/>
        <v>-3.8068181818177464</v>
      </c>
      <c r="Q7" s="415">
        <f t="shared" si="6"/>
        <v>0.96954545454545804</v>
      </c>
      <c r="R7" s="489"/>
      <c r="S7" s="40">
        <v>0.77083333333333337</v>
      </c>
      <c r="T7" s="40">
        <v>0.78611111111111109</v>
      </c>
      <c r="U7" s="412">
        <f t="shared" si="10"/>
        <v>7.9999999999999716</v>
      </c>
      <c r="V7" s="422">
        <f t="shared" si="7"/>
        <v>21.999999999999922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-60.909090909083943</v>
      </c>
      <c r="AF7" s="415">
        <f t="shared" si="9"/>
        <v>0.96954545454545804</v>
      </c>
      <c r="AG7" s="489"/>
    </row>
    <row r="8" spans="1:33">
      <c r="A8" s="531" t="s">
        <v>2672</v>
      </c>
      <c r="B8" s="42" t="s">
        <v>103</v>
      </c>
      <c r="C8" s="523" t="s">
        <v>1708</v>
      </c>
      <c r="D8" s="524"/>
      <c r="E8" s="42">
        <v>57.3</v>
      </c>
      <c r="F8" s="423">
        <v>700</v>
      </c>
      <c r="G8" s="412">
        <f t="shared" si="0"/>
        <v>40110</v>
      </c>
      <c r="H8" s="425">
        <v>2</v>
      </c>
      <c r="I8" s="421">
        <v>15</v>
      </c>
      <c r="J8" s="37">
        <v>2000</v>
      </c>
      <c r="K8" s="17">
        <f t="shared" si="1"/>
        <v>133.33333333333334</v>
      </c>
      <c r="L8" s="421">
        <v>15</v>
      </c>
      <c r="M8" s="18">
        <f t="shared" si="2"/>
        <v>1909.0909090909158</v>
      </c>
      <c r="N8" s="17">
        <f t="shared" si="3"/>
        <v>127.27272727272772</v>
      </c>
      <c r="O8" s="19">
        <f t="shared" si="4"/>
        <v>0</v>
      </c>
      <c r="P8" s="20">
        <f t="shared" si="5"/>
        <v>-6.0606060606056218</v>
      </c>
      <c r="Q8" s="415">
        <f t="shared" si="6"/>
        <v>0.95454545454545781</v>
      </c>
      <c r="R8" s="489"/>
      <c r="S8" s="40">
        <v>0.79097222222222219</v>
      </c>
      <c r="T8" s="40">
        <v>0.80624999999999991</v>
      </c>
      <c r="U8" s="412">
        <f t="shared" si="10"/>
        <v>6.9999999999999751</v>
      </c>
      <c r="V8" s="422">
        <f t="shared" si="7"/>
        <v>21.999999999999922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-90.909090909084171</v>
      </c>
      <c r="AF8" s="415">
        <f t="shared" si="9"/>
        <v>0.95454545454545792</v>
      </c>
      <c r="AG8" s="489"/>
    </row>
    <row r="9" spans="1:33">
      <c r="A9" s="531" t="s">
        <v>2672</v>
      </c>
      <c r="B9" s="42" t="s">
        <v>103</v>
      </c>
      <c r="C9" s="523" t="s">
        <v>515</v>
      </c>
      <c r="D9" s="524"/>
      <c r="E9" s="42">
        <v>50.67</v>
      </c>
      <c r="F9" s="423">
        <v>838</v>
      </c>
      <c r="G9" s="412">
        <f t="shared" si="0"/>
        <v>42461.46</v>
      </c>
      <c r="H9" s="425" t="s">
        <v>79</v>
      </c>
      <c r="I9" s="421">
        <v>21</v>
      </c>
      <c r="J9" s="37">
        <v>2000</v>
      </c>
      <c r="K9" s="17">
        <f t="shared" si="1"/>
        <v>95.238095238095241</v>
      </c>
      <c r="L9" s="421">
        <v>21</v>
      </c>
      <c r="M9" s="18">
        <f t="shared" si="2"/>
        <v>1933.8461538461488</v>
      </c>
      <c r="N9" s="17">
        <f t="shared" si="3"/>
        <v>92.087912087911846</v>
      </c>
      <c r="O9" s="19">
        <f t="shared" si="4"/>
        <v>0</v>
      </c>
      <c r="P9" s="20">
        <f t="shared" si="5"/>
        <v>-3.1501831501833948</v>
      </c>
      <c r="Q9" s="415">
        <f t="shared" si="6"/>
        <v>0.96692307692307433</v>
      </c>
      <c r="R9" s="489"/>
      <c r="S9" s="40">
        <v>0.81111111111111101</v>
      </c>
      <c r="T9" s="40">
        <v>0.82916666666666661</v>
      </c>
      <c r="U9" s="412">
        <f t="shared" si="10"/>
        <v>6.9999999999999751</v>
      </c>
      <c r="V9" s="422">
        <f t="shared" si="7"/>
        <v>26.000000000000068</v>
      </c>
      <c r="W9" s="23">
        <f>T9</f>
        <v>0.82916666666666661</v>
      </c>
      <c r="X9" s="23">
        <f>S10</f>
        <v>0.86736111111111103</v>
      </c>
      <c r="Y9" s="26"/>
      <c r="Z9" s="26"/>
      <c r="AA9" s="503"/>
      <c r="AB9" s="504"/>
      <c r="AC9" s="155"/>
      <c r="AD9" s="27"/>
      <c r="AE9" s="19">
        <f t="shared" si="8"/>
        <v>-66.153846153851191</v>
      </c>
      <c r="AF9" s="415">
        <f t="shared" si="9"/>
        <v>0.96692307692307444</v>
      </c>
      <c r="AG9" s="489"/>
    </row>
    <row r="10" spans="1:33">
      <c r="A10" s="531" t="s">
        <v>2672</v>
      </c>
      <c r="B10" s="42" t="s">
        <v>103</v>
      </c>
      <c r="C10" s="523" t="s">
        <v>1708</v>
      </c>
      <c r="D10" s="524"/>
      <c r="E10" s="42">
        <v>57.3</v>
      </c>
      <c r="F10" s="423">
        <v>793</v>
      </c>
      <c r="G10" s="412">
        <f t="shared" si="0"/>
        <v>45438.899999999994</v>
      </c>
      <c r="H10" s="425" t="s">
        <v>79</v>
      </c>
      <c r="I10" s="421">
        <v>15</v>
      </c>
      <c r="J10" s="37">
        <v>2000</v>
      </c>
      <c r="K10" s="17">
        <f t="shared" si="1"/>
        <v>133.33333333333334</v>
      </c>
      <c r="L10" s="421">
        <v>15</v>
      </c>
      <c r="M10" s="18">
        <f t="shared" si="2"/>
        <v>1903.1999999999946</v>
      </c>
      <c r="N10" s="17">
        <f t="shared" si="3"/>
        <v>126.87999999999964</v>
      </c>
      <c r="O10" s="19">
        <f t="shared" si="4"/>
        <v>0</v>
      </c>
      <c r="P10" s="20">
        <f t="shared" si="5"/>
        <v>-6.4533333333337026</v>
      </c>
      <c r="Q10" s="415">
        <f t="shared" si="6"/>
        <v>0.95159999999999723</v>
      </c>
      <c r="R10" s="489"/>
      <c r="S10" s="40">
        <v>0.86736111111111103</v>
      </c>
      <c r="T10" s="40">
        <v>0.88472222222222219</v>
      </c>
      <c r="U10" s="412">
        <f t="shared" si="10"/>
        <v>54.999999999999964</v>
      </c>
      <c r="V10" s="422">
        <f t="shared" si="7"/>
        <v>25.000000000000071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-96.800000000005411</v>
      </c>
      <c r="AF10" s="415">
        <f t="shared" si="9"/>
        <v>0.95159999999999734</v>
      </c>
      <c r="AG10" s="489"/>
    </row>
    <row r="11" spans="1:33">
      <c r="A11" s="531" t="s">
        <v>2672</v>
      </c>
      <c r="B11" s="42" t="s">
        <v>2673</v>
      </c>
      <c r="C11" s="494"/>
      <c r="D11" s="494"/>
      <c r="E11" s="416"/>
      <c r="F11" s="44"/>
      <c r="G11" s="17"/>
      <c r="H11" s="423"/>
      <c r="I11" s="30">
        <v>17.166666666666668</v>
      </c>
      <c r="J11" s="37">
        <v>2000</v>
      </c>
      <c r="K11" s="17">
        <f t="shared" si="1"/>
        <v>116.50485436893203</v>
      </c>
      <c r="L11" s="30">
        <v>17.166666666666668</v>
      </c>
      <c r="M11" s="18">
        <f>AVERAGE(M5:M10)</f>
        <v>1919.5413144465776</v>
      </c>
      <c r="N11" s="17">
        <f t="shared" si="3"/>
        <v>111.81794064737345</v>
      </c>
      <c r="O11" s="19">
        <f t="shared" si="4"/>
        <v>0</v>
      </c>
      <c r="P11" s="20">
        <f t="shared" si="5"/>
        <v>-4.6869137215585823</v>
      </c>
      <c r="Q11" s="415">
        <f t="shared" si="6"/>
        <v>0.9597706572232888</v>
      </c>
      <c r="R11" s="489"/>
      <c r="S11" s="40"/>
      <c r="T11" s="40"/>
      <c r="U11" s="412"/>
      <c r="V11" s="422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v>1</v>
      </c>
      <c r="AD11" s="31">
        <f>SUM(AD5:AD10)</f>
        <v>0</v>
      </c>
      <c r="AE11" s="19">
        <f t="shared" si="8"/>
        <v>-80.458685553422356</v>
      </c>
      <c r="AF11" s="415">
        <f t="shared" si="9"/>
        <v>0.9597706572232888</v>
      </c>
      <c r="AG11" s="489"/>
    </row>
    <row r="12" spans="1:33" ht="15.75" customHeight="1">
      <c r="A12" s="527" t="s">
        <v>2674</v>
      </c>
      <c r="B12" s="42" t="s">
        <v>100</v>
      </c>
      <c r="C12" s="523" t="s">
        <v>124</v>
      </c>
      <c r="D12" s="524"/>
      <c r="E12" s="42">
        <v>39.619999999999997</v>
      </c>
      <c r="F12" s="423">
        <v>2600</v>
      </c>
      <c r="G12" s="412">
        <f t="shared" ref="G12:G13" si="11">E12*F12</f>
        <v>103012</v>
      </c>
      <c r="H12" s="425" t="s">
        <v>79</v>
      </c>
      <c r="I12" s="421">
        <v>19</v>
      </c>
      <c r="J12" s="37">
        <v>1500</v>
      </c>
      <c r="K12" s="17">
        <f t="shared" si="1"/>
        <v>78.94736842105263</v>
      </c>
      <c r="L12" s="421">
        <v>19</v>
      </c>
      <c r="M12" s="18">
        <f t="shared" ref="M12:M13" si="12">F12/V12*60</f>
        <v>1431.1926605504591</v>
      </c>
      <c r="N12" s="17">
        <f t="shared" si="3"/>
        <v>75.32592950265574</v>
      </c>
      <c r="O12" s="19">
        <f t="shared" si="4"/>
        <v>0</v>
      </c>
      <c r="P12" s="20">
        <f t="shared" si="5"/>
        <v>-3.6214389183968905</v>
      </c>
      <c r="Q12" s="415">
        <f t="shared" si="6"/>
        <v>0.95412844036697275</v>
      </c>
      <c r="R12" s="489">
        <f>Q14</f>
        <v>0.95467785654712267</v>
      </c>
      <c r="S12" s="40">
        <v>0.20833333333333334</v>
      </c>
      <c r="T12" s="40">
        <v>0.28402777777777777</v>
      </c>
      <c r="U12" s="412"/>
      <c r="V12" s="422">
        <f t="shared" ref="V12:V13" si="13">(T12-S12)*24*60</f>
        <v>108.99999999999997</v>
      </c>
      <c r="W12" s="23"/>
      <c r="X12" s="23"/>
      <c r="Y12" s="23"/>
      <c r="Z12" s="23"/>
      <c r="AA12" s="491"/>
      <c r="AB12" s="491"/>
      <c r="AC12" s="154">
        <v>2</v>
      </c>
      <c r="AD12" s="25"/>
      <c r="AE12" s="19">
        <f t="shared" si="8"/>
        <v>-68.807339449540905</v>
      </c>
      <c r="AF12" s="415">
        <f t="shared" si="9"/>
        <v>0.95412844036697275</v>
      </c>
      <c r="AG12" s="489">
        <f>AF14</f>
        <v>0.95467785654712267</v>
      </c>
    </row>
    <row r="13" spans="1:33" ht="15.75" customHeight="1">
      <c r="A13" s="527" t="s">
        <v>2674</v>
      </c>
      <c r="B13" s="42" t="s">
        <v>100</v>
      </c>
      <c r="C13" s="523" t="s">
        <v>125</v>
      </c>
      <c r="D13" s="524"/>
      <c r="E13" s="42">
        <v>39.799999999999997</v>
      </c>
      <c r="F13" s="423">
        <v>4203</v>
      </c>
      <c r="G13" s="412">
        <f t="shared" si="11"/>
        <v>167279.4</v>
      </c>
      <c r="H13" s="425" t="s">
        <v>79</v>
      </c>
      <c r="I13" s="421">
        <v>17</v>
      </c>
      <c r="J13" s="37">
        <v>1500</v>
      </c>
      <c r="K13" s="17">
        <f t="shared" si="1"/>
        <v>88.235294117647058</v>
      </c>
      <c r="L13" s="421">
        <v>17</v>
      </c>
      <c r="M13" s="18">
        <f t="shared" si="12"/>
        <v>1432.840909090909</v>
      </c>
      <c r="N13" s="17">
        <f t="shared" si="3"/>
        <v>84.284759358288767</v>
      </c>
      <c r="O13" s="19">
        <f t="shared" si="4"/>
        <v>0</v>
      </c>
      <c r="P13" s="20">
        <f t="shared" si="5"/>
        <v>-3.9505347593582911</v>
      </c>
      <c r="Q13" s="415">
        <f t="shared" si="6"/>
        <v>0.9552272727272727</v>
      </c>
      <c r="R13" s="489"/>
      <c r="S13" s="40">
        <v>0.2895833333333333</v>
      </c>
      <c r="T13" s="40">
        <v>0.41180555555555554</v>
      </c>
      <c r="U13" s="412">
        <f t="shared" ref="U13" si="14">IF(S13=TIME(17,0,0),"",(S13-T12)*24*60)</f>
        <v>7.9999999999999716</v>
      </c>
      <c r="V13" s="422">
        <f t="shared" si="13"/>
        <v>176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-67.159090909090992</v>
      </c>
      <c r="AF13" s="415">
        <f t="shared" si="9"/>
        <v>0.9552272727272727</v>
      </c>
      <c r="AG13" s="489"/>
    </row>
    <row r="14" spans="1:33" ht="16.5" customHeight="1">
      <c r="A14" s="527" t="s">
        <v>2674</v>
      </c>
      <c r="B14" s="42" t="s">
        <v>2673</v>
      </c>
      <c r="C14" s="494"/>
      <c r="D14" s="494"/>
      <c r="E14" s="416"/>
      <c r="F14" s="37"/>
      <c r="G14" s="18"/>
      <c r="H14" s="423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1432.0167848206841</v>
      </c>
      <c r="N14" s="17">
        <f t="shared" si="3"/>
        <v>79.556488045593554</v>
      </c>
      <c r="O14" s="19">
        <f t="shared" si="4"/>
        <v>0</v>
      </c>
      <c r="P14" s="20">
        <f t="shared" si="5"/>
        <v>-3.7768452877397749</v>
      </c>
      <c r="Q14" s="415">
        <f t="shared" si="6"/>
        <v>0.95467785654712267</v>
      </c>
      <c r="R14" s="489"/>
      <c r="S14" s="40"/>
      <c r="T14" s="40"/>
      <c r="U14" s="17"/>
      <c r="V14" s="422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v>2</v>
      </c>
      <c r="AD14" s="31">
        <f>SUM(AD12:AD13)</f>
        <v>0</v>
      </c>
      <c r="AE14" s="19">
        <f t="shared" si="8"/>
        <v>-67.983215179315948</v>
      </c>
      <c r="AF14" s="415">
        <f t="shared" si="9"/>
        <v>0.95467785654712267</v>
      </c>
      <c r="AG14" s="489"/>
    </row>
    <row r="15" spans="1:33" ht="16.5" customHeight="1">
      <c r="A15" s="525" t="s">
        <v>2675</v>
      </c>
      <c r="B15" s="423" t="s">
        <v>126</v>
      </c>
      <c r="C15" s="515" t="s">
        <v>127</v>
      </c>
      <c r="D15" s="515"/>
      <c r="E15" s="42">
        <v>41</v>
      </c>
      <c r="F15" s="423">
        <v>1943</v>
      </c>
      <c r="G15" s="412">
        <f t="shared" ref="G15:G21" si="15">E15*F15</f>
        <v>79663</v>
      </c>
      <c r="H15" s="425" t="s">
        <v>79</v>
      </c>
      <c r="I15" s="421">
        <v>26</v>
      </c>
      <c r="J15" s="37">
        <v>1500</v>
      </c>
      <c r="K15" s="17">
        <f t="shared" si="1"/>
        <v>57.692307692307693</v>
      </c>
      <c r="L15" s="421">
        <v>26</v>
      </c>
      <c r="M15" s="18">
        <f t="shared" ref="M15:M21" si="16">F15/V15*60</f>
        <v>1439.2592592592596</v>
      </c>
      <c r="N15" s="17">
        <f t="shared" si="3"/>
        <v>55.356125356125368</v>
      </c>
      <c r="O15" s="19">
        <f t="shared" si="4"/>
        <v>0</v>
      </c>
      <c r="P15" s="20">
        <f t="shared" si="5"/>
        <v>-2.3361823361823255</v>
      </c>
      <c r="Q15" s="415">
        <f t="shared" si="6"/>
        <v>0.95950617283950634</v>
      </c>
      <c r="R15" s="489">
        <f>Q22</f>
        <v>0.96487322280467502</v>
      </c>
      <c r="S15" s="40">
        <v>0.20833333333333334</v>
      </c>
      <c r="T15" s="40">
        <v>0.26458333333333334</v>
      </c>
      <c r="U15" s="412"/>
      <c r="V15" s="422">
        <f t="shared" ref="V15:V21" si="17">(T15-S15)*24*60</f>
        <v>80.999999999999986</v>
      </c>
      <c r="W15" s="28"/>
      <c r="X15" s="28"/>
      <c r="Y15" s="28"/>
      <c r="Z15" s="28"/>
      <c r="AA15" s="491"/>
      <c r="AB15" s="491"/>
      <c r="AC15" s="154">
        <v>3</v>
      </c>
      <c r="AD15" s="25"/>
      <c r="AE15" s="19">
        <f t="shared" si="8"/>
        <v>-60.740740740740421</v>
      </c>
      <c r="AF15" s="415">
        <f t="shared" si="9"/>
        <v>0.95950617283950634</v>
      </c>
      <c r="AG15" s="489">
        <f>AF22</f>
        <v>0.96487322280467502</v>
      </c>
    </row>
    <row r="16" spans="1:33" ht="16.5" customHeight="1">
      <c r="A16" s="526" t="s">
        <v>2675</v>
      </c>
      <c r="B16" s="423" t="s">
        <v>128</v>
      </c>
      <c r="C16" s="515" t="s">
        <v>129</v>
      </c>
      <c r="D16" s="515"/>
      <c r="E16" s="42">
        <v>72.400000000000006</v>
      </c>
      <c r="F16" s="423">
        <v>781</v>
      </c>
      <c r="G16" s="412">
        <f t="shared" si="15"/>
        <v>56544.4</v>
      </c>
      <c r="H16" s="425" t="s">
        <v>79</v>
      </c>
      <c r="I16" s="421">
        <v>18</v>
      </c>
      <c r="J16" s="37">
        <v>1500</v>
      </c>
      <c r="K16" s="17">
        <f t="shared" si="1"/>
        <v>83.333333333333329</v>
      </c>
      <c r="L16" s="421">
        <v>18</v>
      </c>
      <c r="M16" s="18">
        <f t="shared" si="16"/>
        <v>1464.3750000000018</v>
      </c>
      <c r="N16" s="17">
        <f t="shared" si="3"/>
        <v>81.354166666666771</v>
      </c>
      <c r="O16" s="19">
        <f t="shared" si="4"/>
        <v>0</v>
      </c>
      <c r="P16" s="20">
        <f t="shared" si="5"/>
        <v>-1.9791666666665577</v>
      </c>
      <c r="Q16" s="415">
        <f t="shared" si="6"/>
        <v>0.97625000000000128</v>
      </c>
      <c r="R16" s="489"/>
      <c r="S16" s="40">
        <v>0.27013888888888887</v>
      </c>
      <c r="T16" s="40">
        <v>0.29236111111111107</v>
      </c>
      <c r="U16" s="412">
        <f t="shared" ref="U16:U21" si="18">IF(S16=TIME(17,0,0),"",(S16-T15)*24*60)</f>
        <v>7.9999999999999716</v>
      </c>
      <c r="V16" s="422">
        <f t="shared" si="17"/>
        <v>31.999999999999964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-35.624999999998181</v>
      </c>
      <c r="AF16" s="415">
        <f t="shared" si="9"/>
        <v>0.97625000000000117</v>
      </c>
      <c r="AG16" s="489"/>
    </row>
    <row r="17" spans="1:33" ht="16.5" customHeight="1">
      <c r="A17" s="526" t="s">
        <v>2675</v>
      </c>
      <c r="B17" s="423" t="s">
        <v>103</v>
      </c>
      <c r="C17" s="515" t="s">
        <v>123</v>
      </c>
      <c r="D17" s="515"/>
      <c r="E17" s="42">
        <v>50.98</v>
      </c>
      <c r="F17" s="423">
        <v>1000</v>
      </c>
      <c r="G17" s="412">
        <f t="shared" si="15"/>
        <v>50980</v>
      </c>
      <c r="H17" s="425">
        <v>2</v>
      </c>
      <c r="I17" s="421">
        <v>16</v>
      </c>
      <c r="J17" s="37">
        <v>2000</v>
      </c>
      <c r="K17" s="17">
        <f t="shared" si="1"/>
        <v>125</v>
      </c>
      <c r="L17" s="421">
        <v>16</v>
      </c>
      <c r="M17" s="18">
        <f t="shared" si="16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415">
        <f t="shared" si="6"/>
        <v>0.96774193548386944</v>
      </c>
      <c r="R17" s="489"/>
      <c r="S17" s="40">
        <v>0.70833333333333337</v>
      </c>
      <c r="T17" s="40">
        <v>0.72986111111111118</v>
      </c>
      <c r="U17" s="412" t="str">
        <f t="shared" si="18"/>
        <v/>
      </c>
      <c r="V17" s="422">
        <f t="shared" si="17"/>
        <v>31.00000000000005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-64.516129032261006</v>
      </c>
      <c r="AF17" s="415">
        <f t="shared" si="9"/>
        <v>0.96774193548386944</v>
      </c>
      <c r="AG17" s="489"/>
    </row>
    <row r="18" spans="1:33" ht="16.5" customHeight="1">
      <c r="A18" s="526" t="s">
        <v>2675</v>
      </c>
      <c r="B18" s="423" t="s">
        <v>103</v>
      </c>
      <c r="C18" s="515" t="s">
        <v>132</v>
      </c>
      <c r="D18" s="515"/>
      <c r="E18" s="42">
        <v>50.92</v>
      </c>
      <c r="F18" s="423">
        <v>700</v>
      </c>
      <c r="G18" s="412">
        <f t="shared" si="15"/>
        <v>35644</v>
      </c>
      <c r="H18" s="425">
        <v>2</v>
      </c>
      <c r="I18" s="421">
        <v>15</v>
      </c>
      <c r="J18" s="37">
        <v>2000</v>
      </c>
      <c r="K18" s="17">
        <f t="shared" si="1"/>
        <v>133.33333333333334</v>
      </c>
      <c r="L18" s="421">
        <v>15</v>
      </c>
      <c r="M18" s="18">
        <f t="shared" si="16"/>
        <v>1909.0909090909158</v>
      </c>
      <c r="N18" s="17">
        <f t="shared" si="3"/>
        <v>127.27272727272772</v>
      </c>
      <c r="O18" s="19">
        <f t="shared" si="4"/>
        <v>0</v>
      </c>
      <c r="P18" s="20">
        <f t="shared" si="5"/>
        <v>-6.0606060606056218</v>
      </c>
      <c r="Q18" s="415">
        <f t="shared" si="6"/>
        <v>0.95454545454545781</v>
      </c>
      <c r="R18" s="489"/>
      <c r="S18" s="40">
        <v>0.73333333333333339</v>
      </c>
      <c r="T18" s="40">
        <v>0.74861111111111112</v>
      </c>
      <c r="U18" s="412">
        <f t="shared" si="18"/>
        <v>4.9999999999999822</v>
      </c>
      <c r="V18" s="422">
        <f t="shared" si="17"/>
        <v>21.999999999999922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-90.909090909084171</v>
      </c>
      <c r="AF18" s="415">
        <f t="shared" si="9"/>
        <v>0.95454545454545792</v>
      </c>
      <c r="AG18" s="489"/>
    </row>
    <row r="19" spans="1:33" ht="16.5" customHeight="1">
      <c r="A19" s="526" t="s">
        <v>2675</v>
      </c>
      <c r="B19" s="423" t="s">
        <v>103</v>
      </c>
      <c r="C19" s="515" t="s">
        <v>133</v>
      </c>
      <c r="D19" s="515"/>
      <c r="E19" s="42">
        <v>50.67</v>
      </c>
      <c r="F19" s="423">
        <v>1536</v>
      </c>
      <c r="G19" s="412">
        <f t="shared" si="15"/>
        <v>77829.119999999995</v>
      </c>
      <c r="H19" s="425" t="s">
        <v>79</v>
      </c>
      <c r="I19" s="421">
        <v>15</v>
      </c>
      <c r="J19" s="37">
        <v>2000</v>
      </c>
      <c r="K19" s="17">
        <f t="shared" si="1"/>
        <v>133.33333333333334</v>
      </c>
      <c r="L19" s="421">
        <v>15</v>
      </c>
      <c r="M19" s="18">
        <f t="shared" si="16"/>
        <v>1920.0000000000005</v>
      </c>
      <c r="N19" s="17">
        <f t="shared" si="3"/>
        <v>128.00000000000003</v>
      </c>
      <c r="O19" s="19">
        <f t="shared" si="4"/>
        <v>0</v>
      </c>
      <c r="P19" s="20">
        <f t="shared" si="5"/>
        <v>-5.3333333333333144</v>
      </c>
      <c r="Q19" s="415">
        <f t="shared" si="6"/>
        <v>0.96000000000000019</v>
      </c>
      <c r="R19" s="489"/>
      <c r="S19" s="40">
        <v>0.75347222222222221</v>
      </c>
      <c r="T19" s="40">
        <v>0.78680555555555554</v>
      </c>
      <c r="U19" s="412">
        <f t="shared" si="18"/>
        <v>6.9999999999999751</v>
      </c>
      <c r="V19" s="422">
        <f t="shared" si="17"/>
        <v>47.999999999999986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-79.999999999999545</v>
      </c>
      <c r="AF19" s="415">
        <f t="shared" si="9"/>
        <v>0.96000000000000019</v>
      </c>
      <c r="AG19" s="489"/>
    </row>
    <row r="20" spans="1:33" ht="16.5" customHeight="1">
      <c r="A20" s="526" t="s">
        <v>2675</v>
      </c>
      <c r="B20" s="423" t="s">
        <v>103</v>
      </c>
      <c r="C20" s="521" t="s">
        <v>134</v>
      </c>
      <c r="D20" s="522"/>
      <c r="E20" s="42">
        <v>57.3</v>
      </c>
      <c r="F20" s="423">
        <v>1808</v>
      </c>
      <c r="G20" s="412">
        <f t="shared" si="15"/>
        <v>103598.39999999999</v>
      </c>
      <c r="H20" s="425" t="s">
        <v>79</v>
      </c>
      <c r="I20" s="421">
        <v>13</v>
      </c>
      <c r="J20" s="37">
        <v>2000</v>
      </c>
      <c r="K20" s="17">
        <f t="shared" si="1"/>
        <v>153.84615384615384</v>
      </c>
      <c r="L20" s="421">
        <v>13</v>
      </c>
      <c r="M20" s="18">
        <f t="shared" si="16"/>
        <v>1937.1428571428587</v>
      </c>
      <c r="N20" s="17">
        <f t="shared" si="3"/>
        <v>149.01098901098914</v>
      </c>
      <c r="O20" s="19">
        <f t="shared" si="4"/>
        <v>0</v>
      </c>
      <c r="P20" s="20">
        <f t="shared" si="5"/>
        <v>-4.8351648351647043</v>
      </c>
      <c r="Q20" s="415">
        <f t="shared" si="6"/>
        <v>0.96857142857142942</v>
      </c>
      <c r="R20" s="489"/>
      <c r="S20" s="40">
        <v>0.79236111111111107</v>
      </c>
      <c r="T20" s="40">
        <v>0.83124999999999993</v>
      </c>
      <c r="U20" s="412">
        <f t="shared" si="18"/>
        <v>7.9999999999999716</v>
      </c>
      <c r="V20" s="422">
        <f t="shared" si="17"/>
        <v>55.999999999999957</v>
      </c>
      <c r="W20" s="23">
        <f>T20</f>
        <v>0.83124999999999993</v>
      </c>
      <c r="X20" s="23">
        <f>S21</f>
        <v>0.87083333333333324</v>
      </c>
      <c r="Y20" s="26"/>
      <c r="Z20" s="26"/>
      <c r="AA20" s="503"/>
      <c r="AB20" s="504"/>
      <c r="AC20" s="154"/>
      <c r="AD20" s="25"/>
      <c r="AE20" s="19">
        <f t="shared" si="8"/>
        <v>-62.857142857141298</v>
      </c>
      <c r="AF20" s="415">
        <f t="shared" si="9"/>
        <v>0.9685714285714293</v>
      </c>
      <c r="AG20" s="489"/>
    </row>
    <row r="21" spans="1:33" ht="16.5" customHeight="1">
      <c r="A21" s="526" t="s">
        <v>2675</v>
      </c>
      <c r="B21" s="423" t="s">
        <v>103</v>
      </c>
      <c r="C21" s="419" t="s">
        <v>132</v>
      </c>
      <c r="D21" s="420"/>
      <c r="E21" s="42">
        <v>50.92</v>
      </c>
      <c r="F21" s="423">
        <v>1615</v>
      </c>
      <c r="G21" s="412">
        <f t="shared" si="15"/>
        <v>82235.8</v>
      </c>
      <c r="H21" s="425" t="s">
        <v>79</v>
      </c>
      <c r="I21" s="421">
        <v>15</v>
      </c>
      <c r="J21" s="37">
        <v>2000</v>
      </c>
      <c r="K21" s="17">
        <f t="shared" si="1"/>
        <v>133.33333333333334</v>
      </c>
      <c r="L21" s="421">
        <v>15</v>
      </c>
      <c r="M21" s="18">
        <f t="shared" si="16"/>
        <v>1938.0000000000007</v>
      </c>
      <c r="N21" s="17">
        <f t="shared" si="3"/>
        <v>129.20000000000005</v>
      </c>
      <c r="O21" s="19">
        <f t="shared" si="4"/>
        <v>0</v>
      </c>
      <c r="P21" s="20">
        <f t="shared" si="5"/>
        <v>-4.1333333333332973</v>
      </c>
      <c r="Q21" s="415">
        <f t="shared" si="6"/>
        <v>0.96900000000000031</v>
      </c>
      <c r="R21" s="489"/>
      <c r="S21" s="40">
        <v>0.87083333333333324</v>
      </c>
      <c r="T21" s="40">
        <v>0.90555555555555545</v>
      </c>
      <c r="U21" s="412">
        <f t="shared" si="18"/>
        <v>56.999999999999957</v>
      </c>
      <c r="V21" s="422">
        <f t="shared" si="17"/>
        <v>49.999999999999986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-61.999999999999318</v>
      </c>
      <c r="AF21" s="415">
        <f t="shared" si="9"/>
        <v>0.96900000000000031</v>
      </c>
      <c r="AG21" s="489"/>
    </row>
    <row r="22" spans="1:33" ht="16.5" customHeight="1">
      <c r="A22" s="526" t="s">
        <v>2675</v>
      </c>
      <c r="B22" s="42" t="s">
        <v>2673</v>
      </c>
      <c r="C22" s="494"/>
      <c r="D22" s="494"/>
      <c r="E22" s="416"/>
      <c r="F22" s="44"/>
      <c r="G22" s="17"/>
      <c r="H22" s="423"/>
      <c r="I22" s="30">
        <v>16.857142857142858</v>
      </c>
      <c r="J22" s="37">
        <v>1857.1428571428571</v>
      </c>
      <c r="K22" s="17">
        <f t="shared" si="1"/>
        <v>110.16949152542372</v>
      </c>
      <c r="L22" s="30">
        <v>16.857142857142858</v>
      </c>
      <c r="M22" s="18">
        <f>AVERAGE(M15:M21)</f>
        <v>1791.9074137801108</v>
      </c>
      <c r="N22" s="17">
        <f t="shared" si="3"/>
        <v>106.29959234288792</v>
      </c>
      <c r="O22" s="19">
        <f t="shared" si="4"/>
        <v>0</v>
      </c>
      <c r="P22" s="20">
        <f t="shared" si="5"/>
        <v>-3.8698991825358036</v>
      </c>
      <c r="Q22" s="415">
        <f t="shared" si="6"/>
        <v>0.96487322280467502</v>
      </c>
      <c r="R22" s="489"/>
      <c r="S22" s="40"/>
      <c r="T22" s="40"/>
      <c r="U22" s="412"/>
      <c r="V22" s="422"/>
      <c r="W22" s="17"/>
      <c r="X22" s="17"/>
      <c r="Y22" s="31">
        <f>SUM(Y15:Y21)</f>
        <v>0</v>
      </c>
      <c r="Z22" s="31">
        <f>SUM(Z15:Z21)</f>
        <v>0</v>
      </c>
      <c r="AA22" s="495"/>
      <c r="AB22" s="495"/>
      <c r="AC22" s="31">
        <v>3</v>
      </c>
      <c r="AD22" s="31">
        <f>SUM(AD15:AD21)</f>
        <v>0</v>
      </c>
      <c r="AE22" s="19">
        <f t="shared" si="8"/>
        <v>-65.23544336274631</v>
      </c>
      <c r="AF22" s="415">
        <f t="shared" si="9"/>
        <v>0.96487322280467502</v>
      </c>
      <c r="AG22" s="489"/>
    </row>
    <row r="23" spans="1:33" ht="15.75" customHeight="1">
      <c r="A23" s="519" t="s">
        <v>2676</v>
      </c>
      <c r="B23" s="42" t="s">
        <v>126</v>
      </c>
      <c r="C23" s="515" t="s">
        <v>135</v>
      </c>
      <c r="D23" s="515"/>
      <c r="E23" s="42">
        <v>43.14</v>
      </c>
      <c r="F23" s="423">
        <v>910</v>
      </c>
      <c r="G23" s="412">
        <f t="shared" ref="G23:G29" si="19">E23*F23</f>
        <v>39257.4</v>
      </c>
      <c r="H23" s="425" t="s">
        <v>79</v>
      </c>
      <c r="I23" s="421">
        <v>17</v>
      </c>
      <c r="J23" s="37">
        <v>2000</v>
      </c>
      <c r="K23" s="17">
        <f t="shared" si="1"/>
        <v>117.64705882352941</v>
      </c>
      <c r="L23" s="421">
        <v>17</v>
      </c>
      <c r="M23" s="18">
        <f t="shared" ref="M23:M29" si="20">F23/V23*60</f>
        <v>1949.9999999999986</v>
      </c>
      <c r="N23" s="17">
        <f t="shared" si="3"/>
        <v>114.7058823529411</v>
      </c>
      <c r="O23" s="19">
        <f t="shared" si="4"/>
        <v>0</v>
      </c>
      <c r="P23" s="20">
        <f t="shared" si="5"/>
        <v>-2.941176470588303</v>
      </c>
      <c r="Q23" s="415">
        <f t="shared" si="6"/>
        <v>0.97499999999999942</v>
      </c>
      <c r="R23" s="489">
        <f>Q30</f>
        <v>0.96480619067184636</v>
      </c>
      <c r="S23" s="40">
        <v>0.20833333333333334</v>
      </c>
      <c r="T23" s="40">
        <v>0.2277777777777778</v>
      </c>
      <c r="U23" s="412"/>
      <c r="V23" s="422">
        <f t="shared" ref="V23:V29" si="21">(T23-S23)*24*60</f>
        <v>28.000000000000021</v>
      </c>
      <c r="W23" s="28"/>
      <c r="X23" s="28"/>
      <c r="Y23" s="28"/>
      <c r="Z23" s="28"/>
      <c r="AA23" s="491"/>
      <c r="AB23" s="491"/>
      <c r="AC23" s="154">
        <v>3</v>
      </c>
      <c r="AD23" s="25"/>
      <c r="AE23" s="19">
        <f t="shared" si="8"/>
        <v>-50.000000000001364</v>
      </c>
      <c r="AF23" s="415">
        <f t="shared" si="9"/>
        <v>0.97499999999999931</v>
      </c>
      <c r="AG23" s="489">
        <f>AF30</f>
        <v>0.96480619067184625</v>
      </c>
    </row>
    <row r="24" spans="1:33" ht="15.75" customHeight="1">
      <c r="A24" s="520" t="s">
        <v>2676</v>
      </c>
      <c r="B24" s="42" t="s">
        <v>103</v>
      </c>
      <c r="C24" s="515" t="s">
        <v>137</v>
      </c>
      <c r="D24" s="515"/>
      <c r="E24" s="42">
        <v>57.73</v>
      </c>
      <c r="F24" s="423">
        <v>2200</v>
      </c>
      <c r="G24" s="412">
        <f t="shared" si="19"/>
        <v>127006</v>
      </c>
      <c r="H24" s="425" t="s">
        <v>79</v>
      </c>
      <c r="I24" s="421">
        <v>14</v>
      </c>
      <c r="J24" s="37">
        <v>2000</v>
      </c>
      <c r="K24" s="17">
        <f t="shared" si="1"/>
        <v>142.85714285714286</v>
      </c>
      <c r="L24" s="421">
        <v>14</v>
      </c>
      <c r="M24" s="18">
        <f t="shared" si="20"/>
        <v>1913.0434782608695</v>
      </c>
      <c r="N24" s="17">
        <f t="shared" si="3"/>
        <v>136.64596273291926</v>
      </c>
      <c r="O24" s="19">
        <f t="shared" si="4"/>
        <v>0</v>
      </c>
      <c r="P24" s="20">
        <f t="shared" si="5"/>
        <v>-6.2111801242236027</v>
      </c>
      <c r="Q24" s="415">
        <f t="shared" si="6"/>
        <v>0.95652173913043481</v>
      </c>
      <c r="R24" s="489"/>
      <c r="S24" s="40">
        <v>0.23125000000000001</v>
      </c>
      <c r="T24" s="40">
        <v>0.27916666666666667</v>
      </c>
      <c r="U24" s="412">
        <f t="shared" ref="U24:U29" si="22">IF(S24=TIME(17,0,0),"",(S24-T23)*24*60)</f>
        <v>4.9999999999999822</v>
      </c>
      <c r="V24" s="422">
        <f t="shared" si="21"/>
        <v>69</v>
      </c>
      <c r="W24" s="23"/>
      <c r="X24" s="412"/>
      <c r="Y24" s="412"/>
      <c r="Z24" s="412"/>
      <c r="AA24" s="491"/>
      <c r="AB24" s="491"/>
      <c r="AC24" s="154"/>
      <c r="AD24" s="25"/>
      <c r="AE24" s="19">
        <f t="shared" si="8"/>
        <v>-86.956521739130494</v>
      </c>
      <c r="AF24" s="415">
        <f t="shared" si="9"/>
        <v>0.9565217391304347</v>
      </c>
      <c r="AG24" s="489"/>
    </row>
    <row r="25" spans="1:33" ht="15.75" customHeight="1">
      <c r="A25" s="520" t="s">
        <v>2676</v>
      </c>
      <c r="B25" s="42" t="s">
        <v>103</v>
      </c>
      <c r="C25" s="515" t="s">
        <v>138</v>
      </c>
      <c r="D25" s="515"/>
      <c r="E25" s="42">
        <v>53.68</v>
      </c>
      <c r="F25" s="423">
        <v>1353</v>
      </c>
      <c r="G25" s="412">
        <f t="shared" si="19"/>
        <v>72629.039999999994</v>
      </c>
      <c r="H25" s="425" t="s">
        <v>79</v>
      </c>
      <c r="I25" s="421">
        <v>16</v>
      </c>
      <c r="J25" s="37">
        <v>2000</v>
      </c>
      <c r="K25" s="17">
        <f t="shared" si="1"/>
        <v>125</v>
      </c>
      <c r="L25" s="421">
        <v>16</v>
      </c>
      <c r="M25" s="18">
        <f t="shared" si="20"/>
        <v>1932.857142857142</v>
      </c>
      <c r="N25" s="17">
        <f t="shared" si="3"/>
        <v>120.80357142857137</v>
      </c>
      <c r="O25" s="19">
        <f t="shared" si="4"/>
        <v>0</v>
      </c>
      <c r="P25" s="20">
        <f t="shared" si="5"/>
        <v>-4.1964285714286262</v>
      </c>
      <c r="Q25" s="415">
        <f t="shared" si="6"/>
        <v>0.96642857142857097</v>
      </c>
      <c r="R25" s="489"/>
      <c r="S25" s="40">
        <v>0.28333333333333333</v>
      </c>
      <c r="T25" s="40">
        <v>0.3125</v>
      </c>
      <c r="U25" s="412">
        <f t="shared" si="22"/>
        <v>5.9999999999999787</v>
      </c>
      <c r="V25" s="422">
        <f t="shared" si="21"/>
        <v>42.000000000000014</v>
      </c>
      <c r="W25" s="23"/>
      <c r="X25" s="412"/>
      <c r="Y25" s="412"/>
      <c r="Z25" s="412"/>
      <c r="AA25" s="491"/>
      <c r="AB25" s="491"/>
      <c r="AC25" s="154"/>
      <c r="AD25" s="25"/>
      <c r="AE25" s="19">
        <f t="shared" si="8"/>
        <v>-67.14285714285802</v>
      </c>
      <c r="AF25" s="415">
        <f t="shared" si="9"/>
        <v>0.96642857142857097</v>
      </c>
      <c r="AG25" s="489"/>
    </row>
    <row r="26" spans="1:33" ht="15.75" customHeight="1">
      <c r="A26" s="520" t="s">
        <v>739</v>
      </c>
      <c r="B26" s="42" t="s">
        <v>103</v>
      </c>
      <c r="C26" s="515" t="s">
        <v>140</v>
      </c>
      <c r="D26" s="515"/>
      <c r="E26" s="42">
        <v>50.49</v>
      </c>
      <c r="F26" s="423">
        <v>1886</v>
      </c>
      <c r="G26" s="412">
        <f t="shared" si="19"/>
        <v>95224.14</v>
      </c>
      <c r="H26" s="425" t="s">
        <v>79</v>
      </c>
      <c r="I26" s="421">
        <v>15</v>
      </c>
      <c r="J26" s="37">
        <v>2000</v>
      </c>
      <c r="K26" s="17">
        <f t="shared" si="1"/>
        <v>133.33333333333334</v>
      </c>
      <c r="L26" s="421">
        <v>15</v>
      </c>
      <c r="M26" s="18">
        <f t="shared" si="20"/>
        <v>1917.9661016949169</v>
      </c>
      <c r="N26" s="17">
        <f t="shared" si="3"/>
        <v>127.86440677966112</v>
      </c>
      <c r="O26" s="19">
        <f t="shared" si="4"/>
        <v>0</v>
      </c>
      <c r="P26" s="20">
        <f t="shared" si="5"/>
        <v>-5.4689265536722189</v>
      </c>
      <c r="Q26" s="415">
        <f t="shared" si="6"/>
        <v>0.95898305084745838</v>
      </c>
      <c r="R26" s="489"/>
      <c r="S26" s="40">
        <v>0.70833333333333337</v>
      </c>
      <c r="T26" s="40">
        <v>0.74930555555555556</v>
      </c>
      <c r="U26" s="412" t="str">
        <f t="shared" si="22"/>
        <v/>
      </c>
      <c r="V26" s="422">
        <f t="shared" si="21"/>
        <v>58.99999999999995</v>
      </c>
      <c r="W26" s="23"/>
      <c r="X26" s="412"/>
      <c r="Y26" s="412"/>
      <c r="Z26" s="412"/>
      <c r="AA26" s="491"/>
      <c r="AB26" s="491"/>
      <c r="AC26" s="154"/>
      <c r="AD26" s="25"/>
      <c r="AE26" s="19">
        <f t="shared" si="8"/>
        <v>-82.033898305083085</v>
      </c>
      <c r="AF26" s="415">
        <f t="shared" si="9"/>
        <v>0.9589830508474585</v>
      </c>
      <c r="AG26" s="489"/>
    </row>
    <row r="27" spans="1:33" ht="15.75" customHeight="1">
      <c r="A27" s="520" t="s">
        <v>2676</v>
      </c>
      <c r="B27" s="42" t="s">
        <v>103</v>
      </c>
      <c r="C27" s="515" t="s">
        <v>516</v>
      </c>
      <c r="D27" s="515"/>
      <c r="E27" s="42">
        <v>50.67</v>
      </c>
      <c r="F27" s="423">
        <v>943</v>
      </c>
      <c r="G27" s="412">
        <f t="shared" si="19"/>
        <v>47781.810000000005</v>
      </c>
      <c r="H27" s="425" t="s">
        <v>79</v>
      </c>
      <c r="I27" s="421">
        <v>16</v>
      </c>
      <c r="J27" s="37">
        <v>2000</v>
      </c>
      <c r="K27" s="17">
        <f t="shared" si="1"/>
        <v>125</v>
      </c>
      <c r="L27" s="421">
        <v>16</v>
      </c>
      <c r="M27" s="18">
        <f t="shared" si="20"/>
        <v>1951.0344827586166</v>
      </c>
      <c r="N27" s="17">
        <f t="shared" si="3"/>
        <v>121.93965517241354</v>
      </c>
      <c r="O27" s="19">
        <f t="shared" si="4"/>
        <v>0</v>
      </c>
      <c r="P27" s="20">
        <f t="shared" si="5"/>
        <v>-3.0603448275864622</v>
      </c>
      <c r="Q27" s="415">
        <f t="shared" si="6"/>
        <v>0.97551724137930829</v>
      </c>
      <c r="R27" s="489"/>
      <c r="S27" s="40">
        <v>0.75486111111111109</v>
      </c>
      <c r="T27" s="40">
        <v>0.77500000000000002</v>
      </c>
      <c r="U27" s="412">
        <f t="shared" si="22"/>
        <v>7.9999999999999716</v>
      </c>
      <c r="V27" s="422">
        <f t="shared" si="21"/>
        <v>29.000000000000057</v>
      </c>
      <c r="W27" s="23"/>
      <c r="X27" s="412"/>
      <c r="Y27" s="412"/>
      <c r="Z27" s="412"/>
      <c r="AA27" s="491"/>
      <c r="AB27" s="491"/>
      <c r="AC27" s="154"/>
      <c r="AD27" s="25"/>
      <c r="AE27" s="19">
        <f t="shared" si="8"/>
        <v>-48.965517241383395</v>
      </c>
      <c r="AF27" s="415">
        <f t="shared" si="9"/>
        <v>0.97551724137930829</v>
      </c>
      <c r="AG27" s="489"/>
    </row>
    <row r="28" spans="1:33" ht="15.75" customHeight="1">
      <c r="A28" s="520" t="s">
        <v>739</v>
      </c>
      <c r="B28" s="42" t="s">
        <v>103</v>
      </c>
      <c r="C28" s="515" t="s">
        <v>142</v>
      </c>
      <c r="D28" s="515"/>
      <c r="E28" s="42">
        <v>53.68</v>
      </c>
      <c r="F28" s="423">
        <v>1994</v>
      </c>
      <c r="G28" s="412">
        <f t="shared" si="19"/>
        <v>107037.92</v>
      </c>
      <c r="H28" s="425" t="s">
        <v>79</v>
      </c>
      <c r="I28" s="421">
        <v>16</v>
      </c>
      <c r="J28" s="37">
        <v>1500</v>
      </c>
      <c r="K28" s="17">
        <f t="shared" si="1"/>
        <v>93.75</v>
      </c>
      <c r="L28" s="421">
        <v>16</v>
      </c>
      <c r="M28" s="18">
        <f t="shared" si="20"/>
        <v>1441.4457831325296</v>
      </c>
      <c r="N28" s="17">
        <f t="shared" si="3"/>
        <v>90.090361445783103</v>
      </c>
      <c r="O28" s="19">
        <f t="shared" si="4"/>
        <v>0</v>
      </c>
      <c r="P28" s="20">
        <f t="shared" si="5"/>
        <v>-3.6596385542168974</v>
      </c>
      <c r="Q28" s="415">
        <f t="shared" si="6"/>
        <v>0.96096385542168639</v>
      </c>
      <c r="R28" s="489"/>
      <c r="S28" s="40">
        <v>0.77847222222222223</v>
      </c>
      <c r="T28" s="40">
        <v>0.83611111111111114</v>
      </c>
      <c r="U28" s="412">
        <f t="shared" si="22"/>
        <v>4.9999999999999822</v>
      </c>
      <c r="V28" s="422">
        <f t="shared" si="21"/>
        <v>83.000000000000028</v>
      </c>
      <c r="W28" s="23">
        <f>T28</f>
        <v>0.83611111111111114</v>
      </c>
      <c r="X28" s="23">
        <f>S29</f>
        <v>0.87569444444444444</v>
      </c>
      <c r="Y28" s="28"/>
      <c r="Z28" s="28"/>
      <c r="AA28" s="491"/>
      <c r="AB28" s="491"/>
      <c r="AC28" s="154"/>
      <c r="AD28" s="25"/>
      <c r="AE28" s="19">
        <f t="shared" si="8"/>
        <v>-58.554216867470359</v>
      </c>
      <c r="AF28" s="415">
        <f t="shared" si="9"/>
        <v>0.96096385542168639</v>
      </c>
      <c r="AG28" s="489"/>
    </row>
    <row r="29" spans="1:33" ht="15.75" customHeight="1">
      <c r="A29" s="520" t="s">
        <v>2676</v>
      </c>
      <c r="B29" s="42" t="s">
        <v>103</v>
      </c>
      <c r="C29" s="515" t="s">
        <v>123</v>
      </c>
      <c r="D29" s="515"/>
      <c r="E29" s="42">
        <v>50.98</v>
      </c>
      <c r="F29" s="423">
        <v>1311</v>
      </c>
      <c r="G29" s="412">
        <f t="shared" si="19"/>
        <v>66834.78</v>
      </c>
      <c r="H29" s="425" t="s">
        <v>79</v>
      </c>
      <c r="I29" s="421">
        <v>16</v>
      </c>
      <c r="J29" s="37">
        <v>2000</v>
      </c>
      <c r="K29" s="17">
        <f t="shared" si="1"/>
        <v>125</v>
      </c>
      <c r="L29" s="421">
        <v>16</v>
      </c>
      <c r="M29" s="18">
        <f t="shared" si="20"/>
        <v>1918.5365853658532</v>
      </c>
      <c r="N29" s="17">
        <f t="shared" si="3"/>
        <v>119.90853658536582</v>
      </c>
      <c r="O29" s="19">
        <f t="shared" si="4"/>
        <v>0</v>
      </c>
      <c r="P29" s="20">
        <f t="shared" si="5"/>
        <v>-5.0914634146341768</v>
      </c>
      <c r="Q29" s="415">
        <f t="shared" si="6"/>
        <v>0.95926829268292657</v>
      </c>
      <c r="R29" s="489"/>
      <c r="S29" s="40">
        <v>0.87569444444444444</v>
      </c>
      <c r="T29" s="40">
        <v>0.90416666666666667</v>
      </c>
      <c r="U29" s="412">
        <f t="shared" si="22"/>
        <v>56.999999999999957</v>
      </c>
      <c r="V29" s="422">
        <f t="shared" si="21"/>
        <v>41.000000000000014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-81.463414634146829</v>
      </c>
      <c r="AF29" s="415">
        <f t="shared" si="9"/>
        <v>0.95926829268292657</v>
      </c>
      <c r="AG29" s="489"/>
    </row>
    <row r="30" spans="1:33" ht="15.75" customHeight="1">
      <c r="A30" s="520" t="s">
        <v>2676</v>
      </c>
      <c r="B30" s="42" t="s">
        <v>737</v>
      </c>
      <c r="C30" s="494"/>
      <c r="D30" s="494"/>
      <c r="E30" s="416"/>
      <c r="F30" s="423"/>
      <c r="G30" s="412"/>
      <c r="H30" s="423"/>
      <c r="I30" s="30">
        <v>15.714285714285714</v>
      </c>
      <c r="J30" s="37">
        <v>1928.5714285714287</v>
      </c>
      <c r="K30" s="17">
        <f t="shared" si="1"/>
        <v>122.72727272727273</v>
      </c>
      <c r="L30" s="30">
        <v>15.714285714285714</v>
      </c>
      <c r="M30" s="18">
        <f>AVERAGE(M23:M29)</f>
        <v>1860.6976534385608</v>
      </c>
      <c r="N30" s="17">
        <f t="shared" si="3"/>
        <v>118.40803249154479</v>
      </c>
      <c r="O30" s="19">
        <f t="shared" si="4"/>
        <v>0</v>
      </c>
      <c r="P30" s="20">
        <f t="shared" si="5"/>
        <v>-4.3192402357279462</v>
      </c>
      <c r="Q30" s="415">
        <f t="shared" si="6"/>
        <v>0.96480619067184636</v>
      </c>
      <c r="R30" s="489"/>
      <c r="S30" s="40"/>
      <c r="T30" s="40"/>
      <c r="U30" s="17"/>
      <c r="V30" s="422"/>
      <c r="W30" s="17"/>
      <c r="X30" s="17"/>
      <c r="Y30" s="31">
        <f>SUM(Y23:Y29)</f>
        <v>0</v>
      </c>
      <c r="Z30" s="31">
        <f>SUM(Z23:Z29)</f>
        <v>0</v>
      </c>
      <c r="AA30" s="495"/>
      <c r="AB30" s="495"/>
      <c r="AC30" s="31">
        <v>3</v>
      </c>
      <c r="AD30" s="31">
        <f>SUM(AD23:AD29)</f>
        <v>0</v>
      </c>
      <c r="AE30" s="19">
        <f t="shared" si="8"/>
        <v>-67.873775132867877</v>
      </c>
      <c r="AF30" s="415">
        <f t="shared" si="9"/>
        <v>0.96480619067184625</v>
      </c>
      <c r="AG30" s="489"/>
    </row>
    <row r="31" spans="1:33" ht="15.75" customHeight="1">
      <c r="A31" s="518" t="s">
        <v>2677</v>
      </c>
      <c r="B31" s="42" t="s">
        <v>80</v>
      </c>
      <c r="C31" s="515" t="s">
        <v>81</v>
      </c>
      <c r="D31" s="515"/>
      <c r="E31" s="42">
        <v>31.29</v>
      </c>
      <c r="F31" s="423">
        <v>6933</v>
      </c>
      <c r="G31" s="412">
        <f t="shared" ref="G31:G36" si="23">E31*F31</f>
        <v>216933.57</v>
      </c>
      <c r="H31" s="425" t="s">
        <v>79</v>
      </c>
      <c r="I31" s="421">
        <v>18</v>
      </c>
      <c r="J31" s="37">
        <v>2400</v>
      </c>
      <c r="K31" s="17">
        <f t="shared" si="1"/>
        <v>133.33333333333334</v>
      </c>
      <c r="L31" s="421">
        <v>18</v>
      </c>
      <c r="M31" s="18">
        <f t="shared" ref="M31:M36" si="24">F31/V31*60</f>
        <v>2285.6043956043954</v>
      </c>
      <c r="N31" s="17">
        <f t="shared" si="3"/>
        <v>126.97802197802197</v>
      </c>
      <c r="O31" s="19">
        <f t="shared" si="4"/>
        <v>0</v>
      </c>
      <c r="P31" s="20">
        <f t="shared" si="5"/>
        <v>-6.3553113553113718</v>
      </c>
      <c r="Q31" s="415">
        <f t="shared" si="6"/>
        <v>0.95233516483516467</v>
      </c>
      <c r="R31" s="489">
        <f>Q37</f>
        <v>0.95870595816224313</v>
      </c>
      <c r="S31" s="40">
        <v>0.125</v>
      </c>
      <c r="T31" s="40">
        <v>0.25138888888888888</v>
      </c>
      <c r="U31" s="412"/>
      <c r="V31" s="422">
        <f t="shared" ref="V31:V36" si="25">(T31-S31)*24*60</f>
        <v>182</v>
      </c>
      <c r="W31" s="23">
        <f>T31</f>
        <v>0.25138888888888888</v>
      </c>
      <c r="X31" s="23">
        <f>S32</f>
        <v>0.26944444444444443</v>
      </c>
      <c r="Y31" s="23"/>
      <c r="Z31" s="23"/>
      <c r="AA31" s="491"/>
      <c r="AB31" s="491"/>
      <c r="AC31" s="154">
        <v>6</v>
      </c>
      <c r="AD31" s="25"/>
      <c r="AE31" s="19">
        <f t="shared" si="8"/>
        <v>-114.39560439560455</v>
      </c>
      <c r="AF31" s="415">
        <f t="shared" si="9"/>
        <v>0.95233516483516478</v>
      </c>
      <c r="AG31" s="489">
        <f>AF37</f>
        <v>0.95870595816224313</v>
      </c>
    </row>
    <row r="32" spans="1:33" ht="15.75" customHeight="1">
      <c r="A32" s="518" t="s">
        <v>2677</v>
      </c>
      <c r="B32" s="42" t="s">
        <v>80</v>
      </c>
      <c r="C32" s="515" t="s">
        <v>82</v>
      </c>
      <c r="D32" s="515"/>
      <c r="E32" s="42">
        <v>26.2</v>
      </c>
      <c r="F32" s="423">
        <v>3667</v>
      </c>
      <c r="G32" s="412">
        <f t="shared" si="23"/>
        <v>96075.4</v>
      </c>
      <c r="H32" s="425" t="s">
        <v>79</v>
      </c>
      <c r="I32" s="421">
        <v>20</v>
      </c>
      <c r="J32" s="37">
        <v>2400</v>
      </c>
      <c r="K32" s="17">
        <f t="shared" si="1"/>
        <v>120</v>
      </c>
      <c r="L32" s="421">
        <v>20</v>
      </c>
      <c r="M32" s="18">
        <f t="shared" si="24"/>
        <v>2291.8750000000009</v>
      </c>
      <c r="N32" s="17">
        <f t="shared" si="3"/>
        <v>114.59375000000004</v>
      </c>
      <c r="O32" s="19">
        <f t="shared" si="4"/>
        <v>0</v>
      </c>
      <c r="P32" s="20">
        <f t="shared" si="5"/>
        <v>-5.4062499999999574</v>
      </c>
      <c r="Q32" s="415">
        <f t="shared" si="6"/>
        <v>0.95494791666666701</v>
      </c>
      <c r="R32" s="489"/>
      <c r="S32" s="40">
        <v>0.26944444444444443</v>
      </c>
      <c r="T32" s="40">
        <v>0.33611111111111108</v>
      </c>
      <c r="U32" s="412">
        <f t="shared" ref="U32:U36" si="26">(S32-T31)*24*60</f>
        <v>25.999999999999986</v>
      </c>
      <c r="V32" s="422">
        <f t="shared" si="25"/>
        <v>95.999999999999972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-108.12499999999909</v>
      </c>
      <c r="AF32" s="415">
        <f t="shared" si="9"/>
        <v>0.95494791666666701</v>
      </c>
      <c r="AG32" s="489"/>
    </row>
    <row r="33" spans="1:33" ht="15.75" customHeight="1">
      <c r="A33" s="518" t="s">
        <v>2677</v>
      </c>
      <c r="B33" s="42" t="s">
        <v>80</v>
      </c>
      <c r="C33" s="515" t="s">
        <v>83</v>
      </c>
      <c r="D33" s="515"/>
      <c r="E33" s="42">
        <v>25.99</v>
      </c>
      <c r="F33" s="423">
        <v>3081</v>
      </c>
      <c r="G33" s="412">
        <f t="shared" si="23"/>
        <v>80075.19</v>
      </c>
      <c r="H33" s="425" t="s">
        <v>79</v>
      </c>
      <c r="I33" s="421">
        <v>14</v>
      </c>
      <c r="J33" s="37">
        <v>2400</v>
      </c>
      <c r="K33" s="17">
        <f t="shared" si="1"/>
        <v>171.42857142857142</v>
      </c>
      <c r="L33" s="421">
        <v>14</v>
      </c>
      <c r="M33" s="18">
        <f t="shared" si="24"/>
        <v>2282.2222222222213</v>
      </c>
      <c r="N33" s="17">
        <f t="shared" si="3"/>
        <v>163.01587301587296</v>
      </c>
      <c r="O33" s="19">
        <f t="shared" si="4"/>
        <v>0</v>
      </c>
      <c r="P33" s="20">
        <f t="shared" si="5"/>
        <v>-8.412698412698461</v>
      </c>
      <c r="Q33" s="415">
        <f t="shared" si="6"/>
        <v>0.95092592592592562</v>
      </c>
      <c r="R33" s="489"/>
      <c r="S33" s="40">
        <v>0.34166666666666662</v>
      </c>
      <c r="T33" s="40">
        <v>0.39791666666666664</v>
      </c>
      <c r="U33" s="412">
        <f t="shared" si="26"/>
        <v>7.9999999999999716</v>
      </c>
      <c r="V33" s="422">
        <f t="shared" si="25"/>
        <v>81.000000000000028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-117.77777777777874</v>
      </c>
      <c r="AF33" s="415">
        <f t="shared" si="9"/>
        <v>0.95092592592592551</v>
      </c>
      <c r="AG33" s="489"/>
    </row>
    <row r="34" spans="1:33" ht="15.75" customHeight="1">
      <c r="A34" s="518" t="s">
        <v>2677</v>
      </c>
      <c r="B34" s="42" t="s">
        <v>80</v>
      </c>
      <c r="C34" s="515" t="s">
        <v>84</v>
      </c>
      <c r="D34" s="515"/>
      <c r="E34" s="42">
        <v>20.52</v>
      </c>
      <c r="F34" s="423">
        <v>2899</v>
      </c>
      <c r="G34" s="412">
        <f t="shared" si="23"/>
        <v>59487.479999999996</v>
      </c>
      <c r="H34" s="425" t="s">
        <v>79</v>
      </c>
      <c r="I34" s="421">
        <v>18</v>
      </c>
      <c r="J34" s="37">
        <v>2400</v>
      </c>
      <c r="K34" s="17">
        <f t="shared" si="1"/>
        <v>133.33333333333334</v>
      </c>
      <c r="L34" s="421">
        <v>18</v>
      </c>
      <c r="M34" s="18">
        <f t="shared" si="24"/>
        <v>2288.6842105263163</v>
      </c>
      <c r="N34" s="17">
        <f t="shared" si="3"/>
        <v>127.14912280701758</v>
      </c>
      <c r="O34" s="19">
        <f t="shared" si="4"/>
        <v>0</v>
      </c>
      <c r="P34" s="20">
        <f t="shared" si="5"/>
        <v>-6.1842105263157663</v>
      </c>
      <c r="Q34" s="415">
        <f t="shared" si="6"/>
        <v>0.95361842105263173</v>
      </c>
      <c r="R34" s="489"/>
      <c r="S34" s="40">
        <v>0.40277777777777773</v>
      </c>
      <c r="T34" s="40">
        <v>0.45555555555555549</v>
      </c>
      <c r="U34" s="412">
        <f t="shared" si="26"/>
        <v>6.9999999999999751</v>
      </c>
      <c r="V34" s="422">
        <f t="shared" si="25"/>
        <v>75.999999999999972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-111.31578947368371</v>
      </c>
      <c r="AF34" s="415">
        <f t="shared" si="9"/>
        <v>0.95361842105263184</v>
      </c>
      <c r="AG34" s="489"/>
    </row>
    <row r="35" spans="1:33" ht="15.75" customHeight="1">
      <c r="A35" s="518" t="s">
        <v>787</v>
      </c>
      <c r="B35" s="42" t="s">
        <v>80</v>
      </c>
      <c r="C35" s="515" t="s">
        <v>85</v>
      </c>
      <c r="D35" s="515"/>
      <c r="E35" s="42">
        <v>25.98</v>
      </c>
      <c r="F35" s="423">
        <v>2273</v>
      </c>
      <c r="G35" s="412">
        <f t="shared" si="23"/>
        <v>59052.54</v>
      </c>
      <c r="H35" s="425" t="s">
        <v>79</v>
      </c>
      <c r="I35" s="421">
        <v>21</v>
      </c>
      <c r="J35" s="37">
        <v>2400</v>
      </c>
      <c r="K35" s="17">
        <f t="shared" si="1"/>
        <v>114.28571428571429</v>
      </c>
      <c r="L35" s="421">
        <v>21</v>
      </c>
      <c r="M35" s="18">
        <f t="shared" si="24"/>
        <v>2311.5254237288154</v>
      </c>
      <c r="N35" s="17">
        <f t="shared" si="3"/>
        <v>110.07263922518169</v>
      </c>
      <c r="O35" s="19">
        <f t="shared" si="4"/>
        <v>0</v>
      </c>
      <c r="P35" s="20">
        <f t="shared" si="5"/>
        <v>-4.2130750605326028</v>
      </c>
      <c r="Q35" s="415">
        <f t="shared" si="6"/>
        <v>0.9631355932203397</v>
      </c>
      <c r="R35" s="489"/>
      <c r="S35" s="40">
        <v>0.45972222222222214</v>
      </c>
      <c r="T35" s="40">
        <v>0.50069444444444433</v>
      </c>
      <c r="U35" s="412">
        <f t="shared" si="26"/>
        <v>5.9999999999999787</v>
      </c>
      <c r="V35" s="422">
        <f t="shared" si="25"/>
        <v>58.99999999999995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-88.47457627118456</v>
      </c>
      <c r="AF35" s="415">
        <f t="shared" si="9"/>
        <v>0.96313559322033981</v>
      </c>
      <c r="AG35" s="489"/>
    </row>
    <row r="36" spans="1:33" ht="15.75" customHeight="1">
      <c r="A36" s="518" t="s">
        <v>2677</v>
      </c>
      <c r="B36" s="42" t="s">
        <v>80</v>
      </c>
      <c r="C36" s="515" t="s">
        <v>90</v>
      </c>
      <c r="D36" s="515"/>
      <c r="E36" s="42">
        <v>22.69</v>
      </c>
      <c r="F36" s="423">
        <v>860</v>
      </c>
      <c r="G36" s="412">
        <f t="shared" si="23"/>
        <v>19513.400000000001</v>
      </c>
      <c r="H36" s="425" t="s">
        <v>79</v>
      </c>
      <c r="I36" s="421">
        <v>15</v>
      </c>
      <c r="J36" s="37">
        <v>2400</v>
      </c>
      <c r="K36" s="17">
        <f t="shared" si="1"/>
        <v>160</v>
      </c>
      <c r="L36" s="421">
        <v>15</v>
      </c>
      <c r="M36" s="18">
        <f t="shared" si="24"/>
        <v>2345.4545454545537</v>
      </c>
      <c r="N36" s="17">
        <f t="shared" si="3"/>
        <v>156.36363636363691</v>
      </c>
      <c r="O36" s="19">
        <f t="shared" si="4"/>
        <v>0</v>
      </c>
      <c r="P36" s="20">
        <f t="shared" si="5"/>
        <v>-3.636363636363086</v>
      </c>
      <c r="Q36" s="415">
        <f t="shared" si="6"/>
        <v>0.97727272727273073</v>
      </c>
      <c r="R36" s="489"/>
      <c r="S36" s="40">
        <v>0.50486111111111098</v>
      </c>
      <c r="T36" s="40">
        <v>0.52013888888888871</v>
      </c>
      <c r="U36" s="412">
        <f t="shared" si="26"/>
        <v>5.9999999999999787</v>
      </c>
      <c r="V36" s="422">
        <f t="shared" si="25"/>
        <v>21.999999999999922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-54.545454545446319</v>
      </c>
      <c r="AF36" s="415">
        <f t="shared" si="9"/>
        <v>0.97727272727273073</v>
      </c>
      <c r="AG36" s="489"/>
    </row>
    <row r="37" spans="1:33" ht="15.75" customHeight="1">
      <c r="A37" s="518" t="s">
        <v>2677</v>
      </c>
      <c r="B37" s="42" t="s">
        <v>2673</v>
      </c>
      <c r="C37" s="494"/>
      <c r="D37" s="494"/>
      <c r="E37" s="416"/>
      <c r="F37" s="423"/>
      <c r="G37" s="412"/>
      <c r="H37" s="423"/>
      <c r="I37" s="30">
        <v>17.666666666666668</v>
      </c>
      <c r="J37" s="37">
        <v>2400</v>
      </c>
      <c r="K37" s="17">
        <f t="shared" si="1"/>
        <v>135.84905660377356</v>
      </c>
      <c r="L37" s="30">
        <v>17.666666666666668</v>
      </c>
      <c r="M37" s="18">
        <f>AVERAGE(M31:M36)</f>
        <v>2300.8942995893835</v>
      </c>
      <c r="N37" s="17">
        <f t="shared" si="3"/>
        <v>130.23929997675754</v>
      </c>
      <c r="O37" s="19">
        <f t="shared" si="4"/>
        <v>0</v>
      </c>
      <c r="P37" s="20">
        <f t="shared" si="5"/>
        <v>-5.6097566270160257</v>
      </c>
      <c r="Q37" s="415">
        <f t="shared" si="6"/>
        <v>0.95870595816224313</v>
      </c>
      <c r="R37" s="489"/>
      <c r="S37" s="40"/>
      <c r="T37" s="40"/>
      <c r="U37" s="412"/>
      <c r="V37" s="422"/>
      <c r="W37" s="412"/>
      <c r="X37" s="412"/>
      <c r="Y37" s="31">
        <f>SUM(Y31:Y36)</f>
        <v>0</v>
      </c>
      <c r="Z37" s="31">
        <f>SUM(Z31:Z36)</f>
        <v>0</v>
      </c>
      <c r="AA37" s="495"/>
      <c r="AB37" s="495"/>
      <c r="AC37" s="31">
        <v>6</v>
      </c>
      <c r="AD37" s="31">
        <f>SUM(AD31:AD36)</f>
        <v>0</v>
      </c>
      <c r="AE37" s="19">
        <f t="shared" si="8"/>
        <v>-99.105700410616464</v>
      </c>
      <c r="AF37" s="415">
        <f t="shared" si="9"/>
        <v>0.95870595816224313</v>
      </c>
      <c r="AG37" s="489"/>
    </row>
    <row r="38" spans="1:33" ht="15.75" customHeight="1">
      <c r="A38" s="516" t="s">
        <v>2678</v>
      </c>
      <c r="B38" s="42" t="s">
        <v>80</v>
      </c>
      <c r="C38" s="490" t="s">
        <v>87</v>
      </c>
      <c r="D38" s="490"/>
      <c r="E38" s="42">
        <v>26.2</v>
      </c>
      <c r="F38" s="423">
        <v>4861</v>
      </c>
      <c r="G38" s="412">
        <f t="shared" ref="G38:G42" si="27">E38*F38</f>
        <v>127358.2</v>
      </c>
      <c r="H38" s="425" t="s">
        <v>79</v>
      </c>
      <c r="I38" s="421">
        <v>18</v>
      </c>
      <c r="J38" s="37">
        <v>2400</v>
      </c>
      <c r="K38" s="17">
        <f t="shared" si="1"/>
        <v>133.33333333333334</v>
      </c>
      <c r="L38" s="421">
        <v>18</v>
      </c>
      <c r="M38" s="18">
        <f t="shared" ref="M38:M42" si="28">F38/V38*60</f>
        <v>2296.535433070866</v>
      </c>
      <c r="N38" s="17">
        <f t="shared" si="3"/>
        <v>127.58530183727034</v>
      </c>
      <c r="O38" s="19">
        <f t="shared" si="4"/>
        <v>0</v>
      </c>
      <c r="P38" s="20">
        <f t="shared" si="5"/>
        <v>-5.7480314960630068</v>
      </c>
      <c r="Q38" s="415">
        <f t="shared" si="6"/>
        <v>0.9568897637795275</v>
      </c>
      <c r="R38" s="489">
        <f>Q43</f>
        <v>0.95585176423278162</v>
      </c>
      <c r="S38" s="40">
        <v>0.125</v>
      </c>
      <c r="T38" s="40">
        <v>0.21319444444444446</v>
      </c>
      <c r="U38" s="412"/>
      <c r="V38" s="422">
        <f t="shared" ref="V38:V42" si="29">(T38-S38)*24*60</f>
        <v>127.00000000000003</v>
      </c>
      <c r="W38" s="28">
        <f>T38</f>
        <v>0.21319444444444446</v>
      </c>
      <c r="X38" s="28">
        <f>S39</f>
        <v>0.2326388888888889</v>
      </c>
      <c r="Y38" s="28"/>
      <c r="Z38" s="28"/>
      <c r="AA38" s="491"/>
      <c r="AB38" s="491"/>
      <c r="AC38" s="154">
        <v>6</v>
      </c>
      <c r="AD38" s="25"/>
      <c r="AE38" s="19">
        <f t="shared" si="8"/>
        <v>-103.46456692913398</v>
      </c>
      <c r="AF38" s="415">
        <f t="shared" si="9"/>
        <v>0.9568897637795275</v>
      </c>
      <c r="AG38" s="489">
        <f>AF43</f>
        <v>0.95585176423278162</v>
      </c>
    </row>
    <row r="39" spans="1:33" ht="15.75" customHeight="1">
      <c r="A39" s="516" t="s">
        <v>2678</v>
      </c>
      <c r="B39" s="42" t="s">
        <v>80</v>
      </c>
      <c r="C39" s="490" t="s">
        <v>88</v>
      </c>
      <c r="D39" s="490"/>
      <c r="E39" s="42">
        <v>26.18</v>
      </c>
      <c r="F39" s="423">
        <v>1499</v>
      </c>
      <c r="G39" s="412">
        <f t="shared" si="27"/>
        <v>39243.82</v>
      </c>
      <c r="H39" s="425" t="s">
        <v>79</v>
      </c>
      <c r="I39" s="421">
        <v>19</v>
      </c>
      <c r="J39" s="37">
        <v>2400</v>
      </c>
      <c r="K39" s="17">
        <f t="shared" si="1"/>
        <v>126.31578947368421</v>
      </c>
      <c r="L39" s="421">
        <v>19</v>
      </c>
      <c r="M39" s="18">
        <f t="shared" si="28"/>
        <v>2306.1538461538448</v>
      </c>
      <c r="N39" s="17">
        <f t="shared" si="3"/>
        <v>121.37651821862342</v>
      </c>
      <c r="O39" s="19">
        <f t="shared" si="4"/>
        <v>0</v>
      </c>
      <c r="P39" s="20">
        <f t="shared" si="5"/>
        <v>-4.9392712550607882</v>
      </c>
      <c r="Q39" s="415">
        <f t="shared" si="6"/>
        <v>0.96089743589743537</v>
      </c>
      <c r="R39" s="489"/>
      <c r="S39" s="40">
        <v>0.2326388888888889</v>
      </c>
      <c r="T39" s="40">
        <v>0.25972222222222224</v>
      </c>
      <c r="U39" s="412">
        <f t="shared" ref="U39:U42" si="30">(S39-T38)*24*60</f>
        <v>27.999999999999979</v>
      </c>
      <c r="V39" s="422">
        <f t="shared" si="29"/>
        <v>39.000000000000021</v>
      </c>
      <c r="W39" s="412"/>
      <c r="X39" s="412"/>
      <c r="Y39" s="412"/>
      <c r="Z39" s="412"/>
      <c r="AA39" s="491"/>
      <c r="AB39" s="491"/>
      <c r="AC39" s="154"/>
      <c r="AD39" s="25"/>
      <c r="AE39" s="19">
        <f t="shared" si="8"/>
        <v>-93.846153846155175</v>
      </c>
      <c r="AF39" s="415">
        <f t="shared" si="9"/>
        <v>0.96089743589743537</v>
      </c>
      <c r="AG39" s="489"/>
    </row>
    <row r="40" spans="1:33">
      <c r="A40" s="517" t="s">
        <v>2678</v>
      </c>
      <c r="B40" s="42" t="s">
        <v>80</v>
      </c>
      <c r="C40" s="490" t="s">
        <v>89</v>
      </c>
      <c r="D40" s="490"/>
      <c r="E40" s="42">
        <v>26.39</v>
      </c>
      <c r="F40" s="423">
        <v>4436</v>
      </c>
      <c r="G40" s="412">
        <f t="shared" si="27"/>
        <v>117066.04000000001</v>
      </c>
      <c r="H40" s="425" t="s">
        <v>79</v>
      </c>
      <c r="I40" s="421">
        <v>19</v>
      </c>
      <c r="J40" s="37">
        <v>2400</v>
      </c>
      <c r="K40" s="17">
        <f t="shared" si="1"/>
        <v>126.31578947368421</v>
      </c>
      <c r="L40" s="421">
        <v>19</v>
      </c>
      <c r="M40" s="18">
        <f t="shared" si="28"/>
        <v>2294.4827586206898</v>
      </c>
      <c r="N40" s="17">
        <f t="shared" si="3"/>
        <v>120.76225045372051</v>
      </c>
      <c r="O40" s="19">
        <f t="shared" si="4"/>
        <v>0</v>
      </c>
      <c r="P40" s="20">
        <f t="shared" si="5"/>
        <v>-5.5535390199636936</v>
      </c>
      <c r="Q40" s="415">
        <f t="shared" si="6"/>
        <v>0.9560344827586208</v>
      </c>
      <c r="R40" s="489"/>
      <c r="S40" s="40">
        <v>0.26527777777777778</v>
      </c>
      <c r="T40" s="40">
        <v>0.34583333333333333</v>
      </c>
      <c r="U40" s="412">
        <f t="shared" si="30"/>
        <v>7.9999999999999716</v>
      </c>
      <c r="V40" s="422">
        <f t="shared" si="29"/>
        <v>115.99999999999999</v>
      </c>
      <c r="W40" s="412"/>
      <c r="X40" s="412"/>
      <c r="Y40" s="412"/>
      <c r="Z40" s="412"/>
      <c r="AA40" s="491"/>
      <c r="AB40" s="491"/>
      <c r="AC40" s="154"/>
      <c r="AD40" s="25"/>
      <c r="AE40" s="19">
        <f t="shared" si="8"/>
        <v>-105.51724137931024</v>
      </c>
      <c r="AF40" s="415">
        <f t="shared" si="9"/>
        <v>0.95603448275862069</v>
      </c>
      <c r="AG40" s="489"/>
    </row>
    <row r="41" spans="1:33">
      <c r="A41" s="517" t="s">
        <v>741</v>
      </c>
      <c r="B41" s="42" t="s">
        <v>80</v>
      </c>
      <c r="C41" s="490" t="s">
        <v>91</v>
      </c>
      <c r="D41" s="490"/>
      <c r="E41" s="42">
        <v>24.45</v>
      </c>
      <c r="F41" s="423">
        <v>1830</v>
      </c>
      <c r="G41" s="412">
        <f t="shared" si="27"/>
        <v>44743.5</v>
      </c>
      <c r="H41" s="425" t="s">
        <v>79</v>
      </c>
      <c r="I41" s="421">
        <v>20</v>
      </c>
      <c r="J41" s="37">
        <v>2400</v>
      </c>
      <c r="K41" s="17">
        <f t="shared" si="1"/>
        <v>120</v>
      </c>
      <c r="L41" s="421">
        <v>20</v>
      </c>
      <c r="M41" s="18">
        <f t="shared" si="28"/>
        <v>2287.5000000000009</v>
      </c>
      <c r="N41" s="17">
        <f t="shared" si="3"/>
        <v>114.37500000000004</v>
      </c>
      <c r="O41" s="19">
        <f t="shared" si="4"/>
        <v>0</v>
      </c>
      <c r="P41" s="20">
        <f t="shared" si="5"/>
        <v>-5.6249999999999574</v>
      </c>
      <c r="Q41" s="415">
        <f t="shared" si="6"/>
        <v>0.95312500000000033</v>
      </c>
      <c r="R41" s="489"/>
      <c r="S41" s="40">
        <v>0.35</v>
      </c>
      <c r="T41" s="40">
        <v>0.3833333333333333</v>
      </c>
      <c r="U41" s="412">
        <f t="shared" si="30"/>
        <v>5.9999999999999787</v>
      </c>
      <c r="V41" s="422">
        <f t="shared" si="29"/>
        <v>47.999999999999986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-112.49999999999909</v>
      </c>
      <c r="AF41" s="415">
        <f t="shared" si="9"/>
        <v>0.95312500000000033</v>
      </c>
      <c r="AG41" s="489"/>
    </row>
    <row r="42" spans="1:33">
      <c r="A42" s="517" t="s">
        <v>2678</v>
      </c>
      <c r="B42" s="42" t="s">
        <v>80</v>
      </c>
      <c r="C42" s="490" t="s">
        <v>1224</v>
      </c>
      <c r="D42" s="490"/>
      <c r="E42" s="42">
        <v>22.69</v>
      </c>
      <c r="F42" s="423">
        <v>6590</v>
      </c>
      <c r="G42" s="412">
        <f t="shared" si="27"/>
        <v>149527.1</v>
      </c>
      <c r="H42" s="425" t="s">
        <v>79</v>
      </c>
      <c r="I42" s="421">
        <v>16</v>
      </c>
      <c r="J42" s="37">
        <v>2400</v>
      </c>
      <c r="K42" s="17">
        <f t="shared" si="1"/>
        <v>150</v>
      </c>
      <c r="L42" s="421">
        <v>16</v>
      </c>
      <c r="M42" s="18">
        <f t="shared" si="28"/>
        <v>2285.5491329479769</v>
      </c>
      <c r="N42" s="17">
        <f t="shared" si="3"/>
        <v>142.84682080924856</v>
      </c>
      <c r="O42" s="19">
        <f t="shared" si="4"/>
        <v>0</v>
      </c>
      <c r="P42" s="20">
        <f t="shared" si="5"/>
        <v>-7.1531791907514446</v>
      </c>
      <c r="Q42" s="415">
        <f t="shared" si="6"/>
        <v>0.95231213872832365</v>
      </c>
      <c r="R42" s="489"/>
      <c r="S42" s="40">
        <v>0.38888888888888884</v>
      </c>
      <c r="T42" s="40">
        <v>0.50902777777777775</v>
      </c>
      <c r="U42" s="412">
        <f t="shared" si="30"/>
        <v>7.9999999999999716</v>
      </c>
      <c r="V42" s="422">
        <f t="shared" si="29"/>
        <v>173.00000000000003</v>
      </c>
      <c r="W42" s="23"/>
      <c r="X42" s="23"/>
      <c r="Y42" s="23"/>
      <c r="Z42" s="23"/>
      <c r="AA42" s="491"/>
      <c r="AB42" s="491"/>
      <c r="AC42" s="154"/>
      <c r="AD42" s="25"/>
      <c r="AE42" s="19">
        <f t="shared" si="8"/>
        <v>-114.45086705202311</v>
      </c>
      <c r="AF42" s="415">
        <f t="shared" si="9"/>
        <v>0.95231213872832365</v>
      </c>
      <c r="AG42" s="489"/>
    </row>
    <row r="43" spans="1:33">
      <c r="A43" s="517" t="s">
        <v>2678</v>
      </c>
      <c r="B43" s="44" t="s">
        <v>2673</v>
      </c>
      <c r="C43" s="494"/>
      <c r="D43" s="494"/>
      <c r="E43" s="416"/>
      <c r="F43" s="44"/>
      <c r="G43" s="17"/>
      <c r="H43" s="423"/>
      <c r="I43" s="30">
        <v>18.399999999999999</v>
      </c>
      <c r="J43" s="37">
        <v>2400</v>
      </c>
      <c r="K43" s="17">
        <f t="shared" si="1"/>
        <v>130.43478260869566</v>
      </c>
      <c r="L43" s="30">
        <v>18.399999999999999</v>
      </c>
      <c r="M43" s="18">
        <f>AVERAGE(M38:M42)</f>
        <v>2294.0442341586759</v>
      </c>
      <c r="N43" s="17">
        <f t="shared" si="3"/>
        <v>124.67631707384109</v>
      </c>
      <c r="O43" s="19">
        <f t="shared" si="4"/>
        <v>0</v>
      </c>
      <c r="P43" s="20">
        <f t="shared" si="5"/>
        <v>-5.7584655348545652</v>
      </c>
      <c r="Q43" s="415">
        <f t="shared" si="6"/>
        <v>0.95585176423278162</v>
      </c>
      <c r="R43" s="489"/>
      <c r="S43" s="40"/>
      <c r="T43" s="40"/>
      <c r="U43" s="17"/>
      <c r="V43" s="422"/>
      <c r="W43" s="17"/>
      <c r="X43" s="17"/>
      <c r="Y43" s="31">
        <f>SUM(Y38:Y42)</f>
        <v>0</v>
      </c>
      <c r="Z43" s="31">
        <f>SUM(Z38:Z42)</f>
        <v>0</v>
      </c>
      <c r="AA43" s="495"/>
      <c r="AB43" s="495"/>
      <c r="AC43" s="31">
        <v>6</v>
      </c>
      <c r="AD43" s="31">
        <f>SUM(AD38:AD42)</f>
        <v>0</v>
      </c>
      <c r="AE43" s="19">
        <f t="shared" si="8"/>
        <v>-105.95576584132414</v>
      </c>
      <c r="AF43" s="415">
        <f t="shared" si="9"/>
        <v>0.95585176423278162</v>
      </c>
      <c r="AG43" s="489"/>
    </row>
    <row r="44" spans="1:33" ht="15.75" customHeight="1">
      <c r="A44" s="512" t="s">
        <v>789</v>
      </c>
      <c r="B44" s="42" t="s">
        <v>93</v>
      </c>
      <c r="C44" s="501" t="s">
        <v>94</v>
      </c>
      <c r="D44" s="502"/>
      <c r="E44" s="42">
        <v>21.13</v>
      </c>
      <c r="F44" s="423">
        <v>2100</v>
      </c>
      <c r="G44" s="412">
        <f t="shared" ref="G44:G53" si="31">E44*F44</f>
        <v>44373</v>
      </c>
      <c r="H44" s="425">
        <v>2</v>
      </c>
      <c r="I44" s="421">
        <v>10</v>
      </c>
      <c r="J44" s="37">
        <v>3000</v>
      </c>
      <c r="K44" s="17">
        <f t="shared" si="1"/>
        <v>300</v>
      </c>
      <c r="L44" s="421">
        <v>10</v>
      </c>
      <c r="M44" s="18">
        <f t="shared" ref="M44:M53" si="32">F44/V44*60</f>
        <v>2863.6363636363635</v>
      </c>
      <c r="N44" s="18">
        <f t="shared" si="3"/>
        <v>286.36363636363637</v>
      </c>
      <c r="O44" s="19">
        <f t="shared" si="4"/>
        <v>0</v>
      </c>
      <c r="P44" s="20">
        <f t="shared" si="5"/>
        <v>-13.636363636363626</v>
      </c>
      <c r="Q44" s="415">
        <f t="shared" si="6"/>
        <v>0.95454545454545459</v>
      </c>
      <c r="R44" s="509">
        <f>Q54</f>
        <v>0.96052919722434427</v>
      </c>
      <c r="S44" s="40">
        <v>0.20833333333333334</v>
      </c>
      <c r="T44" s="40">
        <v>0.2388888888888889</v>
      </c>
      <c r="U44" s="28"/>
      <c r="V44" s="422">
        <f t="shared" ref="V44:V53" si="33">(T44-S44)*24*60</f>
        <v>44</v>
      </c>
      <c r="W44" s="23"/>
      <c r="X44" s="23"/>
      <c r="Y44" s="26"/>
      <c r="Z44" s="26"/>
      <c r="AA44" s="503"/>
      <c r="AB44" s="504"/>
      <c r="AC44" s="154" t="s">
        <v>79</v>
      </c>
      <c r="AD44" s="25"/>
      <c r="AE44" s="19">
        <f t="shared" si="8"/>
        <v>-136.36363636363649</v>
      </c>
      <c r="AF44" s="415">
        <f t="shared" si="9"/>
        <v>0.95454545454545447</v>
      </c>
      <c r="AG44" s="509">
        <f>AF54</f>
        <v>0.96052919722434427</v>
      </c>
    </row>
    <row r="45" spans="1:33" ht="15.75" customHeight="1">
      <c r="A45" s="513" t="s">
        <v>789</v>
      </c>
      <c r="B45" s="42" t="s">
        <v>93</v>
      </c>
      <c r="C45" s="501" t="s">
        <v>95</v>
      </c>
      <c r="D45" s="502"/>
      <c r="E45" s="42">
        <v>27.17</v>
      </c>
      <c r="F45" s="423">
        <v>3700</v>
      </c>
      <c r="G45" s="412">
        <f t="shared" si="31"/>
        <v>100529</v>
      </c>
      <c r="H45" s="425">
        <v>2</v>
      </c>
      <c r="I45" s="421">
        <v>10</v>
      </c>
      <c r="J45" s="37">
        <v>3000</v>
      </c>
      <c r="K45" s="17">
        <f t="shared" si="1"/>
        <v>300</v>
      </c>
      <c r="L45" s="421">
        <v>10</v>
      </c>
      <c r="M45" s="18">
        <f t="shared" si="32"/>
        <v>2883.1168831168816</v>
      </c>
      <c r="N45" s="18">
        <f t="shared" si="3"/>
        <v>288.31168831168816</v>
      </c>
      <c r="O45" s="19">
        <f t="shared" si="4"/>
        <v>0</v>
      </c>
      <c r="P45" s="20">
        <f t="shared" si="5"/>
        <v>-11.688311688311842</v>
      </c>
      <c r="Q45" s="415">
        <f t="shared" si="6"/>
        <v>0.96103896103896058</v>
      </c>
      <c r="R45" s="510"/>
      <c r="S45" s="40">
        <v>0.24375000000000002</v>
      </c>
      <c r="T45" s="40">
        <v>0.29722222222222228</v>
      </c>
      <c r="U45" s="412">
        <f t="shared" ref="U45:U53" si="34">(S45-T44)*24*60</f>
        <v>7.0000000000000151</v>
      </c>
      <c r="V45" s="422">
        <f t="shared" si="33"/>
        <v>77.000000000000043</v>
      </c>
      <c r="W45" s="23"/>
      <c r="X45" s="23"/>
      <c r="Y45" s="26"/>
      <c r="Z45" s="26"/>
      <c r="AA45" s="503"/>
      <c r="AB45" s="504"/>
      <c r="AC45" s="154" t="s">
        <v>79</v>
      </c>
      <c r="AD45" s="25"/>
      <c r="AE45" s="19">
        <f t="shared" si="8"/>
        <v>-116.88311688311842</v>
      </c>
      <c r="AF45" s="415">
        <f t="shared" si="9"/>
        <v>0.96103896103896058</v>
      </c>
      <c r="AG45" s="510"/>
    </row>
    <row r="46" spans="1:33" ht="15.75" customHeight="1">
      <c r="A46" s="513" t="s">
        <v>2679</v>
      </c>
      <c r="B46" s="42" t="s">
        <v>93</v>
      </c>
      <c r="C46" s="501" t="s">
        <v>96</v>
      </c>
      <c r="D46" s="502"/>
      <c r="E46" s="42">
        <v>35.119999999999997</v>
      </c>
      <c r="F46" s="423">
        <v>3000</v>
      </c>
      <c r="G46" s="412">
        <f t="shared" si="31"/>
        <v>105359.99999999999</v>
      </c>
      <c r="H46" s="425">
        <v>2</v>
      </c>
      <c r="I46" s="421">
        <v>10</v>
      </c>
      <c r="J46" s="37">
        <v>3000</v>
      </c>
      <c r="K46" s="17">
        <f t="shared" si="1"/>
        <v>300</v>
      </c>
      <c r="L46" s="421">
        <v>10</v>
      </c>
      <c r="M46" s="18">
        <f t="shared" si="32"/>
        <v>2857.1428571428564</v>
      </c>
      <c r="N46" s="18">
        <f t="shared" si="3"/>
        <v>285.71428571428567</v>
      </c>
      <c r="O46" s="19">
        <f t="shared" si="4"/>
        <v>0</v>
      </c>
      <c r="P46" s="20">
        <f t="shared" si="5"/>
        <v>-14.285714285714334</v>
      </c>
      <c r="Q46" s="415">
        <f t="shared" si="6"/>
        <v>0.95238095238095222</v>
      </c>
      <c r="R46" s="510"/>
      <c r="S46" s="40">
        <v>0.30277777777777781</v>
      </c>
      <c r="T46" s="40">
        <v>0.34652777777777782</v>
      </c>
      <c r="U46" s="412">
        <f t="shared" si="34"/>
        <v>7.9999999999999716</v>
      </c>
      <c r="V46" s="422">
        <f t="shared" si="33"/>
        <v>63.000000000000014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-142.85714285714357</v>
      </c>
      <c r="AF46" s="415">
        <f t="shared" si="9"/>
        <v>0.95238095238095211</v>
      </c>
      <c r="AG46" s="510"/>
    </row>
    <row r="47" spans="1:33" ht="15.75" customHeight="1">
      <c r="A47" s="513" t="s">
        <v>2679</v>
      </c>
      <c r="B47" s="42" t="s">
        <v>93</v>
      </c>
      <c r="C47" s="501" t="s">
        <v>110</v>
      </c>
      <c r="D47" s="502"/>
      <c r="E47" s="42">
        <v>26.78</v>
      </c>
      <c r="F47" s="423">
        <v>2428</v>
      </c>
      <c r="G47" s="412">
        <f t="shared" si="31"/>
        <v>65021.840000000004</v>
      </c>
      <c r="H47" s="425" t="s">
        <v>79</v>
      </c>
      <c r="I47" s="421">
        <v>10</v>
      </c>
      <c r="J47" s="37">
        <v>3000</v>
      </c>
      <c r="K47" s="17">
        <f t="shared" si="1"/>
        <v>300</v>
      </c>
      <c r="L47" s="421">
        <v>10</v>
      </c>
      <c r="M47" s="18">
        <f t="shared" si="32"/>
        <v>2856.4705882352955</v>
      </c>
      <c r="N47" s="18">
        <f t="shared" si="3"/>
        <v>285.64705882352956</v>
      </c>
      <c r="O47" s="19">
        <f t="shared" si="4"/>
        <v>0</v>
      </c>
      <c r="P47" s="20">
        <f t="shared" si="5"/>
        <v>-14.352941176470438</v>
      </c>
      <c r="Q47" s="415">
        <f t="shared" si="6"/>
        <v>0.95215686274509859</v>
      </c>
      <c r="R47" s="510"/>
      <c r="S47" s="40">
        <v>0.35208333333333336</v>
      </c>
      <c r="T47" s="40">
        <v>0.38750000000000001</v>
      </c>
      <c r="U47" s="412">
        <f t="shared" si="34"/>
        <v>7.9999999999999716</v>
      </c>
      <c r="V47" s="422">
        <f t="shared" si="33"/>
        <v>50.999999999999979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-143.52941176470449</v>
      </c>
      <c r="AF47" s="415">
        <f t="shared" si="9"/>
        <v>0.95215686274509848</v>
      </c>
      <c r="AG47" s="510"/>
    </row>
    <row r="48" spans="1:33" ht="15.75" customHeight="1">
      <c r="A48" s="513" t="s">
        <v>2679</v>
      </c>
      <c r="B48" s="42" t="s">
        <v>93</v>
      </c>
      <c r="C48" s="501" t="s">
        <v>99</v>
      </c>
      <c r="D48" s="502"/>
      <c r="E48" s="42">
        <v>32.020000000000003</v>
      </c>
      <c r="F48" s="423">
        <v>1647</v>
      </c>
      <c r="G48" s="412">
        <f t="shared" si="31"/>
        <v>52736.94</v>
      </c>
      <c r="H48" s="425" t="s">
        <v>79</v>
      </c>
      <c r="I48" s="421">
        <v>11</v>
      </c>
      <c r="J48" s="37">
        <v>3000</v>
      </c>
      <c r="K48" s="17">
        <f t="shared" si="1"/>
        <v>272.72727272727275</v>
      </c>
      <c r="L48" s="421">
        <v>11</v>
      </c>
      <c r="M48" s="18">
        <f t="shared" si="32"/>
        <v>2906.4705882352978</v>
      </c>
      <c r="N48" s="18">
        <f t="shared" si="3"/>
        <v>264.22459893048159</v>
      </c>
      <c r="O48" s="19">
        <f t="shared" si="4"/>
        <v>0</v>
      </c>
      <c r="P48" s="20">
        <f t="shared" si="5"/>
        <v>-8.5026737967911572</v>
      </c>
      <c r="Q48" s="415">
        <f t="shared" si="6"/>
        <v>0.96882352941176575</v>
      </c>
      <c r="R48" s="510"/>
      <c r="S48" s="40">
        <v>0.39305555555555555</v>
      </c>
      <c r="T48" s="40">
        <v>0.41666666666666663</v>
      </c>
      <c r="U48" s="412">
        <f t="shared" si="34"/>
        <v>7.9999999999999716</v>
      </c>
      <c r="V48" s="422">
        <f t="shared" si="33"/>
        <v>33.999999999999957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-93.529411764702218</v>
      </c>
      <c r="AF48" s="415">
        <f t="shared" si="9"/>
        <v>0.96882352941176597</v>
      </c>
      <c r="AG48" s="510"/>
    </row>
    <row r="49" spans="1:33" ht="15.75" customHeight="1">
      <c r="A49" s="513" t="s">
        <v>2679</v>
      </c>
      <c r="B49" s="42" t="s">
        <v>93</v>
      </c>
      <c r="C49" s="501" t="s">
        <v>112</v>
      </c>
      <c r="D49" s="502"/>
      <c r="E49" s="42">
        <v>35.869999999999997</v>
      </c>
      <c r="F49" s="423">
        <v>3157</v>
      </c>
      <c r="G49" s="412">
        <f t="shared" si="31"/>
        <v>113241.59</v>
      </c>
      <c r="H49" s="425" t="s">
        <v>79</v>
      </c>
      <c r="I49" s="421">
        <v>9</v>
      </c>
      <c r="J49" s="37">
        <v>3000</v>
      </c>
      <c r="K49" s="17">
        <f t="shared" si="1"/>
        <v>333.33333333333331</v>
      </c>
      <c r="L49" s="421">
        <v>9</v>
      </c>
      <c r="M49" s="18">
        <f t="shared" si="32"/>
        <v>2870</v>
      </c>
      <c r="N49" s="18">
        <f t="shared" si="3"/>
        <v>318.88888888888891</v>
      </c>
      <c r="O49" s="19">
        <f t="shared" si="4"/>
        <v>0</v>
      </c>
      <c r="P49" s="20">
        <f t="shared" si="5"/>
        <v>-14.4444444444444</v>
      </c>
      <c r="Q49" s="415">
        <f t="shared" si="6"/>
        <v>0.95666666666666678</v>
      </c>
      <c r="R49" s="510"/>
      <c r="S49" s="40">
        <v>0.42152777777777772</v>
      </c>
      <c r="T49" s="40">
        <v>0.46736111111111106</v>
      </c>
      <c r="U49" s="412">
        <f t="shared" si="34"/>
        <v>6.9999999999999751</v>
      </c>
      <c r="V49" s="422">
        <f t="shared" si="33"/>
        <v>66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-130</v>
      </c>
      <c r="AF49" s="415">
        <f t="shared" si="9"/>
        <v>0.95666666666666667</v>
      </c>
      <c r="AG49" s="510"/>
    </row>
    <row r="50" spans="1:33" ht="15.75" customHeight="1">
      <c r="A50" s="513" t="s">
        <v>2679</v>
      </c>
      <c r="B50" s="42" t="s">
        <v>93</v>
      </c>
      <c r="C50" s="501" t="s">
        <v>1778</v>
      </c>
      <c r="D50" s="502"/>
      <c r="E50" s="42">
        <v>44.03</v>
      </c>
      <c r="F50" s="423">
        <v>1593</v>
      </c>
      <c r="G50" s="412">
        <f t="shared" si="31"/>
        <v>70139.790000000008</v>
      </c>
      <c r="H50" s="425" t="s">
        <v>79</v>
      </c>
      <c r="I50" s="421">
        <v>10</v>
      </c>
      <c r="J50" s="37">
        <v>3000</v>
      </c>
      <c r="K50" s="17">
        <f t="shared" si="1"/>
        <v>300</v>
      </c>
      <c r="L50" s="421">
        <v>10</v>
      </c>
      <c r="M50" s="18">
        <f t="shared" si="32"/>
        <v>2896.3636363636392</v>
      </c>
      <c r="N50" s="18">
        <f t="shared" si="3"/>
        <v>289.63636363636391</v>
      </c>
      <c r="O50" s="19">
        <f t="shared" si="4"/>
        <v>0</v>
      </c>
      <c r="P50" s="20">
        <f t="shared" si="5"/>
        <v>-10.36363636363609</v>
      </c>
      <c r="Q50" s="415">
        <f t="shared" si="6"/>
        <v>0.96545454545454634</v>
      </c>
      <c r="R50" s="510"/>
      <c r="S50" s="40">
        <v>0.47222222222222215</v>
      </c>
      <c r="T50" s="40">
        <v>0.4951388888888888</v>
      </c>
      <c r="U50" s="412">
        <f t="shared" si="34"/>
        <v>6.9999999999999751</v>
      </c>
      <c r="V50" s="422">
        <f t="shared" si="33"/>
        <v>32.999999999999964</v>
      </c>
      <c r="W50" s="23">
        <f>T50</f>
        <v>0.4951388888888888</v>
      </c>
      <c r="X50" s="23">
        <f>S51</f>
        <v>0.53541666666666654</v>
      </c>
      <c r="Y50" s="26"/>
      <c r="Z50" s="26"/>
      <c r="AA50" s="503"/>
      <c r="AB50" s="504"/>
      <c r="AC50" s="154" t="s">
        <v>79</v>
      </c>
      <c r="AD50" s="25"/>
      <c r="AE50" s="19">
        <f t="shared" si="8"/>
        <v>-103.63636363636078</v>
      </c>
      <c r="AF50" s="415">
        <f t="shared" si="9"/>
        <v>0.96545454545454645</v>
      </c>
      <c r="AG50" s="510"/>
    </row>
    <row r="51" spans="1:33" ht="15.75" customHeight="1">
      <c r="A51" s="513" t="s">
        <v>2679</v>
      </c>
      <c r="B51" s="42" t="s">
        <v>93</v>
      </c>
      <c r="C51" s="501" t="s">
        <v>94</v>
      </c>
      <c r="D51" s="502"/>
      <c r="E51" s="42">
        <v>21.13</v>
      </c>
      <c r="F51" s="423">
        <v>2409</v>
      </c>
      <c r="G51" s="412">
        <f t="shared" si="31"/>
        <v>50902.17</v>
      </c>
      <c r="H51" s="425" t="s">
        <v>79</v>
      </c>
      <c r="I51" s="421">
        <v>10</v>
      </c>
      <c r="J51" s="37">
        <v>3000</v>
      </c>
      <c r="K51" s="17">
        <f t="shared" si="1"/>
        <v>300</v>
      </c>
      <c r="L51" s="421">
        <v>10</v>
      </c>
      <c r="M51" s="18">
        <f t="shared" si="32"/>
        <v>2890.8000000000006</v>
      </c>
      <c r="N51" s="18">
        <f t="shared" si="3"/>
        <v>289.08000000000004</v>
      </c>
      <c r="O51" s="19">
        <f t="shared" si="4"/>
        <v>0</v>
      </c>
      <c r="P51" s="20">
        <f t="shared" si="5"/>
        <v>-10.919999999999959</v>
      </c>
      <c r="Q51" s="415">
        <f t="shared" si="6"/>
        <v>0.96360000000000012</v>
      </c>
      <c r="R51" s="510"/>
      <c r="S51" s="40">
        <v>0.53541666666666654</v>
      </c>
      <c r="T51" s="40">
        <v>0.57013888888888875</v>
      </c>
      <c r="U51" s="412">
        <f t="shared" si="34"/>
        <v>57.999999999999957</v>
      </c>
      <c r="V51" s="422">
        <f t="shared" si="33"/>
        <v>49.999999999999986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-109.19999999999936</v>
      </c>
      <c r="AF51" s="415">
        <f t="shared" si="9"/>
        <v>0.96360000000000023</v>
      </c>
      <c r="AG51" s="510"/>
    </row>
    <row r="52" spans="1:33" ht="15.75" customHeight="1">
      <c r="A52" s="513" t="s">
        <v>2679</v>
      </c>
      <c r="B52" s="42" t="s">
        <v>93</v>
      </c>
      <c r="C52" s="501" t="s">
        <v>95</v>
      </c>
      <c r="D52" s="502"/>
      <c r="E52" s="42">
        <v>27.17</v>
      </c>
      <c r="F52" s="423">
        <v>2112</v>
      </c>
      <c r="G52" s="412">
        <f t="shared" si="31"/>
        <v>57383.040000000001</v>
      </c>
      <c r="H52" s="425" t="s">
        <v>79</v>
      </c>
      <c r="I52" s="421">
        <v>10</v>
      </c>
      <c r="J52" s="37">
        <v>3000</v>
      </c>
      <c r="K52" s="17">
        <f t="shared" si="1"/>
        <v>300</v>
      </c>
      <c r="L52" s="421">
        <v>10</v>
      </c>
      <c r="M52" s="18">
        <f t="shared" si="32"/>
        <v>2880</v>
      </c>
      <c r="N52" s="18">
        <f t="shared" si="3"/>
        <v>288</v>
      </c>
      <c r="O52" s="19">
        <f t="shared" si="4"/>
        <v>0</v>
      </c>
      <c r="P52" s="20">
        <f t="shared" si="5"/>
        <v>-12</v>
      </c>
      <c r="Q52" s="415">
        <f t="shared" si="6"/>
        <v>0.96</v>
      </c>
      <c r="R52" s="510"/>
      <c r="S52" s="40">
        <v>0.57499999999999984</v>
      </c>
      <c r="T52" s="40">
        <v>0.6055555555555554</v>
      </c>
      <c r="U52" s="412">
        <f t="shared" si="34"/>
        <v>6.9999999999999751</v>
      </c>
      <c r="V52" s="422">
        <f t="shared" si="33"/>
        <v>44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-120</v>
      </c>
      <c r="AF52" s="415">
        <f t="shared" si="9"/>
        <v>0.96</v>
      </c>
      <c r="AG52" s="510"/>
    </row>
    <row r="53" spans="1:33" ht="15.75" customHeight="1">
      <c r="A53" s="513" t="s">
        <v>2679</v>
      </c>
      <c r="B53" s="42" t="s">
        <v>93</v>
      </c>
      <c r="C53" s="501" t="s">
        <v>96</v>
      </c>
      <c r="D53" s="502"/>
      <c r="E53" s="42">
        <v>35.119999999999997</v>
      </c>
      <c r="F53" s="423">
        <v>1553</v>
      </c>
      <c r="G53" s="412">
        <f t="shared" si="31"/>
        <v>54541.359999999993</v>
      </c>
      <c r="H53" s="425" t="s">
        <v>79</v>
      </c>
      <c r="I53" s="421">
        <v>10</v>
      </c>
      <c r="J53" s="37">
        <v>3000</v>
      </c>
      <c r="K53" s="17">
        <f t="shared" si="1"/>
        <v>300</v>
      </c>
      <c r="L53" s="421">
        <v>10</v>
      </c>
      <c r="M53" s="18">
        <f t="shared" si="32"/>
        <v>2911.8749999999964</v>
      </c>
      <c r="N53" s="18">
        <f t="shared" si="3"/>
        <v>291.18749999999966</v>
      </c>
      <c r="O53" s="19">
        <f t="shared" si="4"/>
        <v>0</v>
      </c>
      <c r="P53" s="20">
        <f t="shared" si="5"/>
        <v>-8.8125000000003411</v>
      </c>
      <c r="Q53" s="415">
        <f t="shared" si="6"/>
        <v>0.97062499999999885</v>
      </c>
      <c r="R53" s="510"/>
      <c r="S53" s="40">
        <v>0.60902777777777761</v>
      </c>
      <c r="T53" s="40">
        <v>0.63124999999999987</v>
      </c>
      <c r="U53" s="412">
        <f t="shared" si="34"/>
        <v>4.9999999999999822</v>
      </c>
      <c r="V53" s="422">
        <f t="shared" si="33"/>
        <v>32.000000000000043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-88.125000000003638</v>
      </c>
      <c r="AF53" s="415">
        <f t="shared" si="9"/>
        <v>0.97062499999999874</v>
      </c>
      <c r="AG53" s="510"/>
    </row>
    <row r="54" spans="1:33" ht="15.75" customHeight="1">
      <c r="A54" s="514" t="s">
        <v>2679</v>
      </c>
      <c r="B54" s="42" t="s">
        <v>2673</v>
      </c>
      <c r="C54" s="492"/>
      <c r="D54" s="493"/>
      <c r="E54" s="413"/>
      <c r="F54" s="423"/>
      <c r="G54" s="412"/>
      <c r="H54" s="423"/>
      <c r="I54" s="30">
        <v>10</v>
      </c>
      <c r="J54" s="37">
        <v>3000</v>
      </c>
      <c r="K54" s="17">
        <f t="shared" si="1"/>
        <v>300</v>
      </c>
      <c r="L54" s="30">
        <v>10</v>
      </c>
      <c r="M54" s="18">
        <f>AVERAGE(M44:M53)</f>
        <v>2881.5875916730329</v>
      </c>
      <c r="N54" s="17">
        <f t="shared" si="3"/>
        <v>288.15875916730329</v>
      </c>
      <c r="O54" s="19">
        <f t="shared" si="4"/>
        <v>0</v>
      </c>
      <c r="P54" s="20">
        <f t="shared" si="5"/>
        <v>-11.841240832696712</v>
      </c>
      <c r="Q54" s="415">
        <f t="shared" si="6"/>
        <v>0.96052919722434427</v>
      </c>
      <c r="R54" s="511"/>
      <c r="S54" s="40"/>
      <c r="T54" s="40"/>
      <c r="U54" s="412"/>
      <c r="V54" s="422"/>
      <c r="W54" s="23"/>
      <c r="X54" s="23"/>
      <c r="Y54" s="31">
        <f>SUM(Y44:Y53)</f>
        <v>0</v>
      </c>
      <c r="Z54" s="31">
        <f>SUM(Z44:Z53)</f>
        <v>0</v>
      </c>
      <c r="AA54" s="505"/>
      <c r="AB54" s="506"/>
      <c r="AC54" s="31">
        <v>0</v>
      </c>
      <c r="AD54" s="31">
        <f>SUM(AD44:AD53)</f>
        <v>0</v>
      </c>
      <c r="AE54" s="19">
        <f t="shared" si="8"/>
        <v>-118.41240832696712</v>
      </c>
      <c r="AF54" s="415">
        <f t="shared" si="9"/>
        <v>0.96052919722434427</v>
      </c>
      <c r="AG54" s="511"/>
    </row>
    <row r="55" spans="1:33" ht="15.75" customHeight="1">
      <c r="A55" s="507" t="s">
        <v>2680</v>
      </c>
      <c r="B55" s="42" t="s">
        <v>100</v>
      </c>
      <c r="C55" s="490" t="s">
        <v>101</v>
      </c>
      <c r="D55" s="490"/>
      <c r="E55" s="42">
        <v>46</v>
      </c>
      <c r="F55" s="46">
        <v>1243</v>
      </c>
      <c r="G55" s="412">
        <f t="shared" ref="G55:G64" si="35">E55*F55</f>
        <v>57178</v>
      </c>
      <c r="H55" s="425" t="s">
        <v>79</v>
      </c>
      <c r="I55" s="421">
        <v>17</v>
      </c>
      <c r="J55" s="37">
        <v>2000</v>
      </c>
      <c r="K55" s="17">
        <f t="shared" si="1"/>
        <v>117.64705882352941</v>
      </c>
      <c r="L55" s="421">
        <v>17</v>
      </c>
      <c r="M55" s="18">
        <f t="shared" ref="M55:M64" si="36">F55/V55*60</f>
        <v>1912.3076923076933</v>
      </c>
      <c r="N55" s="18">
        <f t="shared" si="3"/>
        <v>112.48868778280548</v>
      </c>
      <c r="O55" s="19">
        <f t="shared" si="4"/>
        <v>0</v>
      </c>
      <c r="P55" s="20">
        <f t="shared" si="5"/>
        <v>-5.1583710407239209</v>
      </c>
      <c r="Q55" s="415">
        <f t="shared" si="6"/>
        <v>0.95615384615384669</v>
      </c>
      <c r="R55" s="489">
        <f>Q65</f>
        <v>0.93827194397864067</v>
      </c>
      <c r="S55" s="40">
        <v>0.20833333333333334</v>
      </c>
      <c r="T55" s="40">
        <v>0.23541666666666666</v>
      </c>
      <c r="U55" s="28"/>
      <c r="V55" s="422">
        <f t="shared" ref="V55:V64" si="37">(T55-S55)*24*60</f>
        <v>38.999999999999979</v>
      </c>
      <c r="W55" s="28"/>
      <c r="X55" s="28"/>
      <c r="Y55" s="28"/>
      <c r="Z55" s="28"/>
      <c r="AA55" s="491"/>
      <c r="AB55" s="491"/>
      <c r="AC55" s="154">
        <v>4</v>
      </c>
      <c r="AD55" s="25"/>
      <c r="AE55" s="19">
        <f t="shared" si="8"/>
        <v>-87.692307692306713</v>
      </c>
      <c r="AF55" s="415">
        <f t="shared" si="9"/>
        <v>0.95615384615384669</v>
      </c>
      <c r="AG55" s="489">
        <f>AF65</f>
        <v>0.93827194397864067</v>
      </c>
    </row>
    <row r="56" spans="1:33" ht="15.75" customHeight="1">
      <c r="A56" s="507" t="s">
        <v>2680</v>
      </c>
      <c r="B56" s="42" t="s">
        <v>100</v>
      </c>
      <c r="C56" s="490" t="s">
        <v>102</v>
      </c>
      <c r="D56" s="490"/>
      <c r="E56" s="42">
        <v>46</v>
      </c>
      <c r="F56" s="46">
        <v>1498</v>
      </c>
      <c r="G56" s="412">
        <f t="shared" si="35"/>
        <v>68908</v>
      </c>
      <c r="H56" s="425" t="s">
        <v>79</v>
      </c>
      <c r="I56" s="421">
        <v>17</v>
      </c>
      <c r="J56" s="37">
        <v>2000</v>
      </c>
      <c r="K56" s="17">
        <f t="shared" si="1"/>
        <v>117.64705882352941</v>
      </c>
      <c r="L56" s="421">
        <v>17</v>
      </c>
      <c r="M56" s="18">
        <f t="shared" si="36"/>
        <v>1912.3404255319135</v>
      </c>
      <c r="N56" s="18">
        <f t="shared" si="3"/>
        <v>112.49061326658315</v>
      </c>
      <c r="O56" s="19">
        <f t="shared" si="4"/>
        <v>0</v>
      </c>
      <c r="P56" s="20">
        <f t="shared" si="5"/>
        <v>-5.1564455569462524</v>
      </c>
      <c r="Q56" s="415">
        <f t="shared" si="6"/>
        <v>0.95617021276595682</v>
      </c>
      <c r="R56" s="489"/>
      <c r="S56" s="40">
        <v>0.24027777777777778</v>
      </c>
      <c r="T56" s="40">
        <v>0.2729166666666667</v>
      </c>
      <c r="U56" s="412">
        <f t="shared" ref="U56:U64" si="38">IF(S56=TIME(17,0,0),"",(S56-T55)*24*60)</f>
        <v>7.0000000000000151</v>
      </c>
      <c r="V56" s="422">
        <f t="shared" si="37"/>
        <v>47.000000000000036</v>
      </c>
      <c r="W56" s="23"/>
      <c r="X56" s="23"/>
      <c r="Y56" s="23"/>
      <c r="Z56" s="23"/>
      <c r="AA56" s="491"/>
      <c r="AB56" s="491"/>
      <c r="AC56" s="154"/>
      <c r="AD56" s="25"/>
      <c r="AE56" s="19">
        <f t="shared" si="8"/>
        <v>-87.659574468086475</v>
      </c>
      <c r="AF56" s="415">
        <f t="shared" si="9"/>
        <v>0.95617021276595682</v>
      </c>
      <c r="AG56" s="489"/>
    </row>
    <row r="57" spans="1:33" ht="15.75" customHeight="1">
      <c r="A57" s="507" t="s">
        <v>2680</v>
      </c>
      <c r="B57" s="42" t="s">
        <v>103</v>
      </c>
      <c r="C57" s="501" t="s">
        <v>105</v>
      </c>
      <c r="D57" s="502"/>
      <c r="E57" s="42">
        <v>56.43</v>
      </c>
      <c r="F57" s="46">
        <v>1683</v>
      </c>
      <c r="G57" s="412">
        <f t="shared" si="35"/>
        <v>94971.69</v>
      </c>
      <c r="H57" s="425" t="s">
        <v>79</v>
      </c>
      <c r="I57" s="421">
        <v>22</v>
      </c>
      <c r="J57" s="37">
        <v>2000</v>
      </c>
      <c r="K57" s="17">
        <f t="shared" si="1"/>
        <v>90.909090909090907</v>
      </c>
      <c r="L57" s="421">
        <v>22</v>
      </c>
      <c r="M57" s="18">
        <f t="shared" si="36"/>
        <v>1771.5789473684224</v>
      </c>
      <c r="N57" s="18">
        <f t="shared" si="3"/>
        <v>80.526315789473742</v>
      </c>
      <c r="O57" s="19">
        <f t="shared" si="4"/>
        <v>0</v>
      </c>
      <c r="P57" s="20">
        <f t="shared" si="5"/>
        <v>-10.382775119617165</v>
      </c>
      <c r="Q57" s="415">
        <f t="shared" si="6"/>
        <v>0.88578947368421124</v>
      </c>
      <c r="R57" s="489"/>
      <c r="S57" s="40">
        <v>0.27638888888888891</v>
      </c>
      <c r="T57" s="40">
        <v>0.31597222222222221</v>
      </c>
      <c r="U57" s="412">
        <f t="shared" si="38"/>
        <v>4.9999999999999822</v>
      </c>
      <c r="V57" s="422">
        <f t="shared" si="37"/>
        <v>56.999999999999957</v>
      </c>
      <c r="W57" s="23"/>
      <c r="X57" s="23"/>
      <c r="Y57" s="26"/>
      <c r="Z57" s="26"/>
      <c r="AA57" s="491"/>
      <c r="AB57" s="491"/>
      <c r="AC57" s="154"/>
      <c r="AD57" s="25"/>
      <c r="AE57" s="19">
        <f t="shared" si="8"/>
        <v>-228.4210526315776</v>
      </c>
      <c r="AF57" s="415">
        <f t="shared" si="9"/>
        <v>0.88578947368421124</v>
      </c>
      <c r="AG57" s="489"/>
    </row>
    <row r="58" spans="1:33" ht="15.75" customHeight="1">
      <c r="A58" s="507" t="s">
        <v>2680</v>
      </c>
      <c r="B58" s="42" t="s">
        <v>103</v>
      </c>
      <c r="C58" s="417" t="s">
        <v>518</v>
      </c>
      <c r="D58" s="418"/>
      <c r="E58" s="42">
        <v>51.75</v>
      </c>
      <c r="F58" s="46">
        <v>1615</v>
      </c>
      <c r="G58" s="412">
        <f t="shared" si="35"/>
        <v>83576.25</v>
      </c>
      <c r="H58" s="425" t="s">
        <v>79</v>
      </c>
      <c r="I58" s="421">
        <v>25</v>
      </c>
      <c r="J58" s="37">
        <v>2000</v>
      </c>
      <c r="K58" s="17">
        <f t="shared" si="1"/>
        <v>80</v>
      </c>
      <c r="L58" s="421">
        <v>25</v>
      </c>
      <c r="M58" s="18">
        <f t="shared" si="36"/>
        <v>1670.6896551724128</v>
      </c>
      <c r="N58" s="18">
        <f t="shared" si="3"/>
        <v>66.827586206896513</v>
      </c>
      <c r="O58" s="19">
        <f t="shared" si="4"/>
        <v>0</v>
      </c>
      <c r="P58" s="20">
        <f t="shared" si="5"/>
        <v>-13.172413793103487</v>
      </c>
      <c r="Q58" s="415">
        <f t="shared" si="6"/>
        <v>0.83534482758620643</v>
      </c>
      <c r="R58" s="489"/>
      <c r="S58" s="40">
        <v>0.32152777777777775</v>
      </c>
      <c r="T58" s="40">
        <v>0.36180555555555555</v>
      </c>
      <c r="U58" s="412">
        <f t="shared" si="38"/>
        <v>7.9999999999999716</v>
      </c>
      <c r="V58" s="422">
        <f t="shared" si="37"/>
        <v>58.000000000000036</v>
      </c>
      <c r="W58" s="23"/>
      <c r="X58" s="23"/>
      <c r="Y58" s="26"/>
      <c r="Z58" s="26"/>
      <c r="AA58" s="491"/>
      <c r="AB58" s="491"/>
      <c r="AC58" s="154"/>
      <c r="AD58" s="25"/>
      <c r="AE58" s="19">
        <f t="shared" si="8"/>
        <v>-329.31034482758719</v>
      </c>
      <c r="AF58" s="415">
        <f t="shared" si="9"/>
        <v>0.83534482758620643</v>
      </c>
      <c r="AG58" s="489"/>
    </row>
    <row r="59" spans="1:33" ht="15.75" customHeight="1">
      <c r="A59" s="507" t="s">
        <v>2680</v>
      </c>
      <c r="B59" s="42" t="s">
        <v>103</v>
      </c>
      <c r="C59" s="417" t="s">
        <v>1781</v>
      </c>
      <c r="D59" s="418"/>
      <c r="E59" s="42">
        <v>54.09</v>
      </c>
      <c r="F59" s="46">
        <v>1731</v>
      </c>
      <c r="G59" s="412">
        <f t="shared" si="35"/>
        <v>93629.790000000008</v>
      </c>
      <c r="H59" s="425" t="s">
        <v>79</v>
      </c>
      <c r="I59" s="421">
        <v>19</v>
      </c>
      <c r="J59" s="37">
        <v>2000</v>
      </c>
      <c r="K59" s="17">
        <f t="shared" si="1"/>
        <v>105.26315789473684</v>
      </c>
      <c r="L59" s="421">
        <v>19</v>
      </c>
      <c r="M59" s="18">
        <f t="shared" si="36"/>
        <v>1790.6896551724128</v>
      </c>
      <c r="N59" s="18">
        <f t="shared" si="3"/>
        <v>94.246823956442782</v>
      </c>
      <c r="O59" s="19">
        <f t="shared" si="4"/>
        <v>0</v>
      </c>
      <c r="P59" s="20">
        <f t="shared" si="5"/>
        <v>-11.016333938294053</v>
      </c>
      <c r="Q59" s="415">
        <f t="shared" si="6"/>
        <v>0.89534482758620648</v>
      </c>
      <c r="R59" s="489"/>
      <c r="S59" s="40">
        <v>0.36666666666666664</v>
      </c>
      <c r="T59" s="40">
        <v>0.40694444444444444</v>
      </c>
      <c r="U59" s="412">
        <f t="shared" si="38"/>
        <v>6.9999999999999751</v>
      </c>
      <c r="V59" s="422">
        <f t="shared" si="37"/>
        <v>58.000000000000036</v>
      </c>
      <c r="W59" s="23"/>
      <c r="X59" s="23"/>
      <c r="Y59" s="26"/>
      <c r="Z59" s="26"/>
      <c r="AA59" s="491"/>
      <c r="AB59" s="491"/>
      <c r="AC59" s="154"/>
      <c r="AD59" s="25"/>
      <c r="AE59" s="19">
        <f t="shared" si="8"/>
        <v>-209.31034482758719</v>
      </c>
      <c r="AF59" s="415">
        <f t="shared" si="9"/>
        <v>0.89534482758620637</v>
      </c>
      <c r="AG59" s="489"/>
    </row>
    <row r="60" spans="1:33" ht="15.75" customHeight="1">
      <c r="A60" s="507" t="s">
        <v>743</v>
      </c>
      <c r="B60" s="42" t="s">
        <v>103</v>
      </c>
      <c r="C60" s="501" t="s">
        <v>106</v>
      </c>
      <c r="D60" s="502"/>
      <c r="E60" s="42">
        <v>55.56</v>
      </c>
      <c r="F60" s="46">
        <v>1700</v>
      </c>
      <c r="G60" s="412">
        <f t="shared" si="35"/>
        <v>94452</v>
      </c>
      <c r="H60" s="425" t="s">
        <v>79</v>
      </c>
      <c r="I60" s="421">
        <v>17</v>
      </c>
      <c r="J60" s="37">
        <v>2000</v>
      </c>
      <c r="K60" s="17">
        <f t="shared" si="1"/>
        <v>117.64705882352941</v>
      </c>
      <c r="L60" s="421">
        <v>17</v>
      </c>
      <c r="M60" s="18">
        <f t="shared" si="36"/>
        <v>1924.5283018867935</v>
      </c>
      <c r="N60" s="18">
        <f t="shared" si="3"/>
        <v>113.20754716981139</v>
      </c>
      <c r="O60" s="19">
        <f t="shared" si="4"/>
        <v>0</v>
      </c>
      <c r="P60" s="20">
        <f t="shared" si="5"/>
        <v>-4.4395116537180144</v>
      </c>
      <c r="Q60" s="415">
        <f t="shared" si="6"/>
        <v>0.9622641509433969</v>
      </c>
      <c r="R60" s="489"/>
      <c r="S60" s="40">
        <v>0.70833333333333337</v>
      </c>
      <c r="T60" s="40">
        <v>0.74513888888888891</v>
      </c>
      <c r="U60" s="412" t="str">
        <f t="shared" si="38"/>
        <v/>
      </c>
      <c r="V60" s="422">
        <f t="shared" si="37"/>
        <v>52.999999999999972</v>
      </c>
      <c r="W60" s="23"/>
      <c r="X60" s="23"/>
      <c r="Y60" s="26"/>
      <c r="Z60" s="26"/>
      <c r="AA60" s="503"/>
      <c r="AB60" s="504"/>
      <c r="AC60" s="154"/>
      <c r="AD60" s="25"/>
      <c r="AE60" s="19">
        <f t="shared" si="8"/>
        <v>-75.471698113206457</v>
      </c>
      <c r="AF60" s="415">
        <f t="shared" si="9"/>
        <v>0.96226415094339679</v>
      </c>
      <c r="AG60" s="489"/>
    </row>
    <row r="61" spans="1:33" ht="15.75" customHeight="1">
      <c r="A61" s="507" t="s">
        <v>2680</v>
      </c>
      <c r="B61" s="42" t="s">
        <v>103</v>
      </c>
      <c r="C61" s="501" t="s">
        <v>107</v>
      </c>
      <c r="D61" s="502"/>
      <c r="E61" s="42">
        <v>55.32</v>
      </c>
      <c r="F61" s="46">
        <v>1163</v>
      </c>
      <c r="G61" s="412">
        <f t="shared" si="35"/>
        <v>64337.16</v>
      </c>
      <c r="H61" s="425" t="s">
        <v>79</v>
      </c>
      <c r="I61" s="421">
        <v>15</v>
      </c>
      <c r="J61" s="37">
        <v>2000</v>
      </c>
      <c r="K61" s="17">
        <f t="shared" si="1"/>
        <v>133.33333333333334</v>
      </c>
      <c r="L61" s="421">
        <v>15</v>
      </c>
      <c r="M61" s="18">
        <f t="shared" si="36"/>
        <v>1938.3333333333317</v>
      </c>
      <c r="N61" s="18">
        <f t="shared" si="3"/>
        <v>129.22222222222211</v>
      </c>
      <c r="O61" s="19">
        <f t="shared" si="4"/>
        <v>0</v>
      </c>
      <c r="P61" s="20">
        <f t="shared" si="5"/>
        <v>-4.111111111111228</v>
      </c>
      <c r="Q61" s="415">
        <f t="shared" si="6"/>
        <v>0.96916666666666584</v>
      </c>
      <c r="R61" s="489"/>
      <c r="S61" s="40">
        <v>0.74861111111111112</v>
      </c>
      <c r="T61" s="40">
        <v>0.77361111111111114</v>
      </c>
      <c r="U61" s="412">
        <f t="shared" si="38"/>
        <v>4.9999999999999822</v>
      </c>
      <c r="V61" s="422">
        <f t="shared" si="37"/>
        <v>36.000000000000028</v>
      </c>
      <c r="W61" s="23"/>
      <c r="X61" s="23"/>
      <c r="Y61" s="26"/>
      <c r="Z61" s="26"/>
      <c r="AA61" s="503"/>
      <c r="AB61" s="504"/>
      <c r="AC61" s="154"/>
      <c r="AD61" s="25"/>
      <c r="AE61" s="19">
        <f t="shared" si="8"/>
        <v>-61.666666666668334</v>
      </c>
      <c r="AF61" s="415">
        <f t="shared" si="9"/>
        <v>0.96916666666666584</v>
      </c>
      <c r="AG61" s="489"/>
    </row>
    <row r="62" spans="1:33" ht="15.75" customHeight="1">
      <c r="A62" s="507" t="s">
        <v>2680</v>
      </c>
      <c r="B62" s="42" t="s">
        <v>103</v>
      </c>
      <c r="C62" s="501" t="s">
        <v>108</v>
      </c>
      <c r="D62" s="502"/>
      <c r="E62" s="42">
        <v>54.29</v>
      </c>
      <c r="F62" s="46">
        <v>600</v>
      </c>
      <c r="G62" s="412">
        <f t="shared" si="35"/>
        <v>32574</v>
      </c>
      <c r="H62" s="425">
        <v>2</v>
      </c>
      <c r="I62" s="421">
        <v>20</v>
      </c>
      <c r="J62" s="37">
        <v>2000</v>
      </c>
      <c r="K62" s="17">
        <f t="shared" si="1"/>
        <v>100</v>
      </c>
      <c r="L62" s="421">
        <v>20</v>
      </c>
      <c r="M62" s="18">
        <f t="shared" si="36"/>
        <v>2000.000000000007</v>
      </c>
      <c r="N62" s="18">
        <f t="shared" si="3"/>
        <v>100.00000000000036</v>
      </c>
      <c r="O62" s="19">
        <f t="shared" si="4"/>
        <v>0</v>
      </c>
      <c r="P62" s="20">
        <f t="shared" si="5"/>
        <v>3.5527136788005009E-13</v>
      </c>
      <c r="Q62" s="415">
        <f t="shared" si="6"/>
        <v>1.0000000000000036</v>
      </c>
      <c r="R62" s="489"/>
      <c r="S62" s="40">
        <v>0.77777777777777779</v>
      </c>
      <c r="T62" s="40">
        <v>0.79027777777777775</v>
      </c>
      <c r="U62" s="412">
        <f t="shared" si="38"/>
        <v>5.9999999999999787</v>
      </c>
      <c r="V62" s="422">
        <f t="shared" si="37"/>
        <v>17.999999999999936</v>
      </c>
      <c r="W62" s="23"/>
      <c r="X62" s="23"/>
      <c r="Y62" s="26"/>
      <c r="Z62" s="26"/>
      <c r="AA62" s="503"/>
      <c r="AB62" s="504"/>
      <c r="AC62" s="154"/>
      <c r="AD62" s="25"/>
      <c r="AE62" s="19">
        <f t="shared" si="8"/>
        <v>7.0485839387401938E-12</v>
      </c>
      <c r="AF62" s="415">
        <f t="shared" si="9"/>
        <v>1.0000000000000036</v>
      </c>
      <c r="AG62" s="489"/>
    </row>
    <row r="63" spans="1:33">
      <c r="A63" s="507" t="s">
        <v>2680</v>
      </c>
      <c r="B63" s="42" t="s">
        <v>103</v>
      </c>
      <c r="C63" s="501" t="s">
        <v>141</v>
      </c>
      <c r="D63" s="502"/>
      <c r="E63" s="42">
        <v>57.73</v>
      </c>
      <c r="F63" s="46">
        <v>978</v>
      </c>
      <c r="G63" s="412">
        <f t="shared" si="35"/>
        <v>56459.939999999995</v>
      </c>
      <c r="H63" s="425" t="s">
        <v>79</v>
      </c>
      <c r="I63" s="421">
        <v>16</v>
      </c>
      <c r="J63" s="37">
        <v>1500</v>
      </c>
      <c r="K63" s="17">
        <f t="shared" si="1"/>
        <v>93.75</v>
      </c>
      <c r="L63" s="421">
        <v>16</v>
      </c>
      <c r="M63" s="18">
        <f t="shared" si="36"/>
        <v>1431.2195121951213</v>
      </c>
      <c r="N63" s="18">
        <f t="shared" si="3"/>
        <v>89.451219512195081</v>
      </c>
      <c r="O63" s="19">
        <f t="shared" si="4"/>
        <v>0</v>
      </c>
      <c r="P63" s="20">
        <f t="shared" si="5"/>
        <v>-4.2987804878049189</v>
      </c>
      <c r="Q63" s="415">
        <f t="shared" si="6"/>
        <v>0.95414634146341415</v>
      </c>
      <c r="R63" s="489"/>
      <c r="S63" s="40">
        <v>0.7944444444444444</v>
      </c>
      <c r="T63" s="40">
        <v>0.82291666666666663</v>
      </c>
      <c r="U63" s="412">
        <f t="shared" si="38"/>
        <v>5.9999999999999787</v>
      </c>
      <c r="V63" s="422">
        <f t="shared" si="37"/>
        <v>41.000000000000014</v>
      </c>
      <c r="W63" s="23">
        <f>T63</f>
        <v>0.82291666666666663</v>
      </c>
      <c r="X63" s="23">
        <f>S64</f>
        <v>0.86249999999999993</v>
      </c>
      <c r="Y63" s="26"/>
      <c r="Z63" s="26"/>
      <c r="AA63" s="503"/>
      <c r="AB63" s="504"/>
      <c r="AC63" s="154"/>
      <c r="AD63" s="25"/>
      <c r="AE63" s="19">
        <f t="shared" si="8"/>
        <v>-68.780487804878703</v>
      </c>
      <c r="AF63" s="415">
        <f t="shared" si="9"/>
        <v>0.95414634146341415</v>
      </c>
      <c r="AG63" s="489"/>
    </row>
    <row r="64" spans="1:33">
      <c r="A64" s="507" t="s">
        <v>2680</v>
      </c>
      <c r="B64" s="42" t="s">
        <v>103</v>
      </c>
      <c r="C64" s="501" t="s">
        <v>108</v>
      </c>
      <c r="D64" s="502"/>
      <c r="E64" s="42">
        <v>54.29</v>
      </c>
      <c r="F64" s="46">
        <v>1264</v>
      </c>
      <c r="G64" s="412">
        <f t="shared" si="35"/>
        <v>68622.559999999998</v>
      </c>
      <c r="H64" s="425" t="s">
        <v>79</v>
      </c>
      <c r="I64" s="421">
        <v>20</v>
      </c>
      <c r="J64" s="37">
        <v>2000</v>
      </c>
      <c r="K64" s="17">
        <f t="shared" si="1"/>
        <v>100</v>
      </c>
      <c r="L64" s="421">
        <v>20</v>
      </c>
      <c r="M64" s="18">
        <f t="shared" si="36"/>
        <v>1944.6153846153836</v>
      </c>
      <c r="N64" s="18">
        <f t="shared" si="3"/>
        <v>97.230769230769184</v>
      </c>
      <c r="O64" s="19">
        <f t="shared" si="4"/>
        <v>0</v>
      </c>
      <c r="P64" s="20">
        <f t="shared" si="5"/>
        <v>-2.7692307692308162</v>
      </c>
      <c r="Q64" s="415">
        <f t="shared" si="6"/>
        <v>0.97230769230769187</v>
      </c>
      <c r="R64" s="489"/>
      <c r="S64" s="40">
        <v>0.86249999999999993</v>
      </c>
      <c r="T64" s="40">
        <v>0.88958333333333328</v>
      </c>
      <c r="U64" s="412">
        <f t="shared" si="38"/>
        <v>56.999999999999957</v>
      </c>
      <c r="V64" s="422">
        <f t="shared" si="37"/>
        <v>39.000000000000021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-55.384615384616382</v>
      </c>
      <c r="AF64" s="415">
        <f t="shared" si="9"/>
        <v>0.97230769230769176</v>
      </c>
      <c r="AG64" s="489"/>
    </row>
    <row r="65" spans="1:33">
      <c r="A65" s="508" t="s">
        <v>2680</v>
      </c>
      <c r="B65" s="42" t="s">
        <v>2673</v>
      </c>
      <c r="C65" s="494"/>
      <c r="D65" s="494"/>
      <c r="E65" s="416"/>
      <c r="F65" s="44"/>
      <c r="G65" s="17"/>
      <c r="H65" s="423"/>
      <c r="I65" s="30">
        <v>18.8</v>
      </c>
      <c r="J65" s="37">
        <v>1950</v>
      </c>
      <c r="K65" s="17">
        <f t="shared" si="1"/>
        <v>103.72340425531914</v>
      </c>
      <c r="L65" s="30">
        <v>18.8</v>
      </c>
      <c r="M65" s="18">
        <f>AVERAGE(M55:M64)</f>
        <v>1829.6302907583492</v>
      </c>
      <c r="N65" s="17">
        <f t="shared" si="3"/>
        <v>97.320760146720701</v>
      </c>
      <c r="O65" s="19">
        <f t="shared" si="4"/>
        <v>0</v>
      </c>
      <c r="P65" s="20">
        <f t="shared" si="5"/>
        <v>-6.4026441085984374</v>
      </c>
      <c r="Q65" s="415">
        <f t="shared" si="6"/>
        <v>0.93827194397864067</v>
      </c>
      <c r="R65" s="489"/>
      <c r="S65" s="40"/>
      <c r="T65" s="40"/>
      <c r="U65" s="412"/>
      <c r="V65" s="422"/>
      <c r="W65" s="17"/>
      <c r="X65" s="17"/>
      <c r="Y65" s="31">
        <f>SUM(Y55:Y64)</f>
        <v>0</v>
      </c>
      <c r="Z65" s="31">
        <f>SUM(Z55:Z64)</f>
        <v>0</v>
      </c>
      <c r="AA65" s="495"/>
      <c r="AB65" s="495"/>
      <c r="AC65" s="31">
        <v>4</v>
      </c>
      <c r="AD65" s="31">
        <f>SUM(AD55:AD64)</f>
        <v>0</v>
      </c>
      <c r="AE65" s="19">
        <f>M65-J65</f>
        <v>-120.36970924165075</v>
      </c>
      <c r="AF65" s="415">
        <f t="shared" si="9"/>
        <v>0.93827194397864067</v>
      </c>
      <c r="AG65" s="489"/>
    </row>
    <row r="66" spans="1:33" ht="15.75" customHeight="1">
      <c r="A66" s="499" t="s">
        <v>2681</v>
      </c>
      <c r="B66" s="423" t="s">
        <v>100</v>
      </c>
      <c r="C66" s="490" t="s">
        <v>109</v>
      </c>
      <c r="D66" s="490"/>
      <c r="E66" s="42">
        <v>26.97</v>
      </c>
      <c r="F66" s="46">
        <v>2037</v>
      </c>
      <c r="G66" s="412">
        <f t="shared" ref="G66:G70" si="39">E66*F66</f>
        <v>54937.89</v>
      </c>
      <c r="H66" s="425" t="s">
        <v>79</v>
      </c>
      <c r="I66" s="421">
        <v>8</v>
      </c>
      <c r="J66" s="37">
        <v>1500</v>
      </c>
      <c r="K66" s="17">
        <f t="shared" si="1"/>
        <v>187.5</v>
      </c>
      <c r="L66" s="421">
        <v>8</v>
      </c>
      <c r="M66" s="18">
        <f t="shared" ref="M66:M70" si="40">F66/V66*60</f>
        <v>1437.8823529411768</v>
      </c>
      <c r="N66" s="17">
        <f t="shared" si="3"/>
        <v>179.7352941176471</v>
      </c>
      <c r="O66" s="19">
        <f t="shared" si="4"/>
        <v>0</v>
      </c>
      <c r="P66" s="20">
        <f t="shared" si="5"/>
        <v>-7.7647058823528994</v>
      </c>
      <c r="Q66" s="415">
        <f t="shared" si="6"/>
        <v>0.95858823529411785</v>
      </c>
      <c r="R66" s="489">
        <f>Q71</f>
        <v>0.95936079092099014</v>
      </c>
      <c r="S66" s="40">
        <v>0.20833333333333334</v>
      </c>
      <c r="T66" s="40">
        <v>0.2673611111111111</v>
      </c>
      <c r="U66" s="412"/>
      <c r="V66" s="422">
        <f t="shared" ref="V66:V70" si="41">(T66-S66)*24*60</f>
        <v>84.999999999999972</v>
      </c>
      <c r="W66" s="28"/>
      <c r="X66" s="28"/>
      <c r="Y66" s="28"/>
      <c r="Z66" s="28"/>
      <c r="AA66" s="491"/>
      <c r="AB66" s="491"/>
      <c r="AC66" s="154">
        <v>1</v>
      </c>
      <c r="AD66" s="25"/>
      <c r="AE66" s="19">
        <f t="shared" ref="AE66:AE77" si="42">M66-J66</f>
        <v>-62.117647058823195</v>
      </c>
      <c r="AF66" s="415">
        <f t="shared" si="9"/>
        <v>0.95858823529411785</v>
      </c>
      <c r="AG66" s="489">
        <f>AF71</f>
        <v>0.95936079092099014</v>
      </c>
    </row>
    <row r="67" spans="1:33" ht="15.75" customHeight="1">
      <c r="A67" s="499" t="s">
        <v>2681</v>
      </c>
      <c r="B67" s="423" t="s">
        <v>100</v>
      </c>
      <c r="C67" s="490" t="s">
        <v>519</v>
      </c>
      <c r="D67" s="490"/>
      <c r="E67" s="42">
        <v>27.4</v>
      </c>
      <c r="F67" s="46">
        <v>1354</v>
      </c>
      <c r="G67" s="412">
        <f t="shared" si="39"/>
        <v>37099.599999999999</v>
      </c>
      <c r="H67" s="425" t="s">
        <v>79</v>
      </c>
      <c r="I67" s="421">
        <v>10</v>
      </c>
      <c r="J67" s="37">
        <v>1500</v>
      </c>
      <c r="K67" s="17">
        <f t="shared" si="1"/>
        <v>150</v>
      </c>
      <c r="L67" s="421">
        <v>10</v>
      </c>
      <c r="M67" s="18">
        <f t="shared" si="40"/>
        <v>1425.263157894736</v>
      </c>
      <c r="N67" s="17">
        <f t="shared" si="3"/>
        <v>142.52631578947359</v>
      </c>
      <c r="O67" s="19">
        <f t="shared" si="4"/>
        <v>0</v>
      </c>
      <c r="P67" s="20">
        <f t="shared" si="5"/>
        <v>-7.4736842105264145</v>
      </c>
      <c r="Q67" s="415">
        <f t="shared" si="6"/>
        <v>0.95017543859649056</v>
      </c>
      <c r="R67" s="489"/>
      <c r="S67" s="40">
        <v>0.27083333333333331</v>
      </c>
      <c r="T67" s="40">
        <v>0.31041666666666667</v>
      </c>
      <c r="U67" s="412">
        <f t="shared" ref="U67:U70" si="43">(S67-T66)*24*60</f>
        <v>4.9999999999999822</v>
      </c>
      <c r="V67" s="422">
        <f t="shared" si="41"/>
        <v>57.000000000000036</v>
      </c>
      <c r="W67" s="412"/>
      <c r="X67" s="412"/>
      <c r="Y67" s="412"/>
      <c r="Z67" s="412"/>
      <c r="AA67" s="491"/>
      <c r="AB67" s="491"/>
      <c r="AC67" s="154"/>
      <c r="AD67" s="25"/>
      <c r="AE67" s="19">
        <f t="shared" si="42"/>
        <v>-74.736842105264031</v>
      </c>
      <c r="AF67" s="415">
        <f t="shared" si="9"/>
        <v>0.95017543859649067</v>
      </c>
      <c r="AG67" s="489"/>
    </row>
    <row r="68" spans="1:33" ht="15.75" customHeight="1">
      <c r="A68" s="499" t="s">
        <v>2681</v>
      </c>
      <c r="B68" s="423" t="s">
        <v>93</v>
      </c>
      <c r="C68" s="490" t="s">
        <v>97</v>
      </c>
      <c r="D68" s="490"/>
      <c r="E68" s="42">
        <v>31</v>
      </c>
      <c r="F68" s="46">
        <v>867</v>
      </c>
      <c r="G68" s="412">
        <f t="shared" si="39"/>
        <v>26877</v>
      </c>
      <c r="H68" s="425" t="s">
        <v>79</v>
      </c>
      <c r="I68" s="421">
        <v>13</v>
      </c>
      <c r="J68" s="37">
        <v>2000</v>
      </c>
      <c r="K68" s="17">
        <f t="shared" si="1"/>
        <v>153.84615384615384</v>
      </c>
      <c r="L68" s="421">
        <v>13</v>
      </c>
      <c r="M68" s="18">
        <f t="shared" si="40"/>
        <v>1926.6666666666677</v>
      </c>
      <c r="N68" s="17">
        <f t="shared" si="3"/>
        <v>148.20512820512829</v>
      </c>
      <c r="O68" s="19">
        <f t="shared" si="4"/>
        <v>0</v>
      </c>
      <c r="P68" s="20">
        <f t="shared" si="5"/>
        <v>-5.6410256410255499</v>
      </c>
      <c r="Q68" s="415">
        <f t="shared" si="6"/>
        <v>0.96333333333333393</v>
      </c>
      <c r="R68" s="489"/>
      <c r="S68" s="40">
        <v>0.31388888888888888</v>
      </c>
      <c r="T68" s="40">
        <v>0.33263888888888887</v>
      </c>
      <c r="U68" s="412">
        <f t="shared" si="43"/>
        <v>4.9999999999999822</v>
      </c>
      <c r="V68" s="422">
        <f t="shared" si="41"/>
        <v>26.999999999999986</v>
      </c>
      <c r="W68" s="412"/>
      <c r="X68" s="412"/>
      <c r="Y68" s="412"/>
      <c r="Z68" s="412"/>
      <c r="AA68" s="491"/>
      <c r="AB68" s="491"/>
      <c r="AC68" s="154" t="s">
        <v>79</v>
      </c>
      <c r="AD68" s="25"/>
      <c r="AE68" s="19">
        <f t="shared" si="42"/>
        <v>-73.333333333332348</v>
      </c>
      <c r="AF68" s="415">
        <f t="shared" si="9"/>
        <v>0.96333333333333382</v>
      </c>
      <c r="AG68" s="489"/>
    </row>
    <row r="69" spans="1:33" ht="15.75" customHeight="1">
      <c r="A69" s="499" t="s">
        <v>2681</v>
      </c>
      <c r="B69" s="423" t="s">
        <v>93</v>
      </c>
      <c r="C69" s="490" t="s">
        <v>1235</v>
      </c>
      <c r="D69" s="490"/>
      <c r="E69" s="42">
        <v>37.85</v>
      </c>
      <c r="F69" s="46">
        <v>2601</v>
      </c>
      <c r="G69" s="412">
        <f t="shared" si="39"/>
        <v>98447.85</v>
      </c>
      <c r="H69" s="425" t="s">
        <v>79</v>
      </c>
      <c r="I69" s="421">
        <v>12</v>
      </c>
      <c r="J69" s="37">
        <v>2000</v>
      </c>
      <c r="K69" s="17">
        <f t="shared" ref="K69:K89" si="44">J69/I69</f>
        <v>166.66666666666666</v>
      </c>
      <c r="L69" s="421">
        <v>12</v>
      </c>
      <c r="M69" s="18">
        <f t="shared" si="40"/>
        <v>1903.1707317073165</v>
      </c>
      <c r="N69" s="17">
        <f t="shared" ref="N69:N89" si="45">M69/L69</f>
        <v>158.5975609756097</v>
      </c>
      <c r="O69" s="19">
        <f t="shared" ref="O69:O89" si="46">L69-I69</f>
        <v>0</v>
      </c>
      <c r="P69" s="20">
        <f t="shared" ref="P69:P89" si="47">N69-K69</f>
        <v>-8.0691056910569614</v>
      </c>
      <c r="Q69" s="415">
        <f t="shared" ref="Q69:Q89" si="48">N69/K69</f>
        <v>0.95158536585365827</v>
      </c>
      <c r="R69" s="489"/>
      <c r="S69" s="40">
        <v>0.33749999999999997</v>
      </c>
      <c r="T69" s="40">
        <v>0.39444444444444443</v>
      </c>
      <c r="U69" s="412">
        <f t="shared" si="43"/>
        <v>6.9999999999999751</v>
      </c>
      <c r="V69" s="422">
        <f t="shared" si="41"/>
        <v>82.000000000000028</v>
      </c>
      <c r="W69" s="412"/>
      <c r="X69" s="412"/>
      <c r="Y69" s="412"/>
      <c r="Z69" s="412"/>
      <c r="AA69" s="491"/>
      <c r="AB69" s="491"/>
      <c r="AC69" s="154" t="s">
        <v>79</v>
      </c>
      <c r="AD69" s="25"/>
      <c r="AE69" s="19">
        <f t="shared" si="42"/>
        <v>-96.829268292683537</v>
      </c>
      <c r="AF69" s="415">
        <f t="shared" ref="AF69:AF89" si="49">M69/J69</f>
        <v>0.95158536585365827</v>
      </c>
      <c r="AG69" s="489"/>
    </row>
    <row r="70" spans="1:33">
      <c r="A70" s="500" t="s">
        <v>791</v>
      </c>
      <c r="B70" s="423" t="s">
        <v>93</v>
      </c>
      <c r="C70" s="490" t="s">
        <v>113</v>
      </c>
      <c r="D70" s="490"/>
      <c r="E70" s="42">
        <v>34.36</v>
      </c>
      <c r="F70" s="46">
        <v>1547</v>
      </c>
      <c r="G70" s="412">
        <f t="shared" si="39"/>
        <v>53154.92</v>
      </c>
      <c r="H70" s="425" t="s">
        <v>79</v>
      </c>
      <c r="I70" s="421">
        <v>10</v>
      </c>
      <c r="J70" s="37">
        <v>3000</v>
      </c>
      <c r="K70" s="17">
        <f t="shared" si="44"/>
        <v>300</v>
      </c>
      <c r="L70" s="421">
        <v>10</v>
      </c>
      <c r="M70" s="18">
        <f t="shared" si="40"/>
        <v>2900.6250000000036</v>
      </c>
      <c r="N70" s="17">
        <f t="shared" si="45"/>
        <v>290.06250000000034</v>
      </c>
      <c r="O70" s="19">
        <f t="shared" si="46"/>
        <v>0</v>
      </c>
      <c r="P70" s="20">
        <f t="shared" si="47"/>
        <v>-9.9374999999996589</v>
      </c>
      <c r="Q70" s="415">
        <f t="shared" si="48"/>
        <v>0.96687500000000115</v>
      </c>
      <c r="R70" s="489"/>
      <c r="S70" s="40">
        <v>0.39861111111111108</v>
      </c>
      <c r="T70" s="40">
        <v>0.42083333333333328</v>
      </c>
      <c r="U70" s="412">
        <f t="shared" si="43"/>
        <v>5.9999999999999787</v>
      </c>
      <c r="V70" s="422">
        <f t="shared" si="41"/>
        <v>31.999999999999964</v>
      </c>
      <c r="W70" s="23"/>
      <c r="X70" s="23"/>
      <c r="Y70" s="23"/>
      <c r="Z70" s="23"/>
      <c r="AA70" s="491"/>
      <c r="AB70" s="491"/>
      <c r="AC70" s="154" t="s">
        <v>79</v>
      </c>
      <c r="AD70" s="25"/>
      <c r="AE70" s="19">
        <f t="shared" si="42"/>
        <v>-99.374999999996362</v>
      </c>
      <c r="AF70" s="415">
        <f t="shared" si="49"/>
        <v>0.96687500000000126</v>
      </c>
      <c r="AG70" s="489"/>
    </row>
    <row r="71" spans="1:33">
      <c r="A71" s="500" t="s">
        <v>2681</v>
      </c>
      <c r="B71" s="42" t="s">
        <v>2673</v>
      </c>
      <c r="C71" s="494"/>
      <c r="D71" s="494"/>
      <c r="E71" s="416"/>
      <c r="F71" s="44"/>
      <c r="G71" s="17"/>
      <c r="H71" s="423"/>
      <c r="I71" s="30">
        <v>10.6</v>
      </c>
      <c r="J71" s="37">
        <v>2000</v>
      </c>
      <c r="K71" s="17">
        <f t="shared" si="44"/>
        <v>188.67924528301887</v>
      </c>
      <c r="L71" s="30">
        <v>10.6</v>
      </c>
      <c r="M71" s="18">
        <f>AVERAGE(M66:M70)</f>
        <v>1918.7215818419802</v>
      </c>
      <c r="N71" s="17">
        <f t="shared" si="45"/>
        <v>181.01146998509248</v>
      </c>
      <c r="O71" s="19">
        <f t="shared" si="46"/>
        <v>0</v>
      </c>
      <c r="P71" s="20">
        <f t="shared" si="47"/>
        <v>-7.6677752979263971</v>
      </c>
      <c r="Q71" s="415">
        <f t="shared" si="48"/>
        <v>0.95936079092099014</v>
      </c>
      <c r="R71" s="489"/>
      <c r="S71" s="40"/>
      <c r="T71" s="40"/>
      <c r="U71" s="17"/>
      <c r="V71" s="422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v>1</v>
      </c>
      <c r="AD71" s="31">
        <f>SUM(AD66:AD70)</f>
        <v>0</v>
      </c>
      <c r="AE71" s="19">
        <f t="shared" si="42"/>
        <v>-81.278418158019804</v>
      </c>
      <c r="AF71" s="415">
        <f t="shared" si="49"/>
        <v>0.95936079092099014</v>
      </c>
      <c r="AG71" s="489"/>
    </row>
    <row r="72" spans="1:33" ht="15.75" customHeight="1">
      <c r="A72" s="496" t="s">
        <v>2682</v>
      </c>
      <c r="B72" s="423" t="s">
        <v>80</v>
      </c>
      <c r="C72" s="490" t="s">
        <v>115</v>
      </c>
      <c r="D72" s="490"/>
      <c r="E72" s="42">
        <v>20.2</v>
      </c>
      <c r="F72" s="423">
        <v>1406</v>
      </c>
      <c r="G72" s="412">
        <f t="shared" ref="G72:G76" si="50">E72*F72</f>
        <v>28401.200000000001</v>
      </c>
      <c r="H72" s="425" t="s">
        <v>79</v>
      </c>
      <c r="I72" s="421">
        <v>19</v>
      </c>
      <c r="J72" s="37">
        <v>2400</v>
      </c>
      <c r="K72" s="17">
        <f t="shared" si="44"/>
        <v>126.31578947368421</v>
      </c>
      <c r="L72" s="421">
        <v>19</v>
      </c>
      <c r="M72" s="18">
        <f t="shared" ref="M72:M76" si="51">F72/V72*60</f>
        <v>2343.3333333333339</v>
      </c>
      <c r="N72" s="17">
        <f t="shared" si="45"/>
        <v>123.33333333333337</v>
      </c>
      <c r="O72" s="19">
        <f t="shared" si="46"/>
        <v>0</v>
      </c>
      <c r="P72" s="20">
        <f t="shared" si="47"/>
        <v>-2.9824561403508341</v>
      </c>
      <c r="Q72" s="415">
        <f t="shared" si="48"/>
        <v>0.97638888888888919</v>
      </c>
      <c r="R72" s="489">
        <f>Q77</f>
        <v>0.96099755851147584</v>
      </c>
      <c r="S72" s="40">
        <v>0.125</v>
      </c>
      <c r="T72" s="40">
        <v>0.15</v>
      </c>
      <c r="U72" s="28"/>
      <c r="V72" s="422">
        <f t="shared" ref="V72:V76" si="52">(T72-S72)*24*60</f>
        <v>35.999999999999993</v>
      </c>
      <c r="W72" s="23">
        <f>T72</f>
        <v>0.15</v>
      </c>
      <c r="X72" s="23">
        <f>S73</f>
        <v>0.16875000000000001</v>
      </c>
      <c r="Y72" s="23"/>
      <c r="Z72" s="23"/>
      <c r="AA72" s="491"/>
      <c r="AB72" s="491"/>
      <c r="AC72" s="154">
        <v>6</v>
      </c>
      <c r="AD72" s="25"/>
      <c r="AE72" s="19">
        <f t="shared" si="42"/>
        <v>-56.66666666666606</v>
      </c>
      <c r="AF72" s="415">
        <f t="shared" si="49"/>
        <v>0.97638888888888919</v>
      </c>
      <c r="AG72" s="489">
        <f>AF77</f>
        <v>0.96099755851147584</v>
      </c>
    </row>
    <row r="73" spans="1:33" ht="15.75" customHeight="1">
      <c r="A73" s="497" t="s">
        <v>2682</v>
      </c>
      <c r="B73" s="423" t="s">
        <v>80</v>
      </c>
      <c r="C73" s="490" t="s">
        <v>116</v>
      </c>
      <c r="D73" s="490"/>
      <c r="E73" s="42">
        <v>20.52</v>
      </c>
      <c r="F73" s="423">
        <v>2286</v>
      </c>
      <c r="G73" s="412">
        <f t="shared" si="50"/>
        <v>46908.72</v>
      </c>
      <c r="H73" s="425" t="s">
        <v>79</v>
      </c>
      <c r="I73" s="421">
        <v>18</v>
      </c>
      <c r="J73" s="37">
        <v>2400</v>
      </c>
      <c r="K73" s="17">
        <f t="shared" si="44"/>
        <v>133.33333333333334</v>
      </c>
      <c r="L73" s="421">
        <v>18</v>
      </c>
      <c r="M73" s="18">
        <f t="shared" si="51"/>
        <v>2286.0000000000005</v>
      </c>
      <c r="N73" s="17">
        <f t="shared" si="45"/>
        <v>127.00000000000003</v>
      </c>
      <c r="O73" s="19">
        <f t="shared" si="46"/>
        <v>0</v>
      </c>
      <c r="P73" s="20">
        <f t="shared" si="47"/>
        <v>-6.3333333333333144</v>
      </c>
      <c r="Q73" s="415">
        <f t="shared" si="48"/>
        <v>0.95250000000000012</v>
      </c>
      <c r="R73" s="489"/>
      <c r="S73" s="40">
        <v>0.16875000000000001</v>
      </c>
      <c r="T73" s="40">
        <v>0.21041666666666667</v>
      </c>
      <c r="U73" s="412">
        <f t="shared" ref="U73:U76" si="53">(S73-T72)*24*60</f>
        <v>27.000000000000025</v>
      </c>
      <c r="V73" s="422">
        <f t="shared" si="52"/>
        <v>59.999999999999986</v>
      </c>
      <c r="W73" s="23"/>
      <c r="X73" s="23"/>
      <c r="Y73" s="23"/>
      <c r="Z73" s="23"/>
      <c r="AA73" s="491"/>
      <c r="AB73" s="491"/>
      <c r="AC73" s="154"/>
      <c r="AD73" s="25"/>
      <c r="AE73" s="19">
        <f t="shared" si="42"/>
        <v>-113.99999999999955</v>
      </c>
      <c r="AF73" s="415">
        <f t="shared" si="49"/>
        <v>0.95250000000000024</v>
      </c>
      <c r="AG73" s="489"/>
    </row>
    <row r="74" spans="1:33" ht="15.75" customHeight="1">
      <c r="A74" s="497" t="s">
        <v>2682</v>
      </c>
      <c r="B74" s="423" t="s">
        <v>80</v>
      </c>
      <c r="C74" s="490" t="s">
        <v>119</v>
      </c>
      <c r="D74" s="490"/>
      <c r="E74" s="42">
        <v>19.02</v>
      </c>
      <c r="F74" s="423">
        <v>7135</v>
      </c>
      <c r="G74" s="412">
        <f t="shared" si="50"/>
        <v>135707.69999999998</v>
      </c>
      <c r="H74" s="425" t="s">
        <v>79</v>
      </c>
      <c r="I74" s="421">
        <v>15</v>
      </c>
      <c r="J74" s="37">
        <v>2400</v>
      </c>
      <c r="K74" s="17">
        <f t="shared" si="44"/>
        <v>160</v>
      </c>
      <c r="L74" s="421">
        <v>15</v>
      </c>
      <c r="M74" s="18">
        <f t="shared" si="51"/>
        <v>2289.3048128342252</v>
      </c>
      <c r="N74" s="17">
        <f t="shared" si="45"/>
        <v>152.62032085561501</v>
      </c>
      <c r="O74" s="19">
        <f t="shared" si="46"/>
        <v>0</v>
      </c>
      <c r="P74" s="20">
        <f t="shared" si="47"/>
        <v>-7.3796791443849941</v>
      </c>
      <c r="Q74" s="415">
        <f t="shared" si="48"/>
        <v>0.95387700534759379</v>
      </c>
      <c r="R74" s="489"/>
      <c r="S74" s="40">
        <v>0.21527777777777779</v>
      </c>
      <c r="T74" s="40">
        <v>0.34513888888888888</v>
      </c>
      <c r="U74" s="412">
        <f t="shared" si="53"/>
        <v>7.0000000000000151</v>
      </c>
      <c r="V74" s="422">
        <f t="shared" si="52"/>
        <v>186.99999999999997</v>
      </c>
      <c r="W74" s="23"/>
      <c r="X74" s="23"/>
      <c r="Y74" s="23"/>
      <c r="Z74" s="23"/>
      <c r="AA74" s="491"/>
      <c r="AB74" s="491"/>
      <c r="AC74" s="154"/>
      <c r="AD74" s="25"/>
      <c r="AE74" s="19">
        <f t="shared" si="42"/>
        <v>-110.69518716577477</v>
      </c>
      <c r="AF74" s="415">
        <f t="shared" si="49"/>
        <v>0.9538770053475939</v>
      </c>
      <c r="AG74" s="489"/>
    </row>
    <row r="75" spans="1:33" ht="15.75" customHeight="1">
      <c r="A75" s="497" t="s">
        <v>2683</v>
      </c>
      <c r="B75" s="423" t="s">
        <v>80</v>
      </c>
      <c r="C75" s="490" t="s">
        <v>117</v>
      </c>
      <c r="D75" s="490"/>
      <c r="E75" s="42">
        <v>24.43</v>
      </c>
      <c r="F75" s="423">
        <v>4909</v>
      </c>
      <c r="G75" s="412">
        <f t="shared" si="50"/>
        <v>119926.87</v>
      </c>
      <c r="H75" s="425" t="s">
        <v>79</v>
      </c>
      <c r="I75" s="421">
        <v>14</v>
      </c>
      <c r="J75" s="37">
        <v>2400</v>
      </c>
      <c r="K75" s="17">
        <f t="shared" si="44"/>
        <v>171.42857142857142</v>
      </c>
      <c r="L75" s="421">
        <v>14</v>
      </c>
      <c r="M75" s="18">
        <f t="shared" si="51"/>
        <v>2301.0937499999995</v>
      </c>
      <c r="N75" s="17">
        <f t="shared" si="45"/>
        <v>164.36383928571425</v>
      </c>
      <c r="O75" s="19">
        <f t="shared" si="46"/>
        <v>0</v>
      </c>
      <c r="P75" s="20">
        <f t="shared" si="47"/>
        <v>-7.0647321428571672</v>
      </c>
      <c r="Q75" s="415">
        <f t="shared" si="48"/>
        <v>0.95878906249999984</v>
      </c>
      <c r="R75" s="489"/>
      <c r="S75" s="40">
        <v>0.34861111111111109</v>
      </c>
      <c r="T75" s="40">
        <v>0.4375</v>
      </c>
      <c r="U75" s="412">
        <f t="shared" si="53"/>
        <v>4.9999999999999822</v>
      </c>
      <c r="V75" s="422">
        <f t="shared" si="52"/>
        <v>128.00000000000003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2"/>
        <v>-98.906250000000455</v>
      </c>
      <c r="AF75" s="415">
        <f t="shared" si="49"/>
        <v>0.95878906249999984</v>
      </c>
      <c r="AG75" s="489"/>
    </row>
    <row r="76" spans="1:33" ht="15.75" customHeight="1">
      <c r="A76" s="497" t="s">
        <v>2682</v>
      </c>
      <c r="B76" s="423" t="s">
        <v>80</v>
      </c>
      <c r="C76" s="490" t="s">
        <v>118</v>
      </c>
      <c r="D76" s="490"/>
      <c r="E76" s="42">
        <v>20.21</v>
      </c>
      <c r="F76" s="423">
        <v>2582</v>
      </c>
      <c r="G76" s="412">
        <f t="shared" si="50"/>
        <v>52182.22</v>
      </c>
      <c r="H76" s="425" t="s">
        <v>79</v>
      </c>
      <c r="I76" s="421">
        <v>16</v>
      </c>
      <c r="J76" s="37">
        <v>2400</v>
      </c>
      <c r="K76" s="17">
        <f t="shared" si="44"/>
        <v>150</v>
      </c>
      <c r="L76" s="421">
        <v>16</v>
      </c>
      <c r="M76" s="18">
        <f t="shared" si="51"/>
        <v>2312.2388059701493</v>
      </c>
      <c r="N76" s="17">
        <f t="shared" si="45"/>
        <v>144.51492537313433</v>
      </c>
      <c r="O76" s="19">
        <f t="shared" si="46"/>
        <v>0</v>
      </c>
      <c r="P76" s="20">
        <f t="shared" si="47"/>
        <v>-5.4850746268656678</v>
      </c>
      <c r="Q76" s="415">
        <f t="shared" si="48"/>
        <v>0.96343283582089556</v>
      </c>
      <c r="R76" s="489"/>
      <c r="S76" s="40">
        <v>0.44166666666666665</v>
      </c>
      <c r="T76" s="40">
        <v>0.48819444444444443</v>
      </c>
      <c r="U76" s="412">
        <f t="shared" si="53"/>
        <v>5.9999999999999787</v>
      </c>
      <c r="V76" s="422">
        <f t="shared" si="52"/>
        <v>67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2"/>
        <v>-87.761194029850685</v>
      </c>
      <c r="AF76" s="415">
        <f t="shared" si="49"/>
        <v>0.96343283582089556</v>
      </c>
      <c r="AG76" s="489"/>
    </row>
    <row r="77" spans="1:33" ht="16.5" customHeight="1">
      <c r="A77" s="498" t="s">
        <v>2682</v>
      </c>
      <c r="B77" s="42" t="s">
        <v>2684</v>
      </c>
      <c r="C77" s="492"/>
      <c r="D77" s="493"/>
      <c r="E77" s="416"/>
      <c r="F77" s="44"/>
      <c r="G77" s="17"/>
      <c r="H77" s="423"/>
      <c r="I77" s="30">
        <v>16.399999999999999</v>
      </c>
      <c r="J77" s="37">
        <v>2400</v>
      </c>
      <c r="K77" s="17">
        <f t="shared" si="44"/>
        <v>146.34146341463415</v>
      </c>
      <c r="L77" s="30">
        <v>16.399999999999999</v>
      </c>
      <c r="M77" s="18">
        <f>AVERAGE(M72:M76)</f>
        <v>2306.394140427542</v>
      </c>
      <c r="N77" s="17">
        <f t="shared" si="45"/>
        <v>140.63378905045988</v>
      </c>
      <c r="O77" s="19">
        <f t="shared" si="46"/>
        <v>0</v>
      </c>
      <c r="P77" s="20">
        <f t="shared" si="47"/>
        <v>-5.7076743641742667</v>
      </c>
      <c r="Q77" s="415">
        <f t="shared" si="48"/>
        <v>0.96099755851147584</v>
      </c>
      <c r="R77" s="489"/>
      <c r="S77" s="40"/>
      <c r="T77" s="40"/>
      <c r="U77" s="17"/>
      <c r="V77" s="422"/>
      <c r="W77" s="17"/>
      <c r="X77" s="17"/>
      <c r="Y77" s="31">
        <f>SUM(Y72:Y76)</f>
        <v>0</v>
      </c>
      <c r="Z77" s="31">
        <f>SUM(Z72:Z76)</f>
        <v>0</v>
      </c>
      <c r="AA77" s="495"/>
      <c r="AB77" s="495"/>
      <c r="AC77" s="31">
        <v>6</v>
      </c>
      <c r="AD77" s="31">
        <f>SUM(AD72:AD76)</f>
        <v>0</v>
      </c>
      <c r="AE77" s="19">
        <f t="shared" si="42"/>
        <v>-93.60585957245803</v>
      </c>
      <c r="AF77" s="415">
        <f t="shared" si="49"/>
        <v>0.96099755851147584</v>
      </c>
      <c r="AG77" s="489"/>
    </row>
    <row r="78" spans="1:33">
      <c r="D78" s="33"/>
      <c r="E78" s="33"/>
    </row>
  </sheetData>
  <mergeCells count="206">
    <mergeCell ref="AG72:AG77"/>
    <mergeCell ref="C73:D73"/>
    <mergeCell ref="AA73:AB73"/>
    <mergeCell ref="C74:D74"/>
    <mergeCell ref="AA74:AB74"/>
    <mergeCell ref="C75:D75"/>
    <mergeCell ref="AA75:AB75"/>
    <mergeCell ref="C76:D76"/>
    <mergeCell ref="AA76:AB76"/>
    <mergeCell ref="C77:D77"/>
    <mergeCell ref="AA69:AB69"/>
    <mergeCell ref="C70:D70"/>
    <mergeCell ref="AA70:AB70"/>
    <mergeCell ref="C71:D71"/>
    <mergeCell ref="AA71:AB71"/>
    <mergeCell ref="A72:A77"/>
    <mergeCell ref="C72:D72"/>
    <mergeCell ref="R72:R77"/>
    <mergeCell ref="AA72:AB72"/>
    <mergeCell ref="AA77:AB77"/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AA62:AB62"/>
    <mergeCell ref="C63:D63"/>
    <mergeCell ref="AA63:AB63"/>
    <mergeCell ref="C64:D64"/>
    <mergeCell ref="AA64:AB64"/>
    <mergeCell ref="C65:D65"/>
    <mergeCell ref="AA65:AB65"/>
    <mergeCell ref="AG55:AG65"/>
    <mergeCell ref="C56:D56"/>
    <mergeCell ref="AA56:AB56"/>
    <mergeCell ref="C57:D57"/>
    <mergeCell ref="AA57:AB57"/>
    <mergeCell ref="AA58:AB58"/>
    <mergeCell ref="AA59:AB59"/>
    <mergeCell ref="C60:D60"/>
    <mergeCell ref="AA60:AB60"/>
    <mergeCell ref="C61:D61"/>
    <mergeCell ref="C53:D53"/>
    <mergeCell ref="AA53:AB53"/>
    <mergeCell ref="C54:D54"/>
    <mergeCell ref="AA54:AB54"/>
    <mergeCell ref="A55:A65"/>
    <mergeCell ref="C55:D55"/>
    <mergeCell ref="R55:R65"/>
    <mergeCell ref="AA55:AB55"/>
    <mergeCell ref="AA61:AB61"/>
    <mergeCell ref="C62:D62"/>
    <mergeCell ref="C50:D50"/>
    <mergeCell ref="AA50:AB50"/>
    <mergeCell ref="C51:D51"/>
    <mergeCell ref="AA51:AB51"/>
    <mergeCell ref="C52:D52"/>
    <mergeCell ref="AA52:AB52"/>
    <mergeCell ref="AG44:AG54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41:AB41"/>
    <mergeCell ref="C42:D42"/>
    <mergeCell ref="AA42:AB42"/>
    <mergeCell ref="C43:D43"/>
    <mergeCell ref="AA43:AB43"/>
    <mergeCell ref="A44:A54"/>
    <mergeCell ref="C44:D44"/>
    <mergeCell ref="R44:R54"/>
    <mergeCell ref="AA44:AB44"/>
    <mergeCell ref="AA49:AB49"/>
    <mergeCell ref="A38:A43"/>
    <mergeCell ref="C38:D38"/>
    <mergeCell ref="R38:R43"/>
    <mergeCell ref="AA38:AB38"/>
    <mergeCell ref="AG38:AG43"/>
    <mergeCell ref="C39:D39"/>
    <mergeCell ref="AA39:AB39"/>
    <mergeCell ref="C40:D40"/>
    <mergeCell ref="AA40:AB40"/>
    <mergeCell ref="C41:D41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30:D30"/>
    <mergeCell ref="AA30:AB30"/>
    <mergeCell ref="A31:A37"/>
    <mergeCell ref="C31:D31"/>
    <mergeCell ref="R31:R37"/>
    <mergeCell ref="AA31:AB31"/>
    <mergeCell ref="AA36:AB36"/>
    <mergeCell ref="C37:D37"/>
    <mergeCell ref="AA37:AB37"/>
    <mergeCell ref="AA26:AB26"/>
    <mergeCell ref="C27:D27"/>
    <mergeCell ref="AA27:AB27"/>
    <mergeCell ref="C28:D28"/>
    <mergeCell ref="AA28:AB28"/>
    <mergeCell ref="C29:D29"/>
    <mergeCell ref="AA29:AB29"/>
    <mergeCell ref="A23:A30"/>
    <mergeCell ref="C23:D23"/>
    <mergeCell ref="R23:R30"/>
    <mergeCell ref="AA23:AB23"/>
    <mergeCell ref="AG23:AG30"/>
    <mergeCell ref="C24:D24"/>
    <mergeCell ref="AA24:AB24"/>
    <mergeCell ref="C25:D25"/>
    <mergeCell ref="AA25:AB25"/>
    <mergeCell ref="C26:D26"/>
    <mergeCell ref="C19:D19"/>
    <mergeCell ref="AA19:AB19"/>
    <mergeCell ref="C20:D20"/>
    <mergeCell ref="AA20:AB20"/>
    <mergeCell ref="AA21:AB21"/>
    <mergeCell ref="C22:D22"/>
    <mergeCell ref="AA22:AB22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AA14:AB14"/>
    <mergeCell ref="A15:A22"/>
    <mergeCell ref="C15:D15"/>
    <mergeCell ref="R15:R22"/>
    <mergeCell ref="AA15:AB15"/>
    <mergeCell ref="AG15:AG22"/>
    <mergeCell ref="C10:D10"/>
    <mergeCell ref="AA10:AB10"/>
    <mergeCell ref="C11:D11"/>
    <mergeCell ref="AA11:AB11"/>
    <mergeCell ref="A12:A14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5:O66 O69:O77 O5:O12 O14:O16 O54:O60 O22:O49">
    <cfRule type="cellIs" dxfId="89" priority="82" operator="greaterThan">
      <formula>0</formula>
    </cfRule>
  </conditionalFormatting>
  <conditionalFormatting sqref="P5:P10 P69:P70 AE69:AE70 P72:P76 P31:P36 P66 P12 P14:P16 P23:P29 P55:P60 P38:P49 AE5:AE66 AE72:AE77">
    <cfRule type="cellIs" dxfId="88" priority="86" operator="lessThan">
      <formula>0</formula>
    </cfRule>
  </conditionalFormatting>
  <conditionalFormatting sqref="AF69:AF70 Q65:Q66 Q69:Q77 Q5:Q12 Q14:Q16 Q54:Q60 Q22:Q49 AF5:AF66 AF72:AF77">
    <cfRule type="cellIs" dxfId="87" priority="83" operator="greaterThan">
      <formula>1</formula>
    </cfRule>
    <cfRule type="cellIs" dxfId="86" priority="84" operator="lessThan">
      <formula>0.8</formula>
    </cfRule>
  </conditionalFormatting>
  <conditionalFormatting sqref="AG15:AG16 R15:R16 AG69 R22:R28 AG22:AG28 AG65:AG66 R65:R66 R69:R77 AG5:AG12 R5:R12 R30:R49 AG30:AG49 AG54:AG60 R54:R60">
    <cfRule type="cellIs" dxfId="85" priority="88" operator="lessThan">
      <formula>0.8</formula>
    </cfRule>
  </conditionalFormatting>
  <conditionalFormatting sqref="AG44">
    <cfRule type="cellIs" dxfId="84" priority="90" operator="lessThan">
      <formula>0.8</formula>
    </cfRule>
  </conditionalFormatting>
  <conditionalFormatting sqref="AG23:AG28">
    <cfRule type="cellIs" dxfId="83" priority="87" operator="lessThan">
      <formula>0.8</formula>
    </cfRule>
  </conditionalFormatting>
  <conditionalFormatting sqref="AG31">
    <cfRule type="cellIs" dxfId="82" priority="89" operator="lessThan">
      <formula>0.8</formula>
    </cfRule>
  </conditionalFormatting>
  <conditionalFormatting sqref="AG38:AG42">
    <cfRule type="cellIs" dxfId="81" priority="85" operator="lessThan">
      <formula>0.8</formula>
    </cfRule>
  </conditionalFormatting>
  <conditionalFormatting sqref="AE71">
    <cfRule type="cellIs" dxfId="80" priority="81" operator="lessThan">
      <formula>0</formula>
    </cfRule>
  </conditionalFormatting>
  <conditionalFormatting sqref="AF71">
    <cfRule type="cellIs" dxfId="79" priority="79" operator="greaterThan">
      <formula>1</formula>
    </cfRule>
    <cfRule type="cellIs" dxfId="78" priority="80" operator="lessThan">
      <formula>0.8</formula>
    </cfRule>
  </conditionalFormatting>
  <conditionalFormatting sqref="O17:O18">
    <cfRule type="cellIs" dxfId="77" priority="74" operator="greaterThan">
      <formula>0</formula>
    </cfRule>
  </conditionalFormatting>
  <conditionalFormatting sqref="P17:P18">
    <cfRule type="cellIs" dxfId="76" priority="77" operator="lessThan">
      <formula>0</formula>
    </cfRule>
  </conditionalFormatting>
  <conditionalFormatting sqref="Q17:Q18">
    <cfRule type="cellIs" dxfId="75" priority="75" operator="greaterThan">
      <formula>1</formula>
    </cfRule>
    <cfRule type="cellIs" dxfId="74" priority="76" operator="lessThan">
      <formula>0.8</formula>
    </cfRule>
  </conditionalFormatting>
  <conditionalFormatting sqref="R17:R18 AG17:AG18">
    <cfRule type="cellIs" dxfId="73" priority="78" operator="lessThan">
      <formula>0.8</formula>
    </cfRule>
  </conditionalFormatting>
  <conditionalFormatting sqref="O13">
    <cfRule type="cellIs" dxfId="72" priority="70" operator="greaterThan">
      <formula>0</formula>
    </cfRule>
  </conditionalFormatting>
  <conditionalFormatting sqref="P13">
    <cfRule type="cellIs" dxfId="71" priority="73" operator="lessThan">
      <formula>0</formula>
    </cfRule>
  </conditionalFormatting>
  <conditionalFormatting sqref="Q13">
    <cfRule type="cellIs" dxfId="70" priority="71" operator="greaterThan">
      <formula>1</formula>
    </cfRule>
    <cfRule type="cellIs" dxfId="69" priority="72" operator="lessThan">
      <formula>0.8</formula>
    </cfRule>
  </conditionalFormatting>
  <conditionalFormatting sqref="O61">
    <cfRule type="cellIs" dxfId="68" priority="65" operator="greaterThan">
      <formula>0</formula>
    </cfRule>
  </conditionalFormatting>
  <conditionalFormatting sqref="P61">
    <cfRule type="cellIs" dxfId="67" priority="68" operator="lessThan">
      <formula>0</formula>
    </cfRule>
  </conditionalFormatting>
  <conditionalFormatting sqref="Q61">
    <cfRule type="cellIs" dxfId="66" priority="66" operator="greaterThan">
      <formula>1</formula>
    </cfRule>
    <cfRule type="cellIs" dxfId="65" priority="67" operator="lessThan">
      <formula>0.8</formula>
    </cfRule>
  </conditionalFormatting>
  <conditionalFormatting sqref="R61 AG61">
    <cfRule type="cellIs" dxfId="64" priority="69" operator="lessThan">
      <formula>0.8</formula>
    </cfRule>
  </conditionalFormatting>
  <conditionalFormatting sqref="O68">
    <cfRule type="cellIs" dxfId="63" priority="60" operator="greaterThan">
      <formula>0</formula>
    </cfRule>
  </conditionalFormatting>
  <conditionalFormatting sqref="P68 AE68">
    <cfRule type="cellIs" dxfId="62" priority="63" operator="lessThan">
      <formula>0</formula>
    </cfRule>
  </conditionalFormatting>
  <conditionalFormatting sqref="Q68 AF68">
    <cfRule type="cellIs" dxfId="61" priority="61" operator="greaterThan">
      <formula>1</formula>
    </cfRule>
    <cfRule type="cellIs" dxfId="60" priority="62" operator="lessThan">
      <formula>0.8</formula>
    </cfRule>
  </conditionalFormatting>
  <conditionalFormatting sqref="R68 AG68">
    <cfRule type="cellIs" dxfId="59" priority="64" operator="lessThan">
      <formula>0.8</formula>
    </cfRule>
  </conditionalFormatting>
  <conditionalFormatting sqref="O19:O20">
    <cfRule type="cellIs" dxfId="58" priority="55" operator="greaterThan">
      <formula>0</formula>
    </cfRule>
  </conditionalFormatting>
  <conditionalFormatting sqref="P19:P20">
    <cfRule type="cellIs" dxfId="57" priority="58" operator="lessThan">
      <formula>0</formula>
    </cfRule>
  </conditionalFormatting>
  <conditionalFormatting sqref="Q19:Q20">
    <cfRule type="cellIs" dxfId="56" priority="56" operator="greaterThan">
      <formula>1</formula>
    </cfRule>
    <cfRule type="cellIs" dxfId="55" priority="57" operator="lessThan">
      <formula>0.8</formula>
    </cfRule>
  </conditionalFormatting>
  <conditionalFormatting sqref="R19:R20 AG19:AG20">
    <cfRule type="cellIs" dxfId="54" priority="59" operator="lessThan">
      <formula>0.8</formula>
    </cfRule>
  </conditionalFormatting>
  <conditionalFormatting sqref="O50">
    <cfRule type="cellIs" dxfId="53" priority="49" operator="greaterThan">
      <formula>0</formula>
    </cfRule>
  </conditionalFormatting>
  <conditionalFormatting sqref="P50">
    <cfRule type="cellIs" dxfId="52" priority="53" operator="lessThan">
      <formula>0</formula>
    </cfRule>
  </conditionalFormatting>
  <conditionalFormatting sqref="Q50">
    <cfRule type="cellIs" dxfId="51" priority="50" operator="greaterThan">
      <formula>1</formula>
    </cfRule>
    <cfRule type="cellIs" dxfId="50" priority="51" operator="lessThan">
      <formula>0.8</formula>
    </cfRule>
  </conditionalFormatting>
  <conditionalFormatting sqref="R50 AG50">
    <cfRule type="cellIs" dxfId="49" priority="54" operator="lessThan">
      <formula>0.8</formula>
    </cfRule>
  </conditionalFormatting>
  <conditionalFormatting sqref="AG50">
    <cfRule type="cellIs" dxfId="48" priority="52" operator="lessThan">
      <formula>0.8</formula>
    </cfRule>
  </conditionalFormatting>
  <conditionalFormatting sqref="O51">
    <cfRule type="cellIs" dxfId="47" priority="43" operator="greaterThan">
      <formula>0</formula>
    </cfRule>
  </conditionalFormatting>
  <conditionalFormatting sqref="P51">
    <cfRule type="cellIs" dxfId="46" priority="47" operator="lessThan">
      <formula>0</formula>
    </cfRule>
  </conditionalFormatting>
  <conditionalFormatting sqref="Q51">
    <cfRule type="cellIs" dxfId="45" priority="44" operator="greaterThan">
      <formula>1</formula>
    </cfRule>
    <cfRule type="cellIs" dxfId="44" priority="45" operator="lessThan">
      <formula>0.8</formula>
    </cfRule>
  </conditionalFormatting>
  <conditionalFormatting sqref="R51 AG51">
    <cfRule type="cellIs" dxfId="43" priority="48" operator="lessThan">
      <formula>0.8</formula>
    </cfRule>
  </conditionalFormatting>
  <conditionalFormatting sqref="AG51">
    <cfRule type="cellIs" dxfId="42" priority="46" operator="lessThan">
      <formula>0.8</formula>
    </cfRule>
  </conditionalFormatting>
  <conditionalFormatting sqref="O62">
    <cfRule type="cellIs" dxfId="41" priority="38" operator="greaterThan">
      <formula>0</formula>
    </cfRule>
  </conditionalFormatting>
  <conditionalFormatting sqref="P62">
    <cfRule type="cellIs" dxfId="40" priority="41" operator="lessThan">
      <formula>0</formula>
    </cfRule>
  </conditionalFormatting>
  <conditionalFormatting sqref="Q62">
    <cfRule type="cellIs" dxfId="39" priority="39" operator="greaterThan">
      <formula>1</formula>
    </cfRule>
    <cfRule type="cellIs" dxfId="38" priority="40" operator="lessThan">
      <formula>0.8</formula>
    </cfRule>
  </conditionalFormatting>
  <conditionalFormatting sqref="AG62 R62">
    <cfRule type="cellIs" dxfId="37" priority="42" operator="lessThan">
      <formula>0.8</formula>
    </cfRule>
  </conditionalFormatting>
  <conditionalFormatting sqref="R29 AG29">
    <cfRule type="cellIs" dxfId="36" priority="37" operator="lessThan">
      <formula>0.8</formula>
    </cfRule>
  </conditionalFormatting>
  <conditionalFormatting sqref="AG29">
    <cfRule type="cellIs" dxfId="35" priority="36" operator="lessThan">
      <formula>0.8</formula>
    </cfRule>
  </conditionalFormatting>
  <conditionalFormatting sqref="O52">
    <cfRule type="cellIs" dxfId="34" priority="30" operator="greaterThan">
      <formula>0</formula>
    </cfRule>
  </conditionalFormatting>
  <conditionalFormatting sqref="P52">
    <cfRule type="cellIs" dxfId="33" priority="34" operator="lessThan">
      <formula>0</formula>
    </cfRule>
  </conditionalFormatting>
  <conditionalFormatting sqref="Q52">
    <cfRule type="cellIs" dxfId="32" priority="31" operator="greaterThan">
      <formula>1</formula>
    </cfRule>
    <cfRule type="cellIs" dxfId="31" priority="32" operator="lessThan">
      <formula>0.8</formula>
    </cfRule>
  </conditionalFormatting>
  <conditionalFormatting sqref="R52 AG52">
    <cfRule type="cellIs" dxfId="30" priority="35" operator="lessThan">
      <formula>0.8</formula>
    </cfRule>
  </conditionalFormatting>
  <conditionalFormatting sqref="AG52">
    <cfRule type="cellIs" dxfId="29" priority="33" operator="lessThan">
      <formula>0.8</formula>
    </cfRule>
  </conditionalFormatting>
  <conditionalFormatting sqref="O53">
    <cfRule type="cellIs" dxfId="28" priority="24" operator="greaterThan">
      <formula>0</formula>
    </cfRule>
  </conditionalFormatting>
  <conditionalFormatting sqref="P53">
    <cfRule type="cellIs" dxfId="27" priority="28" operator="lessThan">
      <formula>0</formula>
    </cfRule>
  </conditionalFormatting>
  <conditionalFormatting sqref="Q53">
    <cfRule type="cellIs" dxfId="26" priority="25" operator="greaterThan">
      <formula>1</formula>
    </cfRule>
    <cfRule type="cellIs" dxfId="25" priority="26" operator="lessThan">
      <formula>0.8</formula>
    </cfRule>
  </conditionalFormatting>
  <conditionalFormatting sqref="R53 AG53">
    <cfRule type="cellIs" dxfId="24" priority="29" operator="lessThan">
      <formula>0.8</formula>
    </cfRule>
  </conditionalFormatting>
  <conditionalFormatting sqref="AG53">
    <cfRule type="cellIs" dxfId="23" priority="27" operator="lessThan">
      <formula>0.8</formula>
    </cfRule>
  </conditionalFormatting>
  <conditionalFormatting sqref="O67">
    <cfRule type="cellIs" dxfId="22" priority="19" operator="greaterThan">
      <formula>0</formula>
    </cfRule>
  </conditionalFormatting>
  <conditionalFormatting sqref="P67 AE67">
    <cfRule type="cellIs" dxfId="21" priority="22" operator="lessThan">
      <formula>0</formula>
    </cfRule>
  </conditionalFormatting>
  <conditionalFormatting sqref="Q67 AF67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R67 AG67">
    <cfRule type="cellIs" dxfId="18" priority="23" operator="lessThan">
      <formula>0.8</formula>
    </cfRule>
  </conditionalFormatting>
  <conditionalFormatting sqref="O21">
    <cfRule type="cellIs" dxfId="17" priority="14" operator="greaterThan">
      <formula>0</formula>
    </cfRule>
  </conditionalFormatting>
  <conditionalFormatting sqref="P21">
    <cfRule type="cellIs" dxfId="16" priority="17" operator="lessThan">
      <formula>0</formula>
    </cfRule>
  </conditionalFormatting>
  <conditionalFormatting sqref="Q21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AG21 R21">
    <cfRule type="cellIs" dxfId="13" priority="18" operator="lessThan">
      <formula>0.8</formula>
    </cfRule>
  </conditionalFormatting>
  <conditionalFormatting sqref="P11">
    <cfRule type="cellIs" dxfId="12" priority="13" operator="lessThan">
      <formula>0</formula>
    </cfRule>
  </conditionalFormatting>
  <conditionalFormatting sqref="P22">
    <cfRule type="cellIs" dxfId="11" priority="12" operator="lessThan">
      <formula>0</formula>
    </cfRule>
  </conditionalFormatting>
  <conditionalFormatting sqref="P30">
    <cfRule type="cellIs" dxfId="10" priority="11" operator="lessThan">
      <formula>0</formula>
    </cfRule>
  </conditionalFormatting>
  <conditionalFormatting sqref="P37">
    <cfRule type="cellIs" dxfId="9" priority="10" operator="lessThan">
      <formula>0</formula>
    </cfRule>
  </conditionalFormatting>
  <conditionalFormatting sqref="P54">
    <cfRule type="cellIs" dxfId="8" priority="9" operator="lessThan">
      <formula>0</formula>
    </cfRule>
  </conditionalFormatting>
  <conditionalFormatting sqref="P65">
    <cfRule type="cellIs" dxfId="7" priority="8" operator="lessThan">
      <formula>0</formula>
    </cfRule>
  </conditionalFormatting>
  <conditionalFormatting sqref="P71">
    <cfRule type="cellIs" dxfId="6" priority="7" operator="lessThan">
      <formula>0</formula>
    </cfRule>
  </conditionalFormatting>
  <conditionalFormatting sqref="P77">
    <cfRule type="cellIs" dxfId="5" priority="6" operator="lessThan">
      <formula>0</formula>
    </cfRule>
  </conditionalFormatting>
  <conditionalFormatting sqref="O63:O64">
    <cfRule type="cellIs" dxfId="4" priority="1" operator="greaterThan">
      <formula>0</formula>
    </cfRule>
  </conditionalFormatting>
  <conditionalFormatting sqref="P63:P64">
    <cfRule type="cellIs" dxfId="3" priority="4" operator="lessThan">
      <formula>0</formula>
    </cfRule>
  </conditionalFormatting>
  <conditionalFormatting sqref="Q63:Q64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AG63:AG64 R63:R64">
    <cfRule type="cellIs" dxfId="0" priority="5" operator="lessThan">
      <formula>0.8</formula>
    </cfRule>
  </conditionalFormatting>
  <dataValidations count="1">
    <dataValidation type="list" allowBlank="1" showInputMessage="1" showErrorMessage="1" sqref="AA5:AB9 AB10:AB11 AB70 AA10:AA70 AB13:AB66 AA71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C14" sqref="AC14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2518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2519</v>
      </c>
      <c r="C3" s="478" t="str">
        <f>TEXT('0130 4度C'!A2,"yyyy.mm.ddaaaa")</f>
        <v>2026.01.30星期五</v>
      </c>
      <c r="D3" s="479"/>
      <c r="E3" s="56" t="s">
        <v>2520</v>
      </c>
      <c r="F3" s="480">
        <f>'0130 4度C'!D1</f>
        <v>128261</v>
      </c>
      <c r="G3" s="481"/>
      <c r="H3" s="56" t="s">
        <v>2521</v>
      </c>
      <c r="I3" s="482">
        <f>'0130 4度C'!F1</f>
        <v>4449272.7699999996</v>
      </c>
      <c r="J3" s="483"/>
      <c r="K3" s="57"/>
      <c r="L3" s="58"/>
      <c r="M3" s="59"/>
      <c r="N3" s="59"/>
    </row>
    <row r="4" spans="2:17" ht="28.5" customHeight="1">
      <c r="B4" s="484" t="s">
        <v>2522</v>
      </c>
      <c r="C4" s="470" t="s">
        <v>2523</v>
      </c>
      <c r="D4" s="471"/>
      <c r="E4" s="487" t="s">
        <v>2524</v>
      </c>
      <c r="F4" s="488"/>
      <c r="G4" s="487" t="s">
        <v>2525</v>
      </c>
      <c r="H4" s="488"/>
      <c r="I4" s="487" t="s">
        <v>2526</v>
      </c>
      <c r="J4" s="488"/>
      <c r="K4" s="468" t="s">
        <v>2527</v>
      </c>
      <c r="L4" s="469"/>
      <c r="M4" s="469" t="s">
        <v>2528</v>
      </c>
      <c r="N4" s="469"/>
    </row>
    <row r="5" spans="2:17" ht="28.5" customHeight="1">
      <c r="B5" s="485"/>
      <c r="C5" s="470" t="s">
        <v>2529</v>
      </c>
      <c r="D5" s="471"/>
      <c r="E5" s="470" t="s">
        <v>2530</v>
      </c>
      <c r="F5" s="471"/>
      <c r="G5" s="472" t="s">
        <v>173</v>
      </c>
      <c r="H5" s="473"/>
      <c r="I5" s="474" t="s">
        <v>2531</v>
      </c>
      <c r="J5" s="475"/>
      <c r="K5" s="60" t="s">
        <v>2532</v>
      </c>
      <c r="L5" s="61" t="s">
        <v>2533</v>
      </c>
      <c r="M5" s="60" t="s">
        <v>143</v>
      </c>
      <c r="N5" s="61" t="s">
        <v>2534</v>
      </c>
    </row>
    <row r="6" spans="2:17" ht="28.5" customHeight="1">
      <c r="B6" s="485"/>
      <c r="C6" s="470" t="s">
        <v>144</v>
      </c>
      <c r="D6" s="471"/>
      <c r="E6" s="462">
        <f>AVERAGE(D13:M13)</f>
        <v>143.41887664653913</v>
      </c>
      <c r="F6" s="463">
        <f>AVERAGE(D31:O31,D13:J13)</f>
        <v>145.91424741861269</v>
      </c>
      <c r="G6" s="464">
        <f>AVERAGE(D13:J13)</f>
        <v>145.91424741861269</v>
      </c>
      <c r="H6" s="465"/>
      <c r="I6" s="464">
        <f>AVERAGE(K13:M13)</f>
        <v>137.59634484503417</v>
      </c>
      <c r="J6" s="465"/>
      <c r="K6" s="466">
        <f>'0130 4度C'!Y2</f>
        <v>0</v>
      </c>
      <c r="L6" s="451">
        <f>'0130 4度C'!Z2</f>
        <v>0</v>
      </c>
      <c r="M6" s="467">
        <f>'0130 4度C'!AC2</f>
        <v>30</v>
      </c>
      <c r="N6" s="451">
        <f>'0130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137.44239498349515</v>
      </c>
      <c r="F7" s="455">
        <f>AVERAGE(D32:O32,D14:J14)</f>
        <v>139.92684420311551</v>
      </c>
      <c r="G7" s="456">
        <f>AVERAGE(D14:J14)</f>
        <v>139.92684420311551</v>
      </c>
      <c r="H7" s="457"/>
      <c r="I7" s="456">
        <f>AVERAGE(K14:M14)</f>
        <v>131.64534680438092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0.95695149765613208</v>
      </c>
      <c r="F8" s="459">
        <f>AVERAGE(D15:J15,D33:O33)</f>
        <v>0.95702613380408807</v>
      </c>
      <c r="G8" s="460">
        <f>AVERAGE(D15:J15)</f>
        <v>0.95702613380408807</v>
      </c>
      <c r="H8" s="461"/>
      <c r="I8" s="460">
        <f>AVERAGE(K15:M15)</f>
        <v>0.95677734664423453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178</v>
      </c>
      <c r="N9" s="59"/>
      <c r="O9" s="59"/>
      <c r="P9" s="59"/>
      <c r="Q9" s="59"/>
    </row>
    <row r="10" spans="2:17" ht="30" customHeight="1">
      <c r="B10" s="434" t="s">
        <v>179</v>
      </c>
      <c r="C10" s="435"/>
      <c r="D10" s="436" t="s">
        <v>2535</v>
      </c>
      <c r="E10" s="437"/>
      <c r="F10" s="437"/>
      <c r="G10" s="437"/>
      <c r="H10" s="437"/>
      <c r="I10" s="437"/>
      <c r="J10" s="438"/>
      <c r="K10" s="439" t="s">
        <v>2536</v>
      </c>
      <c r="L10" s="440"/>
      <c r="M10" s="441"/>
      <c r="P10" s="65"/>
      <c r="Q10" s="65"/>
    </row>
    <row r="11" spans="2:17" ht="17.25" customHeight="1">
      <c r="B11" s="442" t="s">
        <v>2537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2538</v>
      </c>
      <c r="C13" s="72" t="s">
        <v>2539</v>
      </c>
      <c r="D13" s="73">
        <f>SUMIFS('0130 4度C'!$K:$K,'0130 4度C'!$A:$A,"新豐6線",'0130 4度C'!$B:$B,"平均")</f>
        <v>113.63636363636363</v>
      </c>
      <c r="E13" s="74">
        <f>SUMIFS('0130 4度C'!$K:$K,'0130 4度C'!$A:$A,"新豐2線",'0130 4度C'!$B:$B,"平均")</f>
        <v>83.333333333333329</v>
      </c>
      <c r="F13" s="75">
        <f>SUMIFS('0130 4度C'!$K:$K,'0130 4度C'!$A:$A,"新豐5線",'0130 4度C'!$B:$B,"平均")</f>
        <v>109.24369747899159</v>
      </c>
      <c r="G13" s="75">
        <f>SUMIFS('0130 4度C'!$K:$K,'0130 4度C'!$A:$A,"新豐7線",'0130 4度C'!$B:$B,"平均")</f>
        <v>122.3404255319149</v>
      </c>
      <c r="H13" s="75">
        <f>SUMIFS('0130 4度C'!$K:$K,'0130 4度C'!$A:$A,"新豐3線",'0130 4度C'!$B:$B,"平均")</f>
        <v>300</v>
      </c>
      <c r="I13" s="75">
        <f>SUMIFS('0130 4度C'!$K:$K,'0130 4度C'!$A:$A,"新豐1線",'0130 4度C'!$B:$B,"平均")</f>
        <v>104.16666666666666</v>
      </c>
      <c r="J13" s="76">
        <f>SUMIFS('0130 4度C'!$K:$K,'0130 4度C'!$A:$A,"新豐10線",'0130 4度C'!$B:$B,"平均")</f>
        <v>188.67924528301887</v>
      </c>
      <c r="K13" s="77">
        <f>SUMIFS('0130 4度C'!$K:$K,'0130 4度C'!$A:$A,"新豐8線",'0130 4度C'!$B:$B,"平均")</f>
        <v>131.86813186813188</v>
      </c>
      <c r="L13" s="78">
        <f>SUMIFS('0130 4度C'!$K:$K,'0130 4度C'!$A:$A,"新豐9線",'0130 4度C'!$B:$B,"平均")</f>
        <v>134.57943925233647</v>
      </c>
      <c r="M13" s="76">
        <f>SUMIFS('0130 4度C'!$K:$K,'0130 4度C'!$A:$A,"新豐4線",'0130 4度C'!$B:$B,"平均")</f>
        <v>146.34146341463415</v>
      </c>
    </row>
    <row r="14" spans="2:17" ht="39.6" customHeight="1">
      <c r="B14" s="447"/>
      <c r="C14" s="79" t="s">
        <v>2540</v>
      </c>
      <c r="D14" s="80">
        <f>SUMIFS('0130 4度C'!$N:$N,'0130 4度C'!$A:$A,"新豐6線",'0130 4度C'!$B:$B,"平均")</f>
        <v>109.55093405093389</v>
      </c>
      <c r="E14" s="81">
        <f>SUMIFS('0130 4度C'!$N:$N,'0130 4度C'!$A:$A,"新豐2線",'0130 4度C'!$B:$B,"平均")</f>
        <v>79.629586488060568</v>
      </c>
      <c r="F14" s="81">
        <f>SUMIFS('0130 4度C'!$N:$N,'0130 4度C'!$A:$A,"新豐5線",'0130 4度C'!$B:$B,"平均")</f>
        <v>104.81435540980809</v>
      </c>
      <c r="G14" s="81">
        <f>SUMIFS('0130 4度C'!$N:$N,'0130 4度C'!$A:$A,"新豐7線",'0130 4度C'!$B:$B,"平均")</f>
        <v>117.43379713571326</v>
      </c>
      <c r="H14" s="81">
        <f>SUMIFS('0130 4度C'!$N:$N,'0130 4度C'!$A:$A,"新豐3線",'0130 4度C'!$B:$B,"平均")</f>
        <v>288.20018959848426</v>
      </c>
      <c r="I14" s="81">
        <f>SUMIFS('0130 4度C'!$N:$N,'0130 4度C'!$A:$A,"新豐1線",'0130 4度C'!$B:$B,"平均")</f>
        <v>96.816581966895427</v>
      </c>
      <c r="J14" s="82">
        <f>SUMIFS('0130 4度C'!$N:$N,'0130 4度C'!$A:$A,"新豐10線",'0130 4度C'!$B:$B,"平均")</f>
        <v>183.04246477191307</v>
      </c>
      <c r="K14" s="83">
        <f>SUMIFS('0130 4度C'!$N:$N,'0130 4度C'!$A:$A,"新豐8線",'0130 4度C'!$B:$B,"平均")</f>
        <v>126.29611074478733</v>
      </c>
      <c r="L14" s="84">
        <f>SUMIFS('0130 4度C'!$N:$N,'0130 4度C'!$A:$A,"新豐9線",'0130 4度C'!$B:$B,"平均")</f>
        <v>128.72988399232324</v>
      </c>
      <c r="M14" s="82">
        <f>SUMIFS('0130 4度C'!$N:$N,'0130 4度C'!$A:$A,"新豐4線",'0130 4度C'!$B:$B,"平均")</f>
        <v>139.91004567603224</v>
      </c>
    </row>
    <row r="15" spans="2:17" ht="40.15" customHeight="1">
      <c r="B15" s="448"/>
      <c r="C15" s="85" t="s">
        <v>2541</v>
      </c>
      <c r="D15" s="86">
        <f t="shared" ref="D15:M15" si="0">D14/D13</f>
        <v>0.9640482196482183</v>
      </c>
      <c r="E15" s="87">
        <f t="shared" si="0"/>
        <v>0.95555503785672691</v>
      </c>
      <c r="F15" s="87">
        <f t="shared" si="0"/>
        <v>0.95945448413593559</v>
      </c>
      <c r="G15" s="87">
        <f t="shared" si="0"/>
        <v>0.95989364615278661</v>
      </c>
      <c r="H15" s="87">
        <f t="shared" si="0"/>
        <v>0.96066729866161416</v>
      </c>
      <c r="I15" s="87">
        <f t="shared" si="0"/>
        <v>0.92943918688219618</v>
      </c>
      <c r="J15" s="88">
        <f t="shared" si="0"/>
        <v>0.97012506329113923</v>
      </c>
      <c r="K15" s="86">
        <f t="shared" si="0"/>
        <v>0.95774550648130374</v>
      </c>
      <c r="L15" s="87">
        <f t="shared" si="0"/>
        <v>0.95653455466517945</v>
      </c>
      <c r="M15" s="88">
        <f t="shared" si="0"/>
        <v>0.95605197878622028</v>
      </c>
    </row>
    <row r="16" spans="2:17" ht="17.25" customHeight="1">
      <c r="B16" s="449" t="s">
        <v>2542</v>
      </c>
      <c r="C16" s="89" t="s">
        <v>2543</v>
      </c>
      <c r="D16" s="90">
        <f>VLOOKUP("新豐6線",'0130 4度C'!$A:$T,19,0)</f>
        <v>0.70833333333333337</v>
      </c>
      <c r="E16" s="91">
        <f>VLOOKUP("新豐2線",'0130 4度C'!$A:$T,19,0)</f>
        <v>0.20833333333333334</v>
      </c>
      <c r="F16" s="91">
        <f>VLOOKUP("新豐5線",'0130 4度C'!$A:$T,19,0)</f>
        <v>0.20833333333333334</v>
      </c>
      <c r="G16" s="91">
        <f>VLOOKUP("新豐7線",'0130 4度C'!$A:$T,19,0)</f>
        <v>0.20833333333333334</v>
      </c>
      <c r="H16" s="91">
        <f>VLOOKUP("新豐3線",'0130 4度C'!$A:$T,19,0)</f>
        <v>0.20833333333333334</v>
      </c>
      <c r="I16" s="91">
        <f>VLOOKUP("新豐1線",'0130 4度C'!$A:$T,19,0)</f>
        <v>0.20833333333333334</v>
      </c>
      <c r="J16" s="92">
        <f>VLOOKUP("新豐10線",'0130 4度C'!$A:$T,19,0)</f>
        <v>0.20833333333333334</v>
      </c>
      <c r="K16" s="93">
        <f>VLOOKUP("新豐8線",'0130 4度C'!$A:$T,19,0)</f>
        <v>0.125</v>
      </c>
      <c r="L16" s="94">
        <f>VLOOKUP("新豐9線",'0130 4度C'!$A:$T,19,0)</f>
        <v>0.125</v>
      </c>
      <c r="M16" s="95">
        <f>VLOOKUP("新豐4線",'0130 4度C'!$A:$T,19,0)</f>
        <v>0.125</v>
      </c>
    </row>
    <row r="17" spans="2:13" ht="17.25" customHeight="1">
      <c r="B17" s="450"/>
      <c r="C17" s="89" t="s">
        <v>2544</v>
      </c>
      <c r="D17" s="93">
        <f>LOOKUP(2,1/(('0130 4度C'!$A:$A="新豐6線")*('0130 4度C'!$T:$T&lt;&gt;"")),'0130 4度C'!$T:$T)</f>
        <v>0.84236111111111123</v>
      </c>
      <c r="E17" s="91">
        <f>LOOKUP(2,1/(('0130 4度C'!$A:$A="新豐2線")*('0130 4度C'!$T:$T&lt;&gt;"")),'0130 4度C'!$T:$T)</f>
        <v>0.4</v>
      </c>
      <c r="F17" s="91">
        <f>LOOKUP(2,1/(('0130 4度C'!$A:$A="新豐5線")*('0130 4度C'!$T:$T&lt;&gt;"")),'0130 4度C'!$T:$T)</f>
        <v>0.92013888888888884</v>
      </c>
      <c r="G17" s="91">
        <f>LOOKUP(2,1/(('0130 4度C'!$A:$A="新豐7線")*('0130 4度C'!$T:$T&lt;&gt;"")),'0130 4度C'!$T:$T)</f>
        <v>0.82916666666666672</v>
      </c>
      <c r="H17" s="91">
        <f>LOOKUP(2,1/(('0130 4度C'!$A:$A="新豐3線")*('0130 4度C'!$T:$T&lt;&gt;"")),'0130 4度C'!$T:$T)</f>
        <v>0.59930555555555554</v>
      </c>
      <c r="I17" s="91">
        <f>LOOKUP(2,1/(('0130 4度C'!$A:$A="新豐1線")*('0130 4度C'!$T:$T&lt;&gt;"")),'0130 4度C'!$T:$T)</f>
        <v>0.85486111111111107</v>
      </c>
      <c r="J17" s="92">
        <f>LOOKUP(2,1/(('0130 4度C'!$A:$A="新豐10線")*('0130 4度C'!$T:$T&lt;&gt;"")),'0130 4度C'!$T:$T)</f>
        <v>0.40833333333333327</v>
      </c>
      <c r="K17" s="90">
        <f>LOOKUP(2,1/(('0130 4度C'!$A:$A="新豐8線")*('0130 4度C'!$T:$T&lt;&gt;"")),'0130 4度C'!$T:$T)</f>
        <v>0.49305555555555547</v>
      </c>
      <c r="L17" s="91">
        <f>LOOKUP(2,1/(('0130 4度C'!$A:$A="新豐9線")*('0130 4度C'!$T:$T&lt;&gt;"")),'0130 4度C'!$T:$T)</f>
        <v>0.51805555555555549</v>
      </c>
      <c r="M17" s="92">
        <f>LOOKUP(2,1/(('0130 4度C'!$A:$A="新豐4線")*('0130 4度C'!$T:$T&lt;&gt;"")),'0130 4度C'!$T:$T)</f>
        <v>0.47569444444444436</v>
      </c>
    </row>
    <row r="18" spans="2:13" ht="17.25" customHeight="1">
      <c r="B18" s="428" t="s">
        <v>190</v>
      </c>
      <c r="C18" s="96" t="s">
        <v>2545</v>
      </c>
      <c r="D18" s="97">
        <f>SUMIFS('0130 4度C'!$Y:$Y,'0130 4度C'!$A:$A,"新豐6線",'0130 4度C'!$B:$B,"平均")</f>
        <v>0</v>
      </c>
      <c r="E18" s="98">
        <f>SUMIFS('0130 4度C'!$Y:$Y,'0130 4度C'!$A:$A,"新豐2線",'0130 4度C'!$B:$B,"平均")</f>
        <v>0</v>
      </c>
      <c r="F18" s="98">
        <f>SUMIFS('0130 4度C'!$Y:$Y,'0130 4度C'!$A:$A,"新豐5線",'0130 4度C'!$B:$B,"平均")</f>
        <v>0</v>
      </c>
      <c r="G18" s="98">
        <f>SUMIFS('0130 4度C'!$Y:$Y,'0130 4度C'!$A:$A,"新豐7線",'0130 4度C'!$B:$B,"平均")</f>
        <v>0</v>
      </c>
      <c r="H18" s="98">
        <f>SUMIFS('0130 4度C'!$Y:$Y,'0130 4度C'!$A:$A,"新豐3線",'0130 4度C'!$B:$B,"平均")</f>
        <v>0</v>
      </c>
      <c r="I18" s="98">
        <f>SUMIFS('0130 4度C'!$Y:$Y,'0130 4度C'!$A:$A,"新豐1線",'0130 4度C'!$B:$B,"平均")</f>
        <v>0</v>
      </c>
      <c r="J18" s="99">
        <f>SUMIFS('0130 4度C'!$Y:$Y,'0130 4度C'!$A:$A,"新豐10線",'0130 4度C'!$B:$B,"平均")</f>
        <v>0</v>
      </c>
      <c r="K18" s="100">
        <f>SUMIFS('0130 4度C'!$Y:$Y,'0130 4度C'!$A:$A,"新豐8線",'0130 4度C'!$B:$B,"平均")</f>
        <v>0</v>
      </c>
      <c r="L18" s="98">
        <f>SUMIFS('0130 4度C'!$Y:$Y,'0130 4度C'!$A:$A,"新豐9線",'0130 4度C'!$B:$B,"平均")</f>
        <v>0</v>
      </c>
      <c r="M18" s="99">
        <f>SUMIFS('0130 4度C'!$Y:$Y,'0130 4度C'!$A:$A,"新豐4線",'0130 4度C'!$B:$B,"平均")</f>
        <v>0</v>
      </c>
    </row>
    <row r="19" spans="2:13" ht="17.25" customHeight="1">
      <c r="B19" s="429"/>
      <c r="C19" s="96" t="s">
        <v>2546</v>
      </c>
      <c r="D19" s="97">
        <f>SUMIFS('0130 4度C'!$Z:$Z,'0130 4度C'!$A:$A,"新豐6線",'0130 4度C'!$B:$B,"平均")</f>
        <v>0</v>
      </c>
      <c r="E19" s="98">
        <f>SUMIFS('0130 4度C'!$Z:$Z,'0130 4度C'!$A:$A,"新豐2線",'0130 4度C'!$B:$B,"平均")</f>
        <v>0</v>
      </c>
      <c r="F19" s="98">
        <f>SUMIFS('0130 4度C'!$Z:$Z,'0130 4度C'!$A:$A,"新豐5線",'0130 4度C'!$B:$B,"平均")</f>
        <v>0</v>
      </c>
      <c r="G19" s="98">
        <f>SUMIFS('0130 4度C'!$Z:$Z,'0130 4度C'!$A:$A,"新豐7線",'0130 4度C'!$B:$B,"平均")</f>
        <v>0</v>
      </c>
      <c r="H19" s="98">
        <f>SUMIFS('0130 4度C'!$Z:$Z,'0130 4度C'!$A:$A,"新豐3線",'0130 4度C'!$B:$B,"平均")</f>
        <v>0</v>
      </c>
      <c r="I19" s="98">
        <f>SUMIFS('0130 4度C'!$Z:$Z,'0130 4度C'!$A:$A,"新豐1線",'0130 4度C'!$B:$B,"平均")</f>
        <v>0</v>
      </c>
      <c r="J19" s="99">
        <f>SUMIFS('0130 4度C'!$Z:$Z,'0130 4度C'!$A:$A,"新豐10線",'0130 4度C'!$B:$B,"平均")</f>
        <v>0</v>
      </c>
      <c r="K19" s="100">
        <f>SUMIFS('0130 4度C'!$Z:$Z,'0130 4度C'!$A:$A,"新豐8線",'0130 4度C'!$B:$B,"平均")</f>
        <v>0</v>
      </c>
      <c r="L19" s="98">
        <f>SUMIFS('0130 4度C'!$Z:$Z,'0130 4度C'!$A:$A,"新豐9線",'0130 4度C'!$B:$B,"平均")</f>
        <v>0</v>
      </c>
      <c r="M19" s="99">
        <f>SUMIFS('0130 4度C'!$Z:$Z,'0130 4度C'!$A:$A,"新豐4線",'0130 4度C'!$B:$B,"平均")</f>
        <v>0</v>
      </c>
    </row>
    <row r="20" spans="2:13" ht="17.25" customHeight="1">
      <c r="B20" s="428" t="s">
        <v>2547</v>
      </c>
      <c r="C20" s="96" t="s">
        <v>2545</v>
      </c>
      <c r="D20" s="97">
        <f>SUMIFS('0130 4度C'!$AC:$AC,'0130 4度C'!$A:$A,"新豐6線",'0130 4度C'!$B:$B,"平均")</f>
        <v>1</v>
      </c>
      <c r="E20" s="98">
        <f>SUMIFS('0130 4度C'!$AC:$AC,'0130 4度C'!$A:$A,"新豐2線",'0130 4度C'!$B:$B,"平均")</f>
        <v>2</v>
      </c>
      <c r="F20" s="98">
        <f>SUMIFS('0130 4度C'!$AC:$AC,'0130 4度C'!$A:$A,"新豐5線",'0130 4度C'!$B:$B,"平均")</f>
        <v>3</v>
      </c>
      <c r="G20" s="98">
        <f>SUMIFS('0130 4度C'!$AC:$AC,'0130 4度C'!$A:$A,"新豐7線",'0130 4度C'!$B:$B,"平均")</f>
        <v>2</v>
      </c>
      <c r="H20" s="98">
        <f>SUMIFS('0130 4度C'!$AC:$AC,'0130 4度C'!$A:$A,"新豐3線",'0130 4度C'!$B:$B,"平均")</f>
        <v>0</v>
      </c>
      <c r="I20" s="98">
        <f>SUMIFS('0130 4度C'!$AC:$AC,'0130 4度C'!$A:$A,"新豐1線",'0130 4度C'!$B:$B,"平均")</f>
        <v>4</v>
      </c>
      <c r="J20" s="99">
        <f>SUMIFS('0130 4度C'!$AC:$AC,'0130 4度C'!$A:$A,"新豐10線",'0130 4度C'!$B:$B,"平均")</f>
        <v>1</v>
      </c>
      <c r="K20" s="100">
        <f>SUMIFS('0130 4度C'!$AC:$AC,'0130 4度C'!$A:$A,"新豐8線",'0130 4度C'!$B:$B,"平均")</f>
        <v>6</v>
      </c>
      <c r="L20" s="98">
        <f>SUMIFS('0130 4度C'!$AC:$AC,'0130 4度C'!$A:$A,"新豐9線",'0130 4度C'!$B:$B,"平均")</f>
        <v>6</v>
      </c>
      <c r="M20" s="99">
        <f>SUMIFS('0130 4度C'!$AC:$AC,'0130 4度C'!$A:$A,"新豐4線",'0130 4度C'!$B:$B,"平均")</f>
        <v>5</v>
      </c>
    </row>
    <row r="21" spans="2:13" ht="17.25" customHeight="1">
      <c r="B21" s="429"/>
      <c r="C21" s="96" t="s">
        <v>2548</v>
      </c>
      <c r="D21" s="97">
        <f>SUMIFS('0130 4度C'!$AD:$AD,'0130 4度C'!$A:$A,"新豐6線",'0130 4度C'!$B:$B,"平均")</f>
        <v>0</v>
      </c>
      <c r="E21" s="98">
        <f>SUMIFS('0130 4度C'!$AD:$AD,'0130 4度C'!$A:$A,"新豐2線",'0130 4度C'!$B:$B,"平均")</f>
        <v>0</v>
      </c>
      <c r="F21" s="98">
        <f>SUMIFS('0130 4度C'!$AD:$AD,'0130 4度C'!$A:$A,"新豐5線",'0130 4度C'!$B:$B,"平均")</f>
        <v>0</v>
      </c>
      <c r="G21" s="98">
        <f>SUMIFS('0130 4度C'!$AD:$AD,'0130 4度C'!$A:$A,"新豐7線",'0130 4度C'!$B:$B,"平均")</f>
        <v>0</v>
      </c>
      <c r="H21" s="98">
        <f>SUMIFS('0130 4度C'!$AD:$AD,'0130 4度C'!$A:$A,"新豐3線",'0130 4度C'!$B:$B,"平均")</f>
        <v>0</v>
      </c>
      <c r="I21" s="98">
        <f>SUMIFS('0130 4度C'!$AD:$AD,'0130 4度C'!$A:$A,"新豐1線",'0130 4度C'!$B:$B,"平均")</f>
        <v>0</v>
      </c>
      <c r="J21" s="99">
        <f>SUMIFS('0130 4度C'!$AD:$AD,'0130 4度C'!$A:$A,"新豐10線",'0130 4度C'!$B:$B,"平均")</f>
        <v>0</v>
      </c>
      <c r="K21" s="100">
        <f>SUMIFS('0130 4度C'!$AD:$AD,'0130 4度C'!$A:$A,"新豐8線",'0130 4度C'!$B:$B,"平均")</f>
        <v>0</v>
      </c>
      <c r="L21" s="98">
        <f>SUMIFS('0130 4度C'!$AD:$AD,'0130 4度C'!$A:$A,"新豐9線",'0130 4度C'!$B:$B,"平均")</f>
        <v>0</v>
      </c>
      <c r="M21" s="99">
        <f>SUMIFS('0130 4度C'!$AD:$AD,'0130 4度C'!$A:$A,"新豐4線",'0130 4度C'!$B:$B,"平均")</f>
        <v>0</v>
      </c>
    </row>
    <row r="22" spans="2:13" ht="17.25" customHeight="1">
      <c r="B22" s="430" t="s">
        <v>195</v>
      </c>
      <c r="C22" s="431"/>
      <c r="D22" s="101">
        <f>SUMIFS('0130 4度C'!$I:$I,'0130 4度C'!$A:$A,"新豐6線",'0130 4度C'!$B:$B,"平均")</f>
        <v>17.600000000000001</v>
      </c>
      <c r="E22" s="102">
        <f>SUMIFS('0130 4度C'!$I:$I,'0130 4度C'!$A:$A,"新豐2線",'0130 4度C'!$B:$B,"平均")</f>
        <v>18</v>
      </c>
      <c r="F22" s="102">
        <f>SUMIFS('0130 4度C'!$I:$I,'0130 4度C'!$A:$A,"新豐5線",'0130 4度C'!$B:$B,"平均")</f>
        <v>17</v>
      </c>
      <c r="G22" s="102">
        <f>SUMIFS('0130 4度C'!$I:$I,'0130 4度C'!$A:$A,"新豐7線",'0130 4度C'!$B:$B,"平均")</f>
        <v>15.666666666666666</v>
      </c>
      <c r="H22" s="102">
        <f>SUMIFS('0130 4度C'!$I:$I,'0130 4度C'!$A:$A,"新豐3線",'0130 4度C'!$B:$B,"平均")</f>
        <v>10</v>
      </c>
      <c r="I22" s="102">
        <f>SUMIFS('0130 4度C'!$I:$I,'0130 4度C'!$A:$A,"新豐1線",'0130 4度C'!$B:$B,"平均")</f>
        <v>18.666666666666668</v>
      </c>
      <c r="J22" s="103">
        <f>SUMIFS('0130 4度C'!$I:$I,'0130 4度C'!$A:$A,"新豐10線",'0130 4度C'!$B:$B,"平均")</f>
        <v>10.6</v>
      </c>
      <c r="K22" s="101">
        <f>SUMIFS('0130 4度C'!$I:$I,'0130 4度C'!$A:$A,"新豐8線",'0130 4度C'!$B:$B,"平均")</f>
        <v>18.2</v>
      </c>
      <c r="L22" s="102">
        <f>SUMIFS('0130 4度C'!$I:$I,'0130 4度C'!$A:$A,"新豐9線",'0130 4度C'!$B:$B,"平均")</f>
        <v>17.833333333333332</v>
      </c>
      <c r="M22" s="103">
        <f>SUMIFS('0130 4度C'!$I:$I,'0130 4度C'!$A:$A,"新豐4線",'0130 4度C'!$B:$B,"平均")</f>
        <v>16.399999999999999</v>
      </c>
    </row>
    <row r="23" spans="2:13" ht="17.25" customHeight="1">
      <c r="B23" s="430" t="s">
        <v>2333</v>
      </c>
      <c r="C23" s="431"/>
      <c r="D23" s="104" t="s">
        <v>157</v>
      </c>
      <c r="E23" s="105" t="s">
        <v>158</v>
      </c>
      <c r="F23" s="105" t="s">
        <v>2549</v>
      </c>
      <c r="G23" s="105" t="s">
        <v>2549</v>
      </c>
      <c r="H23" s="105" t="s">
        <v>159</v>
      </c>
      <c r="I23" s="105" t="s">
        <v>157</v>
      </c>
      <c r="J23" s="106" t="s">
        <v>159</v>
      </c>
      <c r="K23" s="104" t="s">
        <v>2550</v>
      </c>
      <c r="L23" s="105" t="s">
        <v>2550</v>
      </c>
      <c r="M23" s="106" t="s">
        <v>2550</v>
      </c>
    </row>
    <row r="24" spans="2:13" ht="17.25" customHeight="1">
      <c r="B24" s="430" t="s">
        <v>2551</v>
      </c>
      <c r="C24" s="431"/>
      <c r="D24" s="104"/>
      <c r="E24" s="105"/>
      <c r="F24" s="105" t="s">
        <v>201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2552</v>
      </c>
      <c r="C25" s="433"/>
      <c r="D25" s="107"/>
      <c r="E25" s="108" t="s">
        <v>2553</v>
      </c>
      <c r="F25" s="426" t="s">
        <v>2554</v>
      </c>
      <c r="G25" s="427"/>
      <c r="H25" s="108" t="s">
        <v>2555</v>
      </c>
      <c r="I25" s="108" t="s">
        <v>2556</v>
      </c>
      <c r="J25" s="109" t="s">
        <v>2555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50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topLeftCell="R1" zoomScale="80" zoomScaleNormal="80" workbookViewId="0">
      <pane ySplit="4" topLeftCell="A5" activePane="bottomLeft" state="frozen"/>
      <selection activeCell="J13" sqref="J13"/>
      <selection pane="bottomLeft" activeCell="AC14" sqref="AC1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2557</v>
      </c>
      <c r="B1" s="1"/>
      <c r="C1" s="2" t="s">
        <v>2558</v>
      </c>
      <c r="D1" s="3">
        <f>SUM(F5:F73)</f>
        <v>128261</v>
      </c>
      <c r="E1" s="398" t="s">
        <v>2559</v>
      </c>
      <c r="F1" s="1">
        <f>SUM(G5:G73)</f>
        <v>4449272.7699999996</v>
      </c>
      <c r="G1" s="1" t="s">
        <v>3</v>
      </c>
      <c r="H1" s="5">
        <f>L10+L13+L51+L61+L21+L67+L34+L41+L28+L73</f>
        <v>159.96666666666667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2560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268</v>
      </c>
      <c r="AF1" s="544"/>
      <c r="AG1" s="544"/>
    </row>
    <row r="2" spans="1:33" ht="26.25" customHeight="1">
      <c r="A2" s="49">
        <v>46052</v>
      </c>
      <c r="B2" s="50" t="s">
        <v>269</v>
      </c>
      <c r="C2" s="2" t="s">
        <v>13</v>
      </c>
      <c r="D2" s="10">
        <f>AVERAGE(N10,N13,N51,N61,N21,N67,N28,N34,N41,N73)</f>
        <v>137.44239498349515</v>
      </c>
      <c r="E2" s="11" t="s">
        <v>14</v>
      </c>
      <c r="F2" s="12">
        <f>F1/D1</f>
        <v>34.689210048260968</v>
      </c>
      <c r="G2" s="1" t="s">
        <v>15</v>
      </c>
      <c r="H2" s="410">
        <f>COUNT(H5:H73)</f>
        <v>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SUM(Y10+Y13+Y21+Y28+Y34+Y41+Y51+Y61+Y67+Y73)</f>
        <v>0</v>
      </c>
      <c r="Z2" s="14">
        <f>SUM(Z10+Z13+Z21+Z28+Z34+Z41+Z51+Z61+Z67+Z73)</f>
        <v>0</v>
      </c>
      <c r="AA2" s="543"/>
      <c r="AB2" s="543"/>
      <c r="AC2" s="157">
        <v>30</v>
      </c>
      <c r="AD2" s="14">
        <f>SUM(AD10+AD13+AD21+AD28+AD34+AD41+AD51+AD61+AD67+AD73)</f>
        <v>0</v>
      </c>
      <c r="AE2" s="544"/>
      <c r="AF2" s="544"/>
      <c r="AG2" s="544"/>
    </row>
    <row r="3" spans="1:33" ht="40.5" customHeight="1">
      <c r="A3" s="491" t="s">
        <v>16</v>
      </c>
      <c r="B3" s="491" t="s">
        <v>272</v>
      </c>
      <c r="C3" s="491" t="s">
        <v>18</v>
      </c>
      <c r="D3" s="491"/>
      <c r="E3" s="540" t="s">
        <v>19</v>
      </c>
      <c r="F3" s="491" t="s">
        <v>275</v>
      </c>
      <c r="G3" s="540" t="s">
        <v>276</v>
      </c>
      <c r="H3" s="533" t="s">
        <v>22</v>
      </c>
      <c r="I3" s="531" t="s">
        <v>278</v>
      </c>
      <c r="J3" s="528" t="s">
        <v>24</v>
      </c>
      <c r="K3" s="538" t="s">
        <v>13</v>
      </c>
      <c r="L3" s="531" t="s">
        <v>2562</v>
      </c>
      <c r="M3" s="528" t="s">
        <v>24</v>
      </c>
      <c r="N3" s="538" t="s">
        <v>2411</v>
      </c>
      <c r="O3" s="531" t="s">
        <v>278</v>
      </c>
      <c r="P3" s="538" t="s">
        <v>2561</v>
      </c>
      <c r="Q3" s="529" t="s">
        <v>25</v>
      </c>
      <c r="R3" s="507" t="s">
        <v>26</v>
      </c>
      <c r="S3" s="539" t="s">
        <v>27</v>
      </c>
      <c r="T3" s="539"/>
      <c r="U3" s="533" t="s">
        <v>28</v>
      </c>
      <c r="V3" s="533" t="s">
        <v>29</v>
      </c>
      <c r="W3" s="491" t="s">
        <v>2419</v>
      </c>
      <c r="X3" s="491"/>
      <c r="Y3" s="534" t="s">
        <v>2563</v>
      </c>
      <c r="Z3" s="495"/>
      <c r="AA3" s="535" t="s">
        <v>32</v>
      </c>
      <c r="AB3" s="536"/>
      <c r="AC3" s="534" t="s">
        <v>2564</v>
      </c>
      <c r="AD3" s="495"/>
      <c r="AE3" s="528" t="s">
        <v>2423</v>
      </c>
      <c r="AF3" s="529" t="s">
        <v>25</v>
      </c>
      <c r="AG3" s="507" t="s">
        <v>2565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409" t="s">
        <v>37</v>
      </c>
      <c r="T4" s="409" t="s">
        <v>38</v>
      </c>
      <c r="U4" s="533"/>
      <c r="V4" s="533"/>
      <c r="W4" s="398" t="s">
        <v>2566</v>
      </c>
      <c r="X4" s="398" t="s">
        <v>2567</v>
      </c>
      <c r="Y4" s="400" t="s">
        <v>2568</v>
      </c>
      <c r="Z4" s="400" t="s">
        <v>192</v>
      </c>
      <c r="AA4" s="537"/>
      <c r="AB4" s="536"/>
      <c r="AC4" s="400" t="s">
        <v>43</v>
      </c>
      <c r="AD4" s="400" t="s">
        <v>44</v>
      </c>
      <c r="AE4" s="528"/>
      <c r="AF4" s="529"/>
      <c r="AG4" s="507"/>
    </row>
    <row r="5" spans="1:33">
      <c r="A5" s="530" t="s">
        <v>2429</v>
      </c>
      <c r="B5" s="42" t="s">
        <v>103</v>
      </c>
      <c r="C5" s="532" t="s">
        <v>120</v>
      </c>
      <c r="D5" s="532"/>
      <c r="E5" s="42">
        <v>50.67</v>
      </c>
      <c r="F5" s="409">
        <v>1174</v>
      </c>
      <c r="G5" s="398">
        <f t="shared" ref="G5:G9" si="0">E5*F5</f>
        <v>59486.58</v>
      </c>
      <c r="H5" s="411" t="s">
        <v>79</v>
      </c>
      <c r="I5" s="407">
        <v>17</v>
      </c>
      <c r="J5" s="37">
        <v>2000</v>
      </c>
      <c r="K5" s="17">
        <f t="shared" ref="K5:K68" si="1">J5/I5</f>
        <v>117.64705882352941</v>
      </c>
      <c r="L5" s="407">
        <v>17</v>
      </c>
      <c r="M5" s="18">
        <f t="shared" ref="M5:M9" si="2">F5/V5*60</f>
        <v>1903.7837837837824</v>
      </c>
      <c r="N5" s="17">
        <f t="shared" ref="N5:N68" si="3">M5/L5</f>
        <v>111.98728139904603</v>
      </c>
      <c r="O5" s="19">
        <f t="shared" ref="O5:O68" si="4">L5-I5</f>
        <v>0</v>
      </c>
      <c r="P5" s="20">
        <f t="shared" ref="P5:P68" si="5">N5-K5</f>
        <v>-5.6597774244833801</v>
      </c>
      <c r="Q5" s="401">
        <f t="shared" ref="Q5:Q68" si="6">N5/K5</f>
        <v>0.95189189189189127</v>
      </c>
      <c r="R5" s="489">
        <f>Q10</f>
        <v>0.9640482196482183</v>
      </c>
      <c r="S5" s="40">
        <v>0.70833333333333337</v>
      </c>
      <c r="T5" s="40">
        <v>0.73402777777777783</v>
      </c>
      <c r="U5" s="398"/>
      <c r="V5" s="408">
        <f t="shared" ref="V5:V9" si="7">(T5-S5)*24*60</f>
        <v>37.000000000000028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0" si="8">M5-J5</f>
        <v>-96.216216216217617</v>
      </c>
      <c r="AF5" s="401">
        <f t="shared" ref="AF5:AF68" si="9">M5/J5</f>
        <v>0.95189189189189116</v>
      </c>
      <c r="AG5" s="489">
        <f>AF10</f>
        <v>0.9640482196482183</v>
      </c>
    </row>
    <row r="6" spans="1:33">
      <c r="A6" s="531" t="s">
        <v>45</v>
      </c>
      <c r="B6" s="42" t="s">
        <v>103</v>
      </c>
      <c r="C6" s="532" t="s">
        <v>121</v>
      </c>
      <c r="D6" s="532"/>
      <c r="E6" s="42">
        <v>54.09</v>
      </c>
      <c r="F6" s="409">
        <v>1129</v>
      </c>
      <c r="G6" s="398">
        <f t="shared" si="0"/>
        <v>61067.61</v>
      </c>
      <c r="H6" s="411" t="s">
        <v>79</v>
      </c>
      <c r="I6" s="407">
        <v>19</v>
      </c>
      <c r="J6" s="37">
        <v>2000</v>
      </c>
      <c r="K6" s="17">
        <f t="shared" si="1"/>
        <v>105.26315789473684</v>
      </c>
      <c r="L6" s="407">
        <v>19</v>
      </c>
      <c r="M6" s="18">
        <f t="shared" si="2"/>
        <v>1935.4285714285695</v>
      </c>
      <c r="N6" s="17">
        <f t="shared" si="3"/>
        <v>101.86466165413523</v>
      </c>
      <c r="O6" s="19">
        <f t="shared" si="4"/>
        <v>0</v>
      </c>
      <c r="P6" s="20">
        <f t="shared" si="5"/>
        <v>-3.3984962406016024</v>
      </c>
      <c r="Q6" s="401">
        <f t="shared" si="6"/>
        <v>0.96771428571428475</v>
      </c>
      <c r="R6" s="489"/>
      <c r="S6" s="40">
        <v>0.73888888888888893</v>
      </c>
      <c r="T6" s="40">
        <v>0.76319444444444451</v>
      </c>
      <c r="U6" s="398">
        <f t="shared" ref="U6:U9" si="10">IF(S6=TIME(17,0,0),"",(S6-T5)*24*60)</f>
        <v>6.9999999999999751</v>
      </c>
      <c r="V6" s="408">
        <f t="shared" si="7"/>
        <v>35.000000000000036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-64.571428571430488</v>
      </c>
      <c r="AF6" s="401">
        <f t="shared" si="9"/>
        <v>0.96771428571428475</v>
      </c>
      <c r="AG6" s="489"/>
    </row>
    <row r="7" spans="1:33">
      <c r="A7" s="531" t="s">
        <v>2569</v>
      </c>
      <c r="B7" s="42" t="s">
        <v>103</v>
      </c>
      <c r="C7" s="523" t="s">
        <v>122</v>
      </c>
      <c r="D7" s="524"/>
      <c r="E7" s="42">
        <v>50.29</v>
      </c>
      <c r="F7" s="409">
        <v>736</v>
      </c>
      <c r="G7" s="398">
        <f t="shared" si="0"/>
        <v>37013.440000000002</v>
      </c>
      <c r="H7" s="411" t="s">
        <v>79</v>
      </c>
      <c r="I7" s="407">
        <v>16</v>
      </c>
      <c r="J7" s="37">
        <v>2000</v>
      </c>
      <c r="K7" s="17">
        <f t="shared" si="1"/>
        <v>125</v>
      </c>
      <c r="L7" s="407">
        <v>16</v>
      </c>
      <c r="M7" s="18">
        <f t="shared" si="2"/>
        <v>1919.9999999999934</v>
      </c>
      <c r="N7" s="17">
        <f t="shared" si="3"/>
        <v>119.99999999999959</v>
      </c>
      <c r="O7" s="19">
        <f t="shared" si="4"/>
        <v>0</v>
      </c>
      <c r="P7" s="20">
        <f t="shared" si="5"/>
        <v>-5.0000000000004121</v>
      </c>
      <c r="Q7" s="401">
        <f t="shared" si="6"/>
        <v>0.95999999999999674</v>
      </c>
      <c r="R7" s="489"/>
      <c r="S7" s="40">
        <v>0.76736111111111116</v>
      </c>
      <c r="T7" s="40">
        <v>0.78333333333333344</v>
      </c>
      <c r="U7" s="398">
        <f t="shared" si="10"/>
        <v>5.9999999999999787</v>
      </c>
      <c r="V7" s="408">
        <f t="shared" si="7"/>
        <v>23.000000000000078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-80.000000000006594</v>
      </c>
      <c r="AF7" s="401">
        <f t="shared" si="9"/>
        <v>0.95999999999999674</v>
      </c>
      <c r="AG7" s="489"/>
    </row>
    <row r="8" spans="1:33">
      <c r="A8" s="531" t="s">
        <v>2429</v>
      </c>
      <c r="B8" s="42" t="s">
        <v>103</v>
      </c>
      <c r="C8" s="523" t="s">
        <v>1708</v>
      </c>
      <c r="D8" s="524"/>
      <c r="E8" s="42">
        <v>57.3</v>
      </c>
      <c r="F8" s="409">
        <v>1362</v>
      </c>
      <c r="G8" s="398">
        <f t="shared" si="0"/>
        <v>78042.599999999991</v>
      </c>
      <c r="H8" s="411" t="s">
        <v>79</v>
      </c>
      <c r="I8" s="407">
        <v>15</v>
      </c>
      <c r="J8" s="37">
        <v>2000</v>
      </c>
      <c r="K8" s="17">
        <f t="shared" si="1"/>
        <v>133.33333333333334</v>
      </c>
      <c r="L8" s="407">
        <v>15</v>
      </c>
      <c r="M8" s="18">
        <f t="shared" si="2"/>
        <v>1945.7142857142849</v>
      </c>
      <c r="N8" s="17">
        <f t="shared" si="3"/>
        <v>129.71428571428567</v>
      </c>
      <c r="O8" s="19">
        <f t="shared" si="4"/>
        <v>0</v>
      </c>
      <c r="P8" s="20">
        <f t="shared" si="5"/>
        <v>-3.6190476190476772</v>
      </c>
      <c r="Q8" s="401">
        <f t="shared" si="6"/>
        <v>0.97285714285714242</v>
      </c>
      <c r="R8" s="489"/>
      <c r="S8" s="40">
        <v>0.78888888888888897</v>
      </c>
      <c r="T8" s="40">
        <v>0.81805555555555565</v>
      </c>
      <c r="U8" s="398">
        <f t="shared" si="10"/>
        <v>7.9999999999999716</v>
      </c>
      <c r="V8" s="408">
        <f t="shared" si="7"/>
        <v>42.000000000000014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-54.28571428571513</v>
      </c>
      <c r="AF8" s="401">
        <f t="shared" si="9"/>
        <v>0.97285714285714242</v>
      </c>
      <c r="AG8" s="489"/>
    </row>
    <row r="9" spans="1:33">
      <c r="A9" s="531" t="s">
        <v>45</v>
      </c>
      <c r="B9" s="42" t="s">
        <v>103</v>
      </c>
      <c r="C9" s="523" t="s">
        <v>515</v>
      </c>
      <c r="D9" s="524"/>
      <c r="E9" s="42">
        <v>50.67</v>
      </c>
      <c r="F9" s="409">
        <v>871</v>
      </c>
      <c r="G9" s="398">
        <f t="shared" si="0"/>
        <v>44133.57</v>
      </c>
      <c r="H9" s="411" t="s">
        <v>79</v>
      </c>
      <c r="I9" s="407">
        <v>21</v>
      </c>
      <c r="J9" s="37">
        <v>2000</v>
      </c>
      <c r="K9" s="17">
        <f t="shared" si="1"/>
        <v>95.238095238095241</v>
      </c>
      <c r="L9" s="407">
        <v>21</v>
      </c>
      <c r="M9" s="18">
        <f t="shared" si="2"/>
        <v>1935.5555555555509</v>
      </c>
      <c r="N9" s="17">
        <f t="shared" si="3"/>
        <v>92.169312169311951</v>
      </c>
      <c r="O9" s="19">
        <f t="shared" si="4"/>
        <v>0</v>
      </c>
      <c r="P9" s="20">
        <f t="shared" si="5"/>
        <v>-3.06878306878329</v>
      </c>
      <c r="Q9" s="401">
        <f t="shared" si="6"/>
        <v>0.96777777777777541</v>
      </c>
      <c r="R9" s="489"/>
      <c r="S9" s="40">
        <v>0.82361111111111118</v>
      </c>
      <c r="T9" s="40">
        <v>0.84236111111111123</v>
      </c>
      <c r="U9" s="398">
        <f t="shared" si="10"/>
        <v>7.9999999999999716</v>
      </c>
      <c r="V9" s="408">
        <f t="shared" si="7"/>
        <v>27.000000000000064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-64.444444444449118</v>
      </c>
      <c r="AF9" s="401">
        <f t="shared" si="9"/>
        <v>0.96777777777777541</v>
      </c>
      <c r="AG9" s="489"/>
    </row>
    <row r="10" spans="1:33">
      <c r="A10" s="531" t="s">
        <v>45</v>
      </c>
      <c r="B10" s="42" t="s">
        <v>71</v>
      </c>
      <c r="C10" s="494"/>
      <c r="D10" s="494"/>
      <c r="E10" s="402"/>
      <c r="F10" s="44"/>
      <c r="G10" s="17"/>
      <c r="H10" s="409"/>
      <c r="I10" s="30">
        <v>17.600000000000001</v>
      </c>
      <c r="J10" s="37">
        <v>2000</v>
      </c>
      <c r="K10" s="17">
        <f t="shared" si="1"/>
        <v>113.63636363636363</v>
      </c>
      <c r="L10" s="30">
        <v>17.600000000000001</v>
      </c>
      <c r="M10" s="18">
        <f>AVERAGE(M5:M9)</f>
        <v>1928.0964392964365</v>
      </c>
      <c r="N10" s="17">
        <f t="shared" si="3"/>
        <v>109.55093405093389</v>
      </c>
      <c r="O10" s="19">
        <f t="shared" si="4"/>
        <v>0</v>
      </c>
      <c r="P10" s="20">
        <f t="shared" si="5"/>
        <v>-4.0854295854297362</v>
      </c>
      <c r="Q10" s="401">
        <f t="shared" si="6"/>
        <v>0.9640482196482183</v>
      </c>
      <c r="R10" s="489"/>
      <c r="S10" s="40"/>
      <c r="T10" s="40"/>
      <c r="U10" s="398"/>
      <c r="V10" s="408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-71.903560703563471</v>
      </c>
      <c r="AF10" s="401">
        <f t="shared" si="9"/>
        <v>0.9640482196482183</v>
      </c>
      <c r="AG10" s="489"/>
    </row>
    <row r="11" spans="1:33" ht="15.75" customHeight="1">
      <c r="A11" s="527" t="s">
        <v>2570</v>
      </c>
      <c r="B11" s="42" t="s">
        <v>100</v>
      </c>
      <c r="C11" s="523" t="s">
        <v>124</v>
      </c>
      <c r="D11" s="524"/>
      <c r="E11" s="42">
        <v>39.619999999999997</v>
      </c>
      <c r="F11" s="409">
        <v>2417</v>
      </c>
      <c r="G11" s="398">
        <f t="shared" ref="G11:G12" si="11">E11*F11</f>
        <v>95761.54</v>
      </c>
      <c r="H11" s="411" t="s">
        <v>79</v>
      </c>
      <c r="I11" s="407">
        <v>19</v>
      </c>
      <c r="J11" s="37">
        <v>1500</v>
      </c>
      <c r="K11" s="17">
        <f t="shared" si="1"/>
        <v>78.94736842105263</v>
      </c>
      <c r="L11" s="407">
        <v>19</v>
      </c>
      <c r="M11" s="18">
        <f t="shared" ref="M11:M12" si="12">F11/V11*60</f>
        <v>1435.8415841584158</v>
      </c>
      <c r="N11" s="17">
        <f t="shared" si="3"/>
        <v>75.570609692548203</v>
      </c>
      <c r="O11" s="19">
        <f t="shared" si="4"/>
        <v>0</v>
      </c>
      <c r="P11" s="20">
        <f t="shared" si="5"/>
        <v>-3.3767587285044272</v>
      </c>
      <c r="Q11" s="401">
        <f t="shared" si="6"/>
        <v>0.9572277227722773</v>
      </c>
      <c r="R11" s="489">
        <f>Q13</f>
        <v>0.95555503785672691</v>
      </c>
      <c r="S11" s="40">
        <v>0.20833333333333334</v>
      </c>
      <c r="T11" s="40">
        <v>0.27847222222222223</v>
      </c>
      <c r="U11" s="398"/>
      <c r="V11" s="408">
        <f t="shared" ref="V11:V12" si="13">(T11-S11)*24*60</f>
        <v>101</v>
      </c>
      <c r="W11" s="23"/>
      <c r="X11" s="23"/>
      <c r="Y11" s="23"/>
      <c r="Z11" s="23"/>
      <c r="AA11" s="491"/>
      <c r="AB11" s="491"/>
      <c r="AC11" s="154">
        <v>2</v>
      </c>
      <c r="AD11" s="25"/>
      <c r="AE11" s="19">
        <f t="shared" si="8"/>
        <v>-64.158415841584201</v>
      </c>
      <c r="AF11" s="401">
        <f t="shared" si="9"/>
        <v>0.95722772277227719</v>
      </c>
      <c r="AG11" s="489">
        <f>AF13</f>
        <v>0.9555550378567268</v>
      </c>
    </row>
    <row r="12" spans="1:33" ht="15.75" customHeight="1">
      <c r="A12" s="527" t="s">
        <v>50</v>
      </c>
      <c r="B12" s="42" t="s">
        <v>100</v>
      </c>
      <c r="C12" s="523" t="s">
        <v>125</v>
      </c>
      <c r="D12" s="524"/>
      <c r="E12" s="42">
        <v>39.799999999999997</v>
      </c>
      <c r="F12" s="409">
        <v>4054</v>
      </c>
      <c r="G12" s="398">
        <f t="shared" si="11"/>
        <v>161349.19999999998</v>
      </c>
      <c r="H12" s="411" t="s">
        <v>79</v>
      </c>
      <c r="I12" s="407">
        <v>17</v>
      </c>
      <c r="J12" s="37">
        <v>1500</v>
      </c>
      <c r="K12" s="17">
        <f t="shared" si="1"/>
        <v>88.235294117647058</v>
      </c>
      <c r="L12" s="407">
        <v>17</v>
      </c>
      <c r="M12" s="18">
        <f t="shared" si="12"/>
        <v>1430.8235294117644</v>
      </c>
      <c r="N12" s="17">
        <f t="shared" si="3"/>
        <v>84.166089965397902</v>
      </c>
      <c r="O12" s="19">
        <f t="shared" si="4"/>
        <v>0</v>
      </c>
      <c r="P12" s="20">
        <f t="shared" si="5"/>
        <v>-4.0692041522491564</v>
      </c>
      <c r="Q12" s="401">
        <f t="shared" si="6"/>
        <v>0.95388235294117618</v>
      </c>
      <c r="R12" s="489"/>
      <c r="S12" s="40">
        <v>0.28194444444444444</v>
      </c>
      <c r="T12" s="40">
        <v>0.4</v>
      </c>
      <c r="U12" s="398">
        <f t="shared" ref="U12" si="14">IF(S12=TIME(17,0,0),"",(S12-T11)*24*60)</f>
        <v>4.9999999999999822</v>
      </c>
      <c r="V12" s="408">
        <f t="shared" si="13"/>
        <v>170.00000000000003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-69.176470588235588</v>
      </c>
      <c r="AF12" s="401">
        <f t="shared" si="9"/>
        <v>0.95388235294117629</v>
      </c>
      <c r="AG12" s="489"/>
    </row>
    <row r="13" spans="1:33" ht="16.5" customHeight="1">
      <c r="A13" s="527" t="s">
        <v>50</v>
      </c>
      <c r="B13" s="42" t="s">
        <v>71</v>
      </c>
      <c r="C13" s="494"/>
      <c r="D13" s="494"/>
      <c r="E13" s="402"/>
      <c r="F13" s="37"/>
      <c r="G13" s="18"/>
      <c r="H13" s="409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1433.3325567850902</v>
      </c>
      <c r="N13" s="17">
        <f t="shared" si="3"/>
        <v>79.629586488060568</v>
      </c>
      <c r="O13" s="19">
        <f t="shared" si="4"/>
        <v>0</v>
      </c>
      <c r="P13" s="20">
        <f t="shared" si="5"/>
        <v>-3.7037468452727609</v>
      </c>
      <c r="Q13" s="401">
        <f t="shared" si="6"/>
        <v>0.95555503785672691</v>
      </c>
      <c r="R13" s="489"/>
      <c r="S13" s="40"/>
      <c r="T13" s="40"/>
      <c r="U13" s="17"/>
      <c r="V13" s="408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-66.667443214909781</v>
      </c>
      <c r="AF13" s="401">
        <f t="shared" si="9"/>
        <v>0.9555550378567268</v>
      </c>
      <c r="AG13" s="489"/>
    </row>
    <row r="14" spans="1:33" ht="16.5" customHeight="1">
      <c r="A14" s="525" t="s">
        <v>52</v>
      </c>
      <c r="B14" s="409" t="s">
        <v>126</v>
      </c>
      <c r="C14" s="515" t="s">
        <v>127</v>
      </c>
      <c r="D14" s="515"/>
      <c r="E14" s="42">
        <v>41</v>
      </c>
      <c r="F14" s="409">
        <v>1716</v>
      </c>
      <c r="G14" s="398">
        <f t="shared" ref="G14:G20" si="15">E14*F14</f>
        <v>70356</v>
      </c>
      <c r="H14" s="411" t="s">
        <v>79</v>
      </c>
      <c r="I14" s="407">
        <v>26</v>
      </c>
      <c r="J14" s="37">
        <v>1500</v>
      </c>
      <c r="K14" s="17">
        <f t="shared" si="1"/>
        <v>57.692307692307693</v>
      </c>
      <c r="L14" s="407">
        <v>26</v>
      </c>
      <c r="M14" s="18">
        <f t="shared" ref="M14:M20" si="16">F14/V14*60</f>
        <v>1429.9999999999995</v>
      </c>
      <c r="N14" s="17">
        <f t="shared" si="3"/>
        <v>54.999999999999986</v>
      </c>
      <c r="O14" s="19">
        <f t="shared" si="4"/>
        <v>0</v>
      </c>
      <c r="P14" s="20">
        <f t="shared" si="5"/>
        <v>-2.6923076923077076</v>
      </c>
      <c r="Q14" s="401">
        <f t="shared" si="6"/>
        <v>0.95333333333333303</v>
      </c>
      <c r="R14" s="489">
        <f>Q21</f>
        <v>0.95945448413593559</v>
      </c>
      <c r="S14" s="40">
        <v>0.20833333333333334</v>
      </c>
      <c r="T14" s="40">
        <v>0.25833333333333336</v>
      </c>
      <c r="U14" s="398"/>
      <c r="V14" s="408">
        <f t="shared" ref="V14:V20" si="17">(T14-S14)*24*60</f>
        <v>72.000000000000028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-70.000000000000455</v>
      </c>
      <c r="AF14" s="401">
        <f t="shared" si="9"/>
        <v>0.95333333333333303</v>
      </c>
      <c r="AG14" s="489">
        <f>AF21</f>
        <v>0.95945448413593559</v>
      </c>
    </row>
    <row r="15" spans="1:33" ht="16.5" customHeight="1">
      <c r="A15" s="526" t="s">
        <v>2571</v>
      </c>
      <c r="B15" s="409" t="s">
        <v>128</v>
      </c>
      <c r="C15" s="515" t="s">
        <v>129</v>
      </c>
      <c r="D15" s="515"/>
      <c r="E15" s="42">
        <v>72.400000000000006</v>
      </c>
      <c r="F15" s="409">
        <v>672</v>
      </c>
      <c r="G15" s="398">
        <f t="shared" si="15"/>
        <v>48652.800000000003</v>
      </c>
      <c r="H15" s="411" t="s">
        <v>79</v>
      </c>
      <c r="I15" s="407">
        <v>18</v>
      </c>
      <c r="J15" s="37">
        <v>1500</v>
      </c>
      <c r="K15" s="17">
        <f t="shared" si="1"/>
        <v>83.333333333333329</v>
      </c>
      <c r="L15" s="407">
        <v>18</v>
      </c>
      <c r="M15" s="18">
        <f t="shared" si="16"/>
        <v>1440.0000000000011</v>
      </c>
      <c r="N15" s="17">
        <f t="shared" si="3"/>
        <v>80.000000000000057</v>
      </c>
      <c r="O15" s="19">
        <f t="shared" si="4"/>
        <v>0</v>
      </c>
      <c r="P15" s="20">
        <f t="shared" si="5"/>
        <v>-3.3333333333332718</v>
      </c>
      <c r="Q15" s="401">
        <f t="shared" si="6"/>
        <v>0.96000000000000074</v>
      </c>
      <c r="R15" s="489"/>
      <c r="S15" s="40">
        <v>0.26319444444444445</v>
      </c>
      <c r="T15" s="40">
        <v>0.28263888888888888</v>
      </c>
      <c r="U15" s="398">
        <f t="shared" ref="U15:U20" si="18">IF(S15=TIME(17,0,0),"",(S15-T14)*24*60)</f>
        <v>6.9999999999999751</v>
      </c>
      <c r="V15" s="408">
        <f t="shared" si="17"/>
        <v>27.999999999999979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-59.999999999998863</v>
      </c>
      <c r="AF15" s="401">
        <f t="shared" si="9"/>
        <v>0.96000000000000074</v>
      </c>
      <c r="AG15" s="489"/>
    </row>
    <row r="16" spans="1:33" ht="16.5" customHeight="1">
      <c r="A16" s="526" t="s">
        <v>2571</v>
      </c>
      <c r="B16" s="409" t="s">
        <v>103</v>
      </c>
      <c r="C16" s="515" t="s">
        <v>123</v>
      </c>
      <c r="D16" s="515"/>
      <c r="E16" s="42">
        <v>50.98</v>
      </c>
      <c r="F16" s="409">
        <v>1000</v>
      </c>
      <c r="G16" s="398">
        <f t="shared" si="15"/>
        <v>50980</v>
      </c>
      <c r="H16" s="411">
        <v>2</v>
      </c>
      <c r="I16" s="407">
        <v>16</v>
      </c>
      <c r="J16" s="37">
        <v>2000</v>
      </c>
      <c r="K16" s="17">
        <f t="shared" si="1"/>
        <v>125</v>
      </c>
      <c r="L16" s="407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401">
        <f t="shared" si="6"/>
        <v>0.96774193548386944</v>
      </c>
      <c r="R16" s="489"/>
      <c r="S16" s="40">
        <v>0.70833333333333337</v>
      </c>
      <c r="T16" s="40">
        <v>0.72986111111111118</v>
      </c>
      <c r="U16" s="398" t="str">
        <f t="shared" si="18"/>
        <v/>
      </c>
      <c r="V16" s="408">
        <f t="shared" si="17"/>
        <v>31.00000000000005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-64.516129032261006</v>
      </c>
      <c r="AF16" s="401">
        <f t="shared" si="9"/>
        <v>0.96774193548386944</v>
      </c>
      <c r="AG16" s="489"/>
    </row>
    <row r="17" spans="1:33" ht="16.5" customHeight="1">
      <c r="A17" s="526" t="s">
        <v>2571</v>
      </c>
      <c r="B17" s="409" t="s">
        <v>103</v>
      </c>
      <c r="C17" s="515" t="s">
        <v>132</v>
      </c>
      <c r="D17" s="515"/>
      <c r="E17" s="42">
        <v>50.92</v>
      </c>
      <c r="F17" s="409">
        <v>2054</v>
      </c>
      <c r="G17" s="398">
        <f t="shared" si="15"/>
        <v>104589.68000000001</v>
      </c>
      <c r="H17" s="411" t="s">
        <v>79</v>
      </c>
      <c r="I17" s="407">
        <v>15</v>
      </c>
      <c r="J17" s="37">
        <v>2000</v>
      </c>
      <c r="K17" s="17">
        <f t="shared" si="1"/>
        <v>133.33333333333334</v>
      </c>
      <c r="L17" s="407">
        <v>15</v>
      </c>
      <c r="M17" s="18">
        <f t="shared" si="16"/>
        <v>1925.625000000002</v>
      </c>
      <c r="N17" s="17">
        <f t="shared" si="3"/>
        <v>128.37500000000014</v>
      </c>
      <c r="O17" s="19">
        <f t="shared" si="4"/>
        <v>0</v>
      </c>
      <c r="P17" s="20">
        <f t="shared" si="5"/>
        <v>-4.9583333333332007</v>
      </c>
      <c r="Q17" s="401">
        <f t="shared" si="6"/>
        <v>0.96281250000000096</v>
      </c>
      <c r="R17" s="489"/>
      <c r="S17" s="40">
        <v>0.73541666666666672</v>
      </c>
      <c r="T17" s="40">
        <v>0.77986111111111112</v>
      </c>
      <c r="U17" s="398">
        <f t="shared" si="18"/>
        <v>7.9999999999999716</v>
      </c>
      <c r="V17" s="408">
        <f t="shared" si="17"/>
        <v>63.999999999999929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-74.374999999997954</v>
      </c>
      <c r="AF17" s="401">
        <f t="shared" si="9"/>
        <v>0.96281250000000107</v>
      </c>
      <c r="AG17" s="489"/>
    </row>
    <row r="18" spans="1:33" ht="16.5" customHeight="1">
      <c r="A18" s="526" t="s">
        <v>2571</v>
      </c>
      <c r="B18" s="409" t="s">
        <v>103</v>
      </c>
      <c r="C18" s="515" t="s">
        <v>133</v>
      </c>
      <c r="D18" s="515"/>
      <c r="E18" s="42">
        <v>50.67</v>
      </c>
      <c r="F18" s="409">
        <v>1415</v>
      </c>
      <c r="G18" s="398">
        <f t="shared" si="15"/>
        <v>71698.05</v>
      </c>
      <c r="H18" s="411" t="s">
        <v>79</v>
      </c>
      <c r="I18" s="407">
        <v>15</v>
      </c>
      <c r="J18" s="37">
        <v>2000</v>
      </c>
      <c r="K18" s="17">
        <f t="shared" si="1"/>
        <v>133.33333333333334</v>
      </c>
      <c r="L18" s="407">
        <v>15</v>
      </c>
      <c r="M18" s="18">
        <f t="shared" si="16"/>
        <v>1929.5454545454545</v>
      </c>
      <c r="N18" s="17">
        <f t="shared" si="3"/>
        <v>128.63636363636363</v>
      </c>
      <c r="O18" s="19">
        <f t="shared" si="4"/>
        <v>0</v>
      </c>
      <c r="P18" s="20">
        <f t="shared" si="5"/>
        <v>-4.6969696969697168</v>
      </c>
      <c r="Q18" s="401">
        <f t="shared" si="6"/>
        <v>0.96477272727272712</v>
      </c>
      <c r="R18" s="489"/>
      <c r="S18" s="40">
        <v>0.78333333333333333</v>
      </c>
      <c r="T18" s="40">
        <v>0.81388888888888888</v>
      </c>
      <c r="U18" s="398">
        <f t="shared" si="18"/>
        <v>4.9999999999999822</v>
      </c>
      <c r="V18" s="408">
        <f t="shared" si="17"/>
        <v>44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-70.454545454545496</v>
      </c>
      <c r="AF18" s="401">
        <f t="shared" si="9"/>
        <v>0.96477272727272723</v>
      </c>
      <c r="AG18" s="489"/>
    </row>
    <row r="19" spans="1:33" ht="16.5" customHeight="1">
      <c r="A19" s="526" t="s">
        <v>2571</v>
      </c>
      <c r="B19" s="409" t="s">
        <v>103</v>
      </c>
      <c r="C19" s="521" t="s">
        <v>134</v>
      </c>
      <c r="D19" s="522"/>
      <c r="E19" s="42">
        <v>57.3</v>
      </c>
      <c r="F19" s="409">
        <v>1720</v>
      </c>
      <c r="G19" s="398">
        <f t="shared" si="15"/>
        <v>98556</v>
      </c>
      <c r="H19" s="411" t="s">
        <v>79</v>
      </c>
      <c r="I19" s="407">
        <v>13</v>
      </c>
      <c r="J19" s="37">
        <v>2000</v>
      </c>
      <c r="K19" s="17">
        <f t="shared" si="1"/>
        <v>153.84615384615384</v>
      </c>
      <c r="L19" s="407">
        <v>13</v>
      </c>
      <c r="M19" s="18">
        <f t="shared" si="16"/>
        <v>1911.1111111111122</v>
      </c>
      <c r="N19" s="17">
        <f t="shared" si="3"/>
        <v>147.00854700854708</v>
      </c>
      <c r="O19" s="19">
        <f t="shared" si="4"/>
        <v>0</v>
      </c>
      <c r="P19" s="20">
        <f t="shared" si="5"/>
        <v>-6.8376068376067565</v>
      </c>
      <c r="Q19" s="401">
        <f t="shared" si="6"/>
        <v>0.95555555555555605</v>
      </c>
      <c r="R19" s="489"/>
      <c r="S19" s="40">
        <v>0.81805555555555554</v>
      </c>
      <c r="T19" s="40">
        <v>0.85555555555555551</v>
      </c>
      <c r="U19" s="398">
        <f t="shared" si="18"/>
        <v>5.9999999999999787</v>
      </c>
      <c r="V19" s="408">
        <f t="shared" si="17"/>
        <v>53.999999999999972</v>
      </c>
      <c r="W19" s="23">
        <f>T19</f>
        <v>0.85555555555555551</v>
      </c>
      <c r="X19" s="23">
        <f>S20</f>
        <v>0.89583333333333326</v>
      </c>
      <c r="Y19" s="26"/>
      <c r="Z19" s="26"/>
      <c r="AA19" s="503"/>
      <c r="AB19" s="504"/>
      <c r="AC19" s="154"/>
      <c r="AD19" s="25"/>
      <c r="AE19" s="19">
        <f t="shared" si="8"/>
        <v>-88.888888888887777</v>
      </c>
      <c r="AF19" s="401">
        <f t="shared" si="9"/>
        <v>0.95555555555555616</v>
      </c>
      <c r="AG19" s="489"/>
    </row>
    <row r="20" spans="1:33" ht="16.5" customHeight="1">
      <c r="A20" s="526" t="s">
        <v>2571</v>
      </c>
      <c r="B20" s="409" t="s">
        <v>103</v>
      </c>
      <c r="C20" s="405" t="s">
        <v>123</v>
      </c>
      <c r="D20" s="406"/>
      <c r="E20" s="42">
        <v>50.98</v>
      </c>
      <c r="F20" s="409">
        <v>1109</v>
      </c>
      <c r="G20" s="398">
        <f t="shared" si="15"/>
        <v>56536.82</v>
      </c>
      <c r="H20" s="411" t="s">
        <v>79</v>
      </c>
      <c r="I20" s="407">
        <v>16</v>
      </c>
      <c r="J20" s="37">
        <v>2000</v>
      </c>
      <c r="K20" s="17">
        <f t="shared" si="1"/>
        <v>125</v>
      </c>
      <c r="L20" s="407">
        <v>16</v>
      </c>
      <c r="M20" s="18">
        <f t="shared" si="16"/>
        <v>1901.1428571428553</v>
      </c>
      <c r="N20" s="17">
        <f t="shared" si="3"/>
        <v>118.82142857142846</v>
      </c>
      <c r="O20" s="19">
        <f t="shared" si="4"/>
        <v>0</v>
      </c>
      <c r="P20" s="20">
        <f t="shared" si="5"/>
        <v>-6.1785714285715443</v>
      </c>
      <c r="Q20" s="401">
        <f t="shared" si="6"/>
        <v>0.95057142857142762</v>
      </c>
      <c r="R20" s="489"/>
      <c r="S20" s="40">
        <v>0.89583333333333326</v>
      </c>
      <c r="T20" s="40">
        <v>0.92013888888888884</v>
      </c>
      <c r="U20" s="398">
        <f t="shared" si="18"/>
        <v>57.999999999999957</v>
      </c>
      <c r="V20" s="408">
        <f t="shared" si="17"/>
        <v>35.000000000000036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-98.857142857144709</v>
      </c>
      <c r="AF20" s="401">
        <f t="shared" si="9"/>
        <v>0.95057142857142762</v>
      </c>
      <c r="AG20" s="489"/>
    </row>
    <row r="21" spans="1:33" ht="16.5" customHeight="1">
      <c r="A21" s="526" t="s">
        <v>2571</v>
      </c>
      <c r="B21" s="42" t="s">
        <v>2572</v>
      </c>
      <c r="C21" s="494"/>
      <c r="D21" s="494"/>
      <c r="E21" s="402"/>
      <c r="F21" s="44"/>
      <c r="G21" s="17"/>
      <c r="H21" s="409"/>
      <c r="I21" s="30">
        <v>17</v>
      </c>
      <c r="J21" s="37">
        <v>1857.1428571428571</v>
      </c>
      <c r="K21" s="17">
        <f t="shared" si="1"/>
        <v>109.24369747899159</v>
      </c>
      <c r="L21" s="30">
        <v>17</v>
      </c>
      <c r="M21" s="18">
        <f>AVERAGE(M14:M20)</f>
        <v>1781.8440419667374</v>
      </c>
      <c r="N21" s="17">
        <f t="shared" si="3"/>
        <v>104.81435540980809</v>
      </c>
      <c r="O21" s="19">
        <f t="shared" si="4"/>
        <v>0</v>
      </c>
      <c r="P21" s="20">
        <f t="shared" si="5"/>
        <v>-4.4293420691835053</v>
      </c>
      <c r="Q21" s="401">
        <f t="shared" si="6"/>
        <v>0.95945448413593559</v>
      </c>
      <c r="R21" s="489"/>
      <c r="S21" s="40"/>
      <c r="T21" s="40"/>
      <c r="U21" s="398"/>
      <c r="V21" s="408"/>
      <c r="W21" s="17"/>
      <c r="X21" s="17"/>
      <c r="Y21" s="31">
        <f>SUM(Y14:Y20)</f>
        <v>0</v>
      </c>
      <c r="Z21" s="31">
        <f>SUM(Z14:Z20)</f>
        <v>0</v>
      </c>
      <c r="AA21" s="495"/>
      <c r="AB21" s="495"/>
      <c r="AC21" s="31">
        <v>3</v>
      </c>
      <c r="AD21" s="31">
        <f>SUM(AD14:AD20)</f>
        <v>0</v>
      </c>
      <c r="AE21" s="19">
        <f t="shared" si="8"/>
        <v>-75.29881517611966</v>
      </c>
      <c r="AF21" s="401">
        <f t="shared" si="9"/>
        <v>0.95945448413593559</v>
      </c>
      <c r="AG21" s="489"/>
    </row>
    <row r="22" spans="1:33" ht="15.75" customHeight="1">
      <c r="A22" s="519" t="s">
        <v>2573</v>
      </c>
      <c r="B22" s="42" t="s">
        <v>126</v>
      </c>
      <c r="C22" s="515" t="s">
        <v>135</v>
      </c>
      <c r="D22" s="515"/>
      <c r="E22" s="42">
        <v>43.14</v>
      </c>
      <c r="F22" s="409">
        <v>708</v>
      </c>
      <c r="G22" s="398">
        <f t="shared" ref="G22:G27" si="19">E22*F22</f>
        <v>30543.119999999999</v>
      </c>
      <c r="H22" s="411" t="s">
        <v>79</v>
      </c>
      <c r="I22" s="407">
        <v>17</v>
      </c>
      <c r="J22" s="37">
        <v>2000</v>
      </c>
      <c r="K22" s="17">
        <f t="shared" si="1"/>
        <v>117.64705882352941</v>
      </c>
      <c r="L22" s="407">
        <v>17</v>
      </c>
      <c r="M22" s="18">
        <f t="shared" ref="M22:M27" si="20">F22/V22*60</f>
        <v>1930.9090909090908</v>
      </c>
      <c r="N22" s="17">
        <f t="shared" si="3"/>
        <v>113.58288770053476</v>
      </c>
      <c r="O22" s="19">
        <f t="shared" si="4"/>
        <v>0</v>
      </c>
      <c r="P22" s="20">
        <f t="shared" si="5"/>
        <v>-4.0641711229946509</v>
      </c>
      <c r="Q22" s="401">
        <f t="shared" si="6"/>
        <v>0.96545454545454545</v>
      </c>
      <c r="R22" s="489">
        <f>Q28</f>
        <v>0.95989364615278661</v>
      </c>
      <c r="S22" s="40">
        <v>0.20833333333333334</v>
      </c>
      <c r="T22" s="40">
        <v>0.22361111111111112</v>
      </c>
      <c r="U22" s="398"/>
      <c r="V22" s="408">
        <f t="shared" ref="V22:V27" si="21">(T22-S22)*24*60</f>
        <v>22</v>
      </c>
      <c r="W22" s="28"/>
      <c r="X22" s="28"/>
      <c r="Y22" s="28"/>
      <c r="Z22" s="28"/>
      <c r="AA22" s="491"/>
      <c r="AB22" s="491"/>
      <c r="AC22" s="154">
        <v>2</v>
      </c>
      <c r="AD22" s="25"/>
      <c r="AE22" s="19">
        <f t="shared" si="8"/>
        <v>-69.090909090909236</v>
      </c>
      <c r="AF22" s="401">
        <f t="shared" si="9"/>
        <v>0.96545454545454534</v>
      </c>
      <c r="AG22" s="489">
        <f>AF28</f>
        <v>0.95989364615278661</v>
      </c>
    </row>
    <row r="23" spans="1:33" ht="15.75" customHeight="1">
      <c r="A23" s="520" t="s">
        <v>2573</v>
      </c>
      <c r="B23" s="42" t="s">
        <v>103</v>
      </c>
      <c r="C23" s="515" t="s">
        <v>137</v>
      </c>
      <c r="D23" s="515"/>
      <c r="E23" s="42">
        <v>57.73</v>
      </c>
      <c r="F23" s="409">
        <v>2163</v>
      </c>
      <c r="G23" s="398">
        <f t="shared" si="19"/>
        <v>124869.98999999999</v>
      </c>
      <c r="H23" s="411" t="s">
        <v>79</v>
      </c>
      <c r="I23" s="407">
        <v>14</v>
      </c>
      <c r="J23" s="37">
        <v>2000</v>
      </c>
      <c r="K23" s="17">
        <f t="shared" si="1"/>
        <v>142.85714285714286</v>
      </c>
      <c r="L23" s="407">
        <v>14</v>
      </c>
      <c r="M23" s="18">
        <f t="shared" si="20"/>
        <v>1908.5294117647059</v>
      </c>
      <c r="N23" s="17">
        <f t="shared" si="3"/>
        <v>136.3235294117647</v>
      </c>
      <c r="O23" s="19">
        <f t="shared" si="4"/>
        <v>0</v>
      </c>
      <c r="P23" s="20">
        <f t="shared" si="5"/>
        <v>-6.5336134453781654</v>
      </c>
      <c r="Q23" s="401">
        <f t="shared" si="6"/>
        <v>0.95426470588235279</v>
      </c>
      <c r="R23" s="489"/>
      <c r="S23" s="40">
        <v>0.2277777777777778</v>
      </c>
      <c r="T23" s="40">
        <v>0.27500000000000002</v>
      </c>
      <c r="U23" s="398">
        <f t="shared" ref="U23:U27" si="22">IF(S23=TIME(17,0,0),"",(S23-T22)*24*60)</f>
        <v>6.0000000000000187</v>
      </c>
      <c r="V23" s="408">
        <f t="shared" si="21"/>
        <v>68</v>
      </c>
      <c r="W23" s="23"/>
      <c r="X23" s="398"/>
      <c r="Y23" s="398"/>
      <c r="Z23" s="398"/>
      <c r="AA23" s="491"/>
      <c r="AB23" s="491"/>
      <c r="AC23" s="154"/>
      <c r="AD23" s="25"/>
      <c r="AE23" s="19">
        <f t="shared" si="8"/>
        <v>-91.470588235294144</v>
      </c>
      <c r="AF23" s="401">
        <f t="shared" si="9"/>
        <v>0.9542647058823529</v>
      </c>
      <c r="AG23" s="489"/>
    </row>
    <row r="24" spans="1:33" ht="15.75" customHeight="1">
      <c r="A24" s="520" t="s">
        <v>2573</v>
      </c>
      <c r="B24" s="42" t="s">
        <v>103</v>
      </c>
      <c r="C24" s="515" t="s">
        <v>138</v>
      </c>
      <c r="D24" s="515"/>
      <c r="E24" s="42">
        <v>53.68</v>
      </c>
      <c r="F24" s="409">
        <v>1187</v>
      </c>
      <c r="G24" s="398">
        <f t="shared" si="19"/>
        <v>63718.159999999996</v>
      </c>
      <c r="H24" s="411" t="s">
        <v>79</v>
      </c>
      <c r="I24" s="407">
        <v>16</v>
      </c>
      <c r="J24" s="37">
        <v>2000</v>
      </c>
      <c r="K24" s="17">
        <f t="shared" si="1"/>
        <v>125</v>
      </c>
      <c r="L24" s="407">
        <v>16</v>
      </c>
      <c r="M24" s="18">
        <f t="shared" si="20"/>
        <v>1924.8648648648636</v>
      </c>
      <c r="N24" s="17">
        <f t="shared" si="3"/>
        <v>120.30405405405398</v>
      </c>
      <c r="O24" s="19">
        <f t="shared" si="4"/>
        <v>0</v>
      </c>
      <c r="P24" s="20">
        <f t="shared" si="5"/>
        <v>-4.695945945946022</v>
      </c>
      <c r="Q24" s="401">
        <f t="shared" si="6"/>
        <v>0.96243243243243182</v>
      </c>
      <c r="R24" s="489"/>
      <c r="S24" s="40">
        <v>0.28055555555555556</v>
      </c>
      <c r="T24" s="40">
        <v>0.30625000000000002</v>
      </c>
      <c r="U24" s="398">
        <f t="shared" si="22"/>
        <v>7.9999999999999716</v>
      </c>
      <c r="V24" s="408">
        <f t="shared" si="21"/>
        <v>37.000000000000028</v>
      </c>
      <c r="W24" s="23"/>
      <c r="X24" s="398"/>
      <c r="Y24" s="398"/>
      <c r="Z24" s="398"/>
      <c r="AA24" s="491"/>
      <c r="AB24" s="491"/>
      <c r="AC24" s="154"/>
      <c r="AD24" s="25"/>
      <c r="AE24" s="19">
        <f t="shared" si="8"/>
        <v>-75.135135135136352</v>
      </c>
      <c r="AF24" s="401">
        <f t="shared" si="9"/>
        <v>0.96243243243243182</v>
      </c>
      <c r="AG24" s="489"/>
    </row>
    <row r="25" spans="1:33" ht="15.75" customHeight="1">
      <c r="A25" s="520" t="s">
        <v>2573</v>
      </c>
      <c r="B25" s="42" t="s">
        <v>103</v>
      </c>
      <c r="C25" s="515" t="s">
        <v>140</v>
      </c>
      <c r="D25" s="515"/>
      <c r="E25" s="42">
        <v>50.49</v>
      </c>
      <c r="F25" s="409">
        <v>1716</v>
      </c>
      <c r="G25" s="398">
        <f t="shared" si="19"/>
        <v>86640.84</v>
      </c>
      <c r="H25" s="411" t="s">
        <v>79</v>
      </c>
      <c r="I25" s="407">
        <v>15</v>
      </c>
      <c r="J25" s="37">
        <v>2000</v>
      </c>
      <c r="K25" s="17">
        <f t="shared" si="1"/>
        <v>133.33333333333334</v>
      </c>
      <c r="L25" s="407">
        <v>15</v>
      </c>
      <c r="M25" s="18">
        <f t="shared" si="20"/>
        <v>1906.6666666666677</v>
      </c>
      <c r="N25" s="17">
        <f t="shared" si="3"/>
        <v>127.11111111111117</v>
      </c>
      <c r="O25" s="19">
        <f t="shared" si="4"/>
        <v>0</v>
      </c>
      <c r="P25" s="20">
        <f t="shared" si="5"/>
        <v>-6.2222222222221717</v>
      </c>
      <c r="Q25" s="401">
        <f t="shared" si="6"/>
        <v>0.9533333333333337</v>
      </c>
      <c r="R25" s="489"/>
      <c r="S25" s="40">
        <v>0.70833333333333337</v>
      </c>
      <c r="T25" s="40">
        <v>0.74583333333333335</v>
      </c>
      <c r="U25" s="398" t="str">
        <f t="shared" si="22"/>
        <v/>
      </c>
      <c r="V25" s="408">
        <f t="shared" si="21"/>
        <v>53.999999999999972</v>
      </c>
      <c r="W25" s="23"/>
      <c r="X25" s="398"/>
      <c r="Y25" s="398"/>
      <c r="Z25" s="398"/>
      <c r="AA25" s="491"/>
      <c r="AB25" s="491"/>
      <c r="AC25" s="154"/>
      <c r="AD25" s="25"/>
      <c r="AE25" s="19">
        <f t="shared" si="8"/>
        <v>-93.333333333332348</v>
      </c>
      <c r="AF25" s="401">
        <f t="shared" si="9"/>
        <v>0.95333333333333381</v>
      </c>
      <c r="AG25" s="489"/>
    </row>
    <row r="26" spans="1:33" ht="15.75" customHeight="1">
      <c r="A26" s="520" t="s">
        <v>2573</v>
      </c>
      <c r="B26" s="42" t="s">
        <v>103</v>
      </c>
      <c r="C26" s="515" t="s">
        <v>516</v>
      </c>
      <c r="D26" s="515"/>
      <c r="E26" s="42">
        <v>50.67</v>
      </c>
      <c r="F26" s="409">
        <v>931</v>
      </c>
      <c r="G26" s="398">
        <f t="shared" si="19"/>
        <v>47173.770000000004</v>
      </c>
      <c r="H26" s="411" t="s">
        <v>79</v>
      </c>
      <c r="I26" s="407">
        <v>16</v>
      </c>
      <c r="J26" s="37">
        <v>2000</v>
      </c>
      <c r="K26" s="17">
        <f t="shared" si="1"/>
        <v>125</v>
      </c>
      <c r="L26" s="407">
        <v>16</v>
      </c>
      <c r="M26" s="18">
        <f t="shared" si="20"/>
        <v>1926.2068965517205</v>
      </c>
      <c r="N26" s="17">
        <f t="shared" si="3"/>
        <v>120.38793103448253</v>
      </c>
      <c r="O26" s="19">
        <f t="shared" si="4"/>
        <v>0</v>
      </c>
      <c r="P26" s="20">
        <f t="shared" si="5"/>
        <v>-4.6120689655174658</v>
      </c>
      <c r="Q26" s="401">
        <f t="shared" si="6"/>
        <v>0.96310344827586025</v>
      </c>
      <c r="R26" s="489"/>
      <c r="S26" s="40">
        <v>0.75138888888888888</v>
      </c>
      <c r="T26" s="40">
        <v>0.77152777777777781</v>
      </c>
      <c r="U26" s="398">
        <f t="shared" si="22"/>
        <v>7.9999999999999716</v>
      </c>
      <c r="V26" s="408">
        <f t="shared" si="21"/>
        <v>29.000000000000057</v>
      </c>
      <c r="W26" s="23"/>
      <c r="X26" s="398"/>
      <c r="Y26" s="398"/>
      <c r="Z26" s="398"/>
      <c r="AA26" s="491"/>
      <c r="AB26" s="491"/>
      <c r="AC26" s="154"/>
      <c r="AD26" s="25"/>
      <c r="AE26" s="19">
        <f t="shared" si="8"/>
        <v>-73.793103448279453</v>
      </c>
      <c r="AF26" s="401">
        <f t="shared" si="9"/>
        <v>0.96310344827586025</v>
      </c>
      <c r="AG26" s="489"/>
    </row>
    <row r="27" spans="1:33" ht="15.75" customHeight="1">
      <c r="A27" s="520" t="s">
        <v>2573</v>
      </c>
      <c r="B27" s="42" t="s">
        <v>103</v>
      </c>
      <c r="C27" s="515" t="s">
        <v>142</v>
      </c>
      <c r="D27" s="515"/>
      <c r="E27" s="42">
        <v>53.68</v>
      </c>
      <c r="F27" s="409">
        <v>1802</v>
      </c>
      <c r="G27" s="398">
        <f t="shared" si="19"/>
        <v>96731.36</v>
      </c>
      <c r="H27" s="411" t="s">
        <v>79</v>
      </c>
      <c r="I27" s="407">
        <v>16</v>
      </c>
      <c r="J27" s="37">
        <v>1500</v>
      </c>
      <c r="K27" s="17">
        <f t="shared" si="1"/>
        <v>93.75</v>
      </c>
      <c r="L27" s="407">
        <v>16</v>
      </c>
      <c r="M27" s="18">
        <f t="shared" si="20"/>
        <v>1441.599999999999</v>
      </c>
      <c r="N27" s="17">
        <f t="shared" si="3"/>
        <v>90.099999999999937</v>
      </c>
      <c r="O27" s="19">
        <f t="shared" si="4"/>
        <v>0</v>
      </c>
      <c r="P27" s="20">
        <f t="shared" si="5"/>
        <v>-3.6500000000000625</v>
      </c>
      <c r="Q27" s="401">
        <f t="shared" si="6"/>
        <v>0.96106666666666596</v>
      </c>
      <c r="R27" s="489"/>
      <c r="S27" s="40">
        <v>0.77708333333333335</v>
      </c>
      <c r="T27" s="40">
        <v>0.82916666666666672</v>
      </c>
      <c r="U27" s="398">
        <f t="shared" si="22"/>
        <v>7.9999999999999716</v>
      </c>
      <c r="V27" s="408">
        <f t="shared" si="21"/>
        <v>75.000000000000057</v>
      </c>
      <c r="W27" s="23"/>
      <c r="X27" s="28"/>
      <c r="Y27" s="28"/>
      <c r="Z27" s="28"/>
      <c r="AA27" s="491"/>
      <c r="AB27" s="491"/>
      <c r="AC27" s="154"/>
      <c r="AD27" s="25"/>
      <c r="AE27" s="19">
        <f t="shared" si="8"/>
        <v>-58.400000000001</v>
      </c>
      <c r="AF27" s="401">
        <f t="shared" si="9"/>
        <v>0.96106666666666596</v>
      </c>
      <c r="AG27" s="489"/>
    </row>
    <row r="28" spans="1:33" ht="15.75" customHeight="1">
      <c r="A28" s="520" t="s">
        <v>2573</v>
      </c>
      <c r="B28" s="42" t="s">
        <v>2572</v>
      </c>
      <c r="C28" s="494"/>
      <c r="D28" s="494"/>
      <c r="E28" s="402"/>
      <c r="F28" s="409"/>
      <c r="G28" s="398"/>
      <c r="H28" s="409"/>
      <c r="I28" s="30">
        <v>15.666666666666666</v>
      </c>
      <c r="J28" s="37">
        <v>1916.6666666666667</v>
      </c>
      <c r="K28" s="17">
        <f t="shared" si="1"/>
        <v>122.3404255319149</v>
      </c>
      <c r="L28" s="30">
        <v>15.666666666666666</v>
      </c>
      <c r="M28" s="18">
        <f>AVERAGE(M22:M27)</f>
        <v>1839.7961551261744</v>
      </c>
      <c r="N28" s="17">
        <f t="shared" si="3"/>
        <v>117.43379713571326</v>
      </c>
      <c r="O28" s="19">
        <f t="shared" si="4"/>
        <v>0</v>
      </c>
      <c r="P28" s="20">
        <f t="shared" si="5"/>
        <v>-4.9066283962016399</v>
      </c>
      <c r="Q28" s="401">
        <f t="shared" si="6"/>
        <v>0.95989364615278661</v>
      </c>
      <c r="R28" s="489"/>
      <c r="S28" s="40"/>
      <c r="T28" s="40"/>
      <c r="U28" s="17"/>
      <c r="V28" s="408"/>
      <c r="W28" s="17"/>
      <c r="X28" s="17"/>
      <c r="Y28" s="31">
        <f>SUM(Y22:Y27)</f>
        <v>0</v>
      </c>
      <c r="Z28" s="31">
        <f>SUM(Z22:Z27)</f>
        <v>0</v>
      </c>
      <c r="AA28" s="495"/>
      <c r="AB28" s="495"/>
      <c r="AC28" s="31">
        <v>2</v>
      </c>
      <c r="AD28" s="31">
        <f>SUM(AD22:AD27)</f>
        <v>0</v>
      </c>
      <c r="AE28" s="19">
        <f t="shared" si="8"/>
        <v>-76.870511540492316</v>
      </c>
      <c r="AF28" s="401">
        <f t="shared" si="9"/>
        <v>0.95989364615278661</v>
      </c>
      <c r="AG28" s="489"/>
    </row>
    <row r="29" spans="1:33" ht="15.75" customHeight="1">
      <c r="A29" s="518" t="s">
        <v>2574</v>
      </c>
      <c r="B29" s="42" t="s">
        <v>80</v>
      </c>
      <c r="C29" s="515" t="s">
        <v>81</v>
      </c>
      <c r="D29" s="515"/>
      <c r="E29" s="42">
        <v>31.29</v>
      </c>
      <c r="F29" s="409">
        <v>6673</v>
      </c>
      <c r="G29" s="398">
        <f t="shared" ref="G29:G33" si="23">E29*F29</f>
        <v>208798.16999999998</v>
      </c>
      <c r="H29" s="411" t="s">
        <v>79</v>
      </c>
      <c r="I29" s="407">
        <v>18</v>
      </c>
      <c r="J29" s="37">
        <v>2400</v>
      </c>
      <c r="K29" s="17">
        <f t="shared" si="1"/>
        <v>133.33333333333334</v>
      </c>
      <c r="L29" s="407">
        <v>18</v>
      </c>
      <c r="M29" s="18">
        <f t="shared" ref="M29:M33" si="24">F29/V29*60</f>
        <v>2287.8857142857137</v>
      </c>
      <c r="N29" s="17">
        <f t="shared" si="3"/>
        <v>127.10476190476187</v>
      </c>
      <c r="O29" s="19">
        <f t="shared" si="4"/>
        <v>0</v>
      </c>
      <c r="P29" s="20">
        <f t="shared" si="5"/>
        <v>-6.2285714285714704</v>
      </c>
      <c r="Q29" s="401">
        <f t="shared" si="6"/>
        <v>0.95328571428571396</v>
      </c>
      <c r="R29" s="489">
        <f>Q34</f>
        <v>0.95774550648130374</v>
      </c>
      <c r="S29" s="40">
        <v>0.125</v>
      </c>
      <c r="T29" s="40">
        <v>0.24652777777777779</v>
      </c>
      <c r="U29" s="398"/>
      <c r="V29" s="408">
        <f t="shared" ref="V29:V33" si="25">(T29-S29)*24*60</f>
        <v>175.00000000000003</v>
      </c>
      <c r="W29" s="23">
        <f>T29</f>
        <v>0.24652777777777779</v>
      </c>
      <c r="X29" s="23">
        <f>S30</f>
        <v>0.26458333333333334</v>
      </c>
      <c r="Y29" s="23"/>
      <c r="Z29" s="23"/>
      <c r="AA29" s="491"/>
      <c r="AB29" s="491"/>
      <c r="AC29" s="154">
        <v>6</v>
      </c>
      <c r="AD29" s="25"/>
      <c r="AE29" s="19">
        <f t="shared" si="8"/>
        <v>-112.11428571428632</v>
      </c>
      <c r="AF29" s="401">
        <f t="shared" si="9"/>
        <v>0.95328571428571407</v>
      </c>
      <c r="AG29" s="489">
        <f>AF34</f>
        <v>0.95774550648130385</v>
      </c>
    </row>
    <row r="30" spans="1:33" ht="15.75" customHeight="1">
      <c r="A30" s="518" t="s">
        <v>2574</v>
      </c>
      <c r="B30" s="42" t="s">
        <v>80</v>
      </c>
      <c r="C30" s="515" t="s">
        <v>82</v>
      </c>
      <c r="D30" s="515"/>
      <c r="E30" s="42">
        <v>26.2</v>
      </c>
      <c r="F30" s="409">
        <v>3586</v>
      </c>
      <c r="G30" s="398">
        <f t="shared" si="23"/>
        <v>93953.2</v>
      </c>
      <c r="H30" s="411" t="s">
        <v>79</v>
      </c>
      <c r="I30" s="407">
        <v>20</v>
      </c>
      <c r="J30" s="37">
        <v>2400</v>
      </c>
      <c r="K30" s="17">
        <f t="shared" si="1"/>
        <v>120</v>
      </c>
      <c r="L30" s="407">
        <v>20</v>
      </c>
      <c r="M30" s="18">
        <f t="shared" si="24"/>
        <v>2288.9361702127662</v>
      </c>
      <c r="N30" s="17">
        <f t="shared" si="3"/>
        <v>114.44680851063831</v>
      </c>
      <c r="O30" s="19">
        <f t="shared" si="4"/>
        <v>0</v>
      </c>
      <c r="P30" s="20">
        <f t="shared" si="5"/>
        <v>-5.5531914893616943</v>
      </c>
      <c r="Q30" s="401">
        <f t="shared" si="6"/>
        <v>0.95372340425531921</v>
      </c>
      <c r="R30" s="489"/>
      <c r="S30" s="40">
        <v>0.26458333333333334</v>
      </c>
      <c r="T30" s="40">
        <v>0.3298611111111111</v>
      </c>
      <c r="U30" s="398">
        <f t="shared" ref="U30:U33" si="26">(S30-T29)*24*60</f>
        <v>25.999999999999986</v>
      </c>
      <c r="V30" s="408">
        <f t="shared" si="25"/>
        <v>93.999999999999986</v>
      </c>
      <c r="W30" s="23"/>
      <c r="X30" s="23"/>
      <c r="Y30" s="23"/>
      <c r="Z30" s="23"/>
      <c r="AA30" s="491"/>
      <c r="AB30" s="491"/>
      <c r="AC30" s="154"/>
      <c r="AD30" s="25"/>
      <c r="AE30" s="19">
        <f t="shared" si="8"/>
        <v>-111.06382978723377</v>
      </c>
      <c r="AF30" s="401">
        <f t="shared" si="9"/>
        <v>0.95372340425531921</v>
      </c>
      <c r="AG30" s="489"/>
    </row>
    <row r="31" spans="1:33" ht="15.75" customHeight="1">
      <c r="A31" s="518" t="s">
        <v>2574</v>
      </c>
      <c r="B31" s="42" t="s">
        <v>80</v>
      </c>
      <c r="C31" s="515" t="s">
        <v>83</v>
      </c>
      <c r="D31" s="515"/>
      <c r="E31" s="42">
        <v>25.99</v>
      </c>
      <c r="F31" s="409">
        <v>3037</v>
      </c>
      <c r="G31" s="398">
        <f t="shared" si="23"/>
        <v>78931.62999999999</v>
      </c>
      <c r="H31" s="411" t="s">
        <v>79</v>
      </c>
      <c r="I31" s="407">
        <v>14</v>
      </c>
      <c r="J31" s="37">
        <v>2400</v>
      </c>
      <c r="K31" s="17">
        <f t="shared" si="1"/>
        <v>171.42857142857142</v>
      </c>
      <c r="L31" s="407">
        <v>14</v>
      </c>
      <c r="M31" s="18">
        <f t="shared" si="24"/>
        <v>2306.5822784810139</v>
      </c>
      <c r="N31" s="17">
        <f t="shared" si="3"/>
        <v>164.75587703435812</v>
      </c>
      <c r="O31" s="19">
        <f t="shared" si="4"/>
        <v>0</v>
      </c>
      <c r="P31" s="20">
        <f t="shared" si="5"/>
        <v>-6.6726943942132948</v>
      </c>
      <c r="Q31" s="401">
        <f t="shared" si="6"/>
        <v>0.96107594936708907</v>
      </c>
      <c r="R31" s="489"/>
      <c r="S31" s="40">
        <v>0.33541666666666664</v>
      </c>
      <c r="T31" s="40">
        <v>0.39027777777777772</v>
      </c>
      <c r="U31" s="398">
        <f t="shared" si="26"/>
        <v>7.9999999999999716</v>
      </c>
      <c r="V31" s="408">
        <f t="shared" si="25"/>
        <v>78.999999999999957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-93.417721518986127</v>
      </c>
      <c r="AF31" s="401">
        <f t="shared" si="9"/>
        <v>0.96107594936708907</v>
      </c>
      <c r="AG31" s="489"/>
    </row>
    <row r="32" spans="1:33" ht="15.75" customHeight="1">
      <c r="A32" s="518" t="s">
        <v>2574</v>
      </c>
      <c r="B32" s="42" t="s">
        <v>80</v>
      </c>
      <c r="C32" s="515" t="s">
        <v>84</v>
      </c>
      <c r="D32" s="515"/>
      <c r="E32" s="42">
        <v>20.52</v>
      </c>
      <c r="F32" s="409">
        <v>2843</v>
      </c>
      <c r="G32" s="398">
        <f t="shared" si="23"/>
        <v>58338.36</v>
      </c>
      <c r="H32" s="411" t="s">
        <v>79</v>
      </c>
      <c r="I32" s="407">
        <v>18</v>
      </c>
      <c r="J32" s="37">
        <v>2400</v>
      </c>
      <c r="K32" s="17">
        <f t="shared" si="1"/>
        <v>133.33333333333334</v>
      </c>
      <c r="L32" s="407">
        <v>18</v>
      </c>
      <c r="M32" s="18">
        <f t="shared" si="24"/>
        <v>2305.1351351351359</v>
      </c>
      <c r="N32" s="17">
        <f t="shared" si="3"/>
        <v>128.06306306306311</v>
      </c>
      <c r="O32" s="19">
        <f t="shared" si="4"/>
        <v>0</v>
      </c>
      <c r="P32" s="20">
        <f t="shared" si="5"/>
        <v>-5.2702702702702311</v>
      </c>
      <c r="Q32" s="401">
        <f t="shared" si="6"/>
        <v>0.96047297297297329</v>
      </c>
      <c r="R32" s="489"/>
      <c r="S32" s="40">
        <v>0.39513888888888882</v>
      </c>
      <c r="T32" s="40">
        <v>0.44652777777777769</v>
      </c>
      <c r="U32" s="398">
        <f t="shared" si="26"/>
        <v>6.9999999999999751</v>
      </c>
      <c r="V32" s="408">
        <f t="shared" si="25"/>
        <v>73.999999999999972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-94.864864864864103</v>
      </c>
      <c r="AF32" s="401">
        <f t="shared" si="9"/>
        <v>0.96047297297297329</v>
      </c>
      <c r="AG32" s="489"/>
    </row>
    <row r="33" spans="1:33" ht="15.75" customHeight="1">
      <c r="A33" s="518" t="s">
        <v>2574</v>
      </c>
      <c r="B33" s="42" t="s">
        <v>80</v>
      </c>
      <c r="C33" s="515" t="s">
        <v>85</v>
      </c>
      <c r="D33" s="515"/>
      <c r="E33" s="42">
        <v>25.98</v>
      </c>
      <c r="F33" s="409">
        <v>2266</v>
      </c>
      <c r="G33" s="398">
        <f t="shared" si="23"/>
        <v>58870.68</v>
      </c>
      <c r="H33" s="411" t="s">
        <v>79</v>
      </c>
      <c r="I33" s="407">
        <v>21</v>
      </c>
      <c r="J33" s="37">
        <v>2400</v>
      </c>
      <c r="K33" s="17">
        <f t="shared" si="1"/>
        <v>114.28571428571429</v>
      </c>
      <c r="L33" s="407">
        <v>21</v>
      </c>
      <c r="M33" s="18">
        <f t="shared" si="24"/>
        <v>2304.4067796610161</v>
      </c>
      <c r="N33" s="17">
        <f t="shared" si="3"/>
        <v>109.7336561743341</v>
      </c>
      <c r="O33" s="19">
        <f t="shared" si="4"/>
        <v>0</v>
      </c>
      <c r="P33" s="20">
        <f t="shared" si="5"/>
        <v>-4.552058111380191</v>
      </c>
      <c r="Q33" s="401">
        <f t="shared" si="6"/>
        <v>0.9601694915254233</v>
      </c>
      <c r="R33" s="489"/>
      <c r="S33" s="40">
        <v>0.45208333333333323</v>
      </c>
      <c r="T33" s="40">
        <v>0.49305555555555547</v>
      </c>
      <c r="U33" s="398">
        <f t="shared" si="26"/>
        <v>7.9999999999999716</v>
      </c>
      <c r="V33" s="408">
        <f t="shared" si="25"/>
        <v>59.000000000000028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-95.593220338983883</v>
      </c>
      <c r="AF33" s="401">
        <f t="shared" si="9"/>
        <v>0.96016949152542341</v>
      </c>
      <c r="AG33" s="489"/>
    </row>
    <row r="34" spans="1:33" ht="15.75" customHeight="1">
      <c r="A34" s="518" t="s">
        <v>2574</v>
      </c>
      <c r="B34" s="42" t="s">
        <v>2572</v>
      </c>
      <c r="C34" s="494"/>
      <c r="D34" s="494"/>
      <c r="E34" s="402"/>
      <c r="F34" s="409"/>
      <c r="G34" s="398"/>
      <c r="H34" s="409"/>
      <c r="I34" s="30">
        <v>18.2</v>
      </c>
      <c r="J34" s="37">
        <v>2400</v>
      </c>
      <c r="K34" s="17">
        <f t="shared" si="1"/>
        <v>131.86813186813188</v>
      </c>
      <c r="L34" s="30">
        <v>18.2</v>
      </c>
      <c r="M34" s="18">
        <f>AVERAGE(M29:M33)</f>
        <v>2298.5892155551292</v>
      </c>
      <c r="N34" s="17">
        <f t="shared" si="3"/>
        <v>126.29611074478733</v>
      </c>
      <c r="O34" s="19">
        <f t="shared" si="4"/>
        <v>0</v>
      </c>
      <c r="P34" s="20">
        <f t="shared" si="5"/>
        <v>-5.5720211233445553</v>
      </c>
      <c r="Q34" s="401">
        <f t="shared" si="6"/>
        <v>0.95774550648130374</v>
      </c>
      <c r="R34" s="489"/>
      <c r="S34" s="40"/>
      <c r="T34" s="40"/>
      <c r="U34" s="398"/>
      <c r="V34" s="408"/>
      <c r="W34" s="398"/>
      <c r="X34" s="398"/>
      <c r="Y34" s="31">
        <f>SUM(Y29:Y33)</f>
        <v>0</v>
      </c>
      <c r="Z34" s="31">
        <f>SUM(Z29:Z33)</f>
        <v>0</v>
      </c>
      <c r="AA34" s="495"/>
      <c r="AB34" s="495"/>
      <c r="AC34" s="31">
        <v>6</v>
      </c>
      <c r="AD34" s="31">
        <f>SUM(AD29:AD33)</f>
        <v>0</v>
      </c>
      <c r="AE34" s="19">
        <f t="shared" si="8"/>
        <v>-101.41078444487084</v>
      </c>
      <c r="AF34" s="401">
        <f t="shared" si="9"/>
        <v>0.95774550648130385</v>
      </c>
      <c r="AG34" s="489"/>
    </row>
    <row r="35" spans="1:33" ht="15.75" customHeight="1">
      <c r="A35" s="516" t="s">
        <v>61</v>
      </c>
      <c r="B35" s="42" t="s">
        <v>80</v>
      </c>
      <c r="C35" s="490" t="s">
        <v>87</v>
      </c>
      <c r="D35" s="490"/>
      <c r="E35" s="42">
        <v>26.2</v>
      </c>
      <c r="F35" s="409">
        <v>4550</v>
      </c>
      <c r="G35" s="398">
        <f t="shared" ref="G35:G40" si="27">E35*F35</f>
        <v>119210</v>
      </c>
      <c r="H35" s="411" t="s">
        <v>79</v>
      </c>
      <c r="I35" s="407">
        <v>18</v>
      </c>
      <c r="J35" s="37">
        <v>2400</v>
      </c>
      <c r="K35" s="17">
        <f t="shared" si="1"/>
        <v>133.33333333333334</v>
      </c>
      <c r="L35" s="407">
        <v>18</v>
      </c>
      <c r="M35" s="18">
        <f t="shared" ref="M35:M40" si="28">F35/V35*60</f>
        <v>2294.1176470588239</v>
      </c>
      <c r="N35" s="17">
        <f t="shared" si="3"/>
        <v>127.45098039215688</v>
      </c>
      <c r="O35" s="19">
        <f t="shared" si="4"/>
        <v>0</v>
      </c>
      <c r="P35" s="20">
        <f t="shared" si="5"/>
        <v>-5.8823529411764639</v>
      </c>
      <c r="Q35" s="401">
        <f t="shared" si="6"/>
        <v>0.95588235294117652</v>
      </c>
      <c r="R35" s="489">
        <f>Q41</f>
        <v>0.95653455466517945</v>
      </c>
      <c r="S35" s="40">
        <v>0.125</v>
      </c>
      <c r="T35" s="40">
        <v>0.20763888888888887</v>
      </c>
      <c r="U35" s="398"/>
      <c r="V35" s="408">
        <f t="shared" ref="V35:V40" si="29">(T35-S35)*24*60</f>
        <v>118.99999999999997</v>
      </c>
      <c r="W35" s="28">
        <f>T35</f>
        <v>0.20763888888888887</v>
      </c>
      <c r="X35" s="28">
        <f>S36</f>
        <v>0.22777777777777777</v>
      </c>
      <c r="Y35" s="28"/>
      <c r="Z35" s="28"/>
      <c r="AA35" s="491"/>
      <c r="AB35" s="491"/>
      <c r="AC35" s="154">
        <v>6</v>
      </c>
      <c r="AD35" s="25"/>
      <c r="AE35" s="19">
        <f t="shared" si="8"/>
        <v>-105.88235294117612</v>
      </c>
      <c r="AF35" s="401">
        <f t="shared" si="9"/>
        <v>0.95588235294117663</v>
      </c>
      <c r="AG35" s="489">
        <f>AF41</f>
        <v>0.95653455466517945</v>
      </c>
    </row>
    <row r="36" spans="1:33" ht="15.75" customHeight="1">
      <c r="A36" s="516" t="s">
        <v>61</v>
      </c>
      <c r="B36" s="42" t="s">
        <v>80</v>
      </c>
      <c r="C36" s="490" t="s">
        <v>88</v>
      </c>
      <c r="D36" s="490"/>
      <c r="E36" s="42">
        <v>26.18</v>
      </c>
      <c r="F36" s="409">
        <v>1538</v>
      </c>
      <c r="G36" s="398">
        <f t="shared" si="27"/>
        <v>40264.839999999997</v>
      </c>
      <c r="H36" s="411" t="s">
        <v>79</v>
      </c>
      <c r="I36" s="407">
        <v>19</v>
      </c>
      <c r="J36" s="37">
        <v>2400</v>
      </c>
      <c r="K36" s="17">
        <f t="shared" si="1"/>
        <v>126.31578947368421</v>
      </c>
      <c r="L36" s="407">
        <v>19</v>
      </c>
      <c r="M36" s="18">
        <f t="shared" si="28"/>
        <v>2307.0000000000009</v>
      </c>
      <c r="N36" s="17">
        <f t="shared" si="3"/>
        <v>121.421052631579</v>
      </c>
      <c r="O36" s="19">
        <f t="shared" si="4"/>
        <v>0</v>
      </c>
      <c r="P36" s="20">
        <f t="shared" si="5"/>
        <v>-4.8947368421052033</v>
      </c>
      <c r="Q36" s="401">
        <f t="shared" si="6"/>
        <v>0.96125000000000049</v>
      </c>
      <c r="R36" s="489"/>
      <c r="S36" s="40">
        <v>0.22777777777777777</v>
      </c>
      <c r="T36" s="40">
        <v>0.25555555555555554</v>
      </c>
      <c r="U36" s="398">
        <f t="shared" ref="U36:U40" si="30">(S36-T35)*24*60</f>
        <v>29.000000000000018</v>
      </c>
      <c r="V36" s="408">
        <f t="shared" si="29"/>
        <v>39.999999999999979</v>
      </c>
      <c r="W36" s="398"/>
      <c r="X36" s="398"/>
      <c r="Y36" s="398"/>
      <c r="Z36" s="398"/>
      <c r="AA36" s="491"/>
      <c r="AB36" s="491"/>
      <c r="AC36" s="154"/>
      <c r="AD36" s="25"/>
      <c r="AE36" s="19">
        <f t="shared" si="8"/>
        <v>-92.999999999999091</v>
      </c>
      <c r="AF36" s="401">
        <f t="shared" si="9"/>
        <v>0.96125000000000038</v>
      </c>
      <c r="AG36" s="489"/>
    </row>
    <row r="37" spans="1:33">
      <c r="A37" s="517" t="s">
        <v>2575</v>
      </c>
      <c r="B37" s="42" t="s">
        <v>80</v>
      </c>
      <c r="C37" s="490" t="s">
        <v>89</v>
      </c>
      <c r="D37" s="490"/>
      <c r="E37" s="42">
        <v>26.39</v>
      </c>
      <c r="F37" s="409">
        <v>4277</v>
      </c>
      <c r="G37" s="398">
        <f t="shared" si="27"/>
        <v>112870.03</v>
      </c>
      <c r="H37" s="411" t="s">
        <v>79</v>
      </c>
      <c r="I37" s="407">
        <v>19</v>
      </c>
      <c r="J37" s="37">
        <v>2400</v>
      </c>
      <c r="K37" s="17">
        <f t="shared" si="1"/>
        <v>126.31578947368421</v>
      </c>
      <c r="L37" s="407">
        <v>19</v>
      </c>
      <c r="M37" s="18">
        <f t="shared" si="28"/>
        <v>2291.25</v>
      </c>
      <c r="N37" s="17">
        <f t="shared" si="3"/>
        <v>120.59210526315789</v>
      </c>
      <c r="O37" s="19">
        <f t="shared" si="4"/>
        <v>0</v>
      </c>
      <c r="P37" s="20">
        <f t="shared" si="5"/>
        <v>-5.723684210526315</v>
      </c>
      <c r="Q37" s="401">
        <f t="shared" si="6"/>
        <v>0.95468750000000002</v>
      </c>
      <c r="R37" s="489"/>
      <c r="S37" s="40">
        <v>0.26041666666666663</v>
      </c>
      <c r="T37" s="40">
        <v>0.33819444444444441</v>
      </c>
      <c r="U37" s="398">
        <f t="shared" si="30"/>
        <v>6.9999999999999751</v>
      </c>
      <c r="V37" s="408">
        <f t="shared" si="29"/>
        <v>112</v>
      </c>
      <c r="W37" s="398"/>
      <c r="X37" s="398"/>
      <c r="Y37" s="398"/>
      <c r="Z37" s="398"/>
      <c r="AA37" s="491"/>
      <c r="AB37" s="491"/>
      <c r="AC37" s="154"/>
      <c r="AD37" s="25"/>
      <c r="AE37" s="19">
        <f t="shared" si="8"/>
        <v>-108.75</v>
      </c>
      <c r="AF37" s="401">
        <f t="shared" si="9"/>
        <v>0.95468750000000002</v>
      </c>
      <c r="AG37" s="489"/>
    </row>
    <row r="38" spans="1:33">
      <c r="A38" s="517" t="s">
        <v>2576</v>
      </c>
      <c r="B38" s="42" t="s">
        <v>80</v>
      </c>
      <c r="C38" s="490" t="s">
        <v>90</v>
      </c>
      <c r="D38" s="490"/>
      <c r="E38" s="42">
        <v>22.69</v>
      </c>
      <c r="F38" s="409">
        <v>958</v>
      </c>
      <c r="G38" s="398">
        <f t="shared" si="27"/>
        <v>21737.02</v>
      </c>
      <c r="H38" s="411" t="s">
        <v>79</v>
      </c>
      <c r="I38" s="407">
        <v>15</v>
      </c>
      <c r="J38" s="37">
        <v>2400</v>
      </c>
      <c r="K38" s="17">
        <f t="shared" si="1"/>
        <v>160</v>
      </c>
      <c r="L38" s="407">
        <v>15</v>
      </c>
      <c r="M38" s="18">
        <f t="shared" si="28"/>
        <v>2299.2000000000003</v>
      </c>
      <c r="N38" s="17">
        <f t="shared" si="3"/>
        <v>153.28000000000003</v>
      </c>
      <c r="O38" s="19">
        <f t="shared" si="4"/>
        <v>0</v>
      </c>
      <c r="P38" s="20">
        <f t="shared" si="5"/>
        <v>-6.7199999999999704</v>
      </c>
      <c r="Q38" s="401">
        <f t="shared" si="6"/>
        <v>0.95800000000000018</v>
      </c>
      <c r="R38" s="489"/>
      <c r="S38" s="40">
        <v>0.34236111111111106</v>
      </c>
      <c r="T38" s="40">
        <v>0.35972222222222217</v>
      </c>
      <c r="U38" s="398">
        <f t="shared" si="30"/>
        <v>5.9999999999999787</v>
      </c>
      <c r="V38" s="408">
        <f t="shared" si="29"/>
        <v>24.999999999999993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-100.79999999999973</v>
      </c>
      <c r="AF38" s="401">
        <f t="shared" si="9"/>
        <v>0.95800000000000007</v>
      </c>
      <c r="AG38" s="489"/>
    </row>
    <row r="39" spans="1:33">
      <c r="A39" s="517" t="s">
        <v>2576</v>
      </c>
      <c r="B39" s="42" t="s">
        <v>80</v>
      </c>
      <c r="C39" s="490" t="s">
        <v>91</v>
      </c>
      <c r="D39" s="490"/>
      <c r="E39" s="42">
        <v>24.45</v>
      </c>
      <c r="F39" s="409">
        <v>1838</v>
      </c>
      <c r="G39" s="398">
        <f t="shared" si="27"/>
        <v>44939.1</v>
      </c>
      <c r="H39" s="411" t="s">
        <v>79</v>
      </c>
      <c r="I39" s="407">
        <v>20</v>
      </c>
      <c r="J39" s="37">
        <v>2400</v>
      </c>
      <c r="K39" s="17">
        <f t="shared" si="1"/>
        <v>120</v>
      </c>
      <c r="L39" s="407">
        <v>20</v>
      </c>
      <c r="M39" s="18">
        <f t="shared" si="28"/>
        <v>2297.5000000000009</v>
      </c>
      <c r="N39" s="17">
        <f t="shared" si="3"/>
        <v>114.87500000000004</v>
      </c>
      <c r="O39" s="19">
        <f t="shared" si="4"/>
        <v>0</v>
      </c>
      <c r="P39" s="20">
        <f t="shared" si="5"/>
        <v>-5.1249999999999574</v>
      </c>
      <c r="Q39" s="401">
        <f t="shared" si="6"/>
        <v>0.95729166666666698</v>
      </c>
      <c r="R39" s="489"/>
      <c r="S39" s="40">
        <v>0.36458333333333326</v>
      </c>
      <c r="T39" s="40">
        <v>0.39791666666666659</v>
      </c>
      <c r="U39" s="398">
        <f t="shared" si="30"/>
        <v>6.9999999999999751</v>
      </c>
      <c r="V39" s="408">
        <f t="shared" si="29"/>
        <v>47.999999999999986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-102.49999999999909</v>
      </c>
      <c r="AF39" s="401">
        <f t="shared" si="9"/>
        <v>0.9572916666666671</v>
      </c>
      <c r="AG39" s="489"/>
    </row>
    <row r="40" spans="1:33">
      <c r="A40" s="517" t="s">
        <v>2577</v>
      </c>
      <c r="B40" s="42" t="s">
        <v>80</v>
      </c>
      <c r="C40" s="490" t="s">
        <v>1224</v>
      </c>
      <c r="D40" s="490"/>
      <c r="E40" s="42">
        <v>22.69</v>
      </c>
      <c r="F40" s="409">
        <v>6360</v>
      </c>
      <c r="G40" s="398">
        <f t="shared" si="27"/>
        <v>144308.4</v>
      </c>
      <c r="H40" s="411" t="s">
        <v>79</v>
      </c>
      <c r="I40" s="407">
        <v>16</v>
      </c>
      <c r="J40" s="37">
        <v>2400</v>
      </c>
      <c r="K40" s="17">
        <f t="shared" si="1"/>
        <v>150</v>
      </c>
      <c r="L40" s="407">
        <v>16</v>
      </c>
      <c r="M40" s="18">
        <f t="shared" si="28"/>
        <v>2285.0299401197594</v>
      </c>
      <c r="N40" s="17">
        <f t="shared" si="3"/>
        <v>142.81437125748496</v>
      </c>
      <c r="O40" s="19">
        <f t="shared" si="4"/>
        <v>0</v>
      </c>
      <c r="P40" s="20">
        <f t="shared" si="5"/>
        <v>-7.1856287425150356</v>
      </c>
      <c r="Q40" s="401">
        <f t="shared" si="6"/>
        <v>0.95209580838323304</v>
      </c>
      <c r="R40" s="489"/>
      <c r="S40" s="40">
        <v>0.40208333333333324</v>
      </c>
      <c r="T40" s="40">
        <v>0.51805555555555549</v>
      </c>
      <c r="U40" s="398">
        <f t="shared" si="30"/>
        <v>5.9999999999999787</v>
      </c>
      <c r="V40" s="408">
        <f t="shared" si="29"/>
        <v>167.00000000000006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-114.97005988024057</v>
      </c>
      <c r="AF40" s="401">
        <f t="shared" si="9"/>
        <v>0.95209580838323304</v>
      </c>
      <c r="AG40" s="489"/>
    </row>
    <row r="41" spans="1:33">
      <c r="A41" s="517" t="s">
        <v>61</v>
      </c>
      <c r="B41" s="44" t="s">
        <v>71</v>
      </c>
      <c r="C41" s="494"/>
      <c r="D41" s="494"/>
      <c r="E41" s="402"/>
      <c r="F41" s="44"/>
      <c r="G41" s="17"/>
      <c r="H41" s="409"/>
      <c r="I41" s="30">
        <v>17.833333333333332</v>
      </c>
      <c r="J41" s="37">
        <v>2400</v>
      </c>
      <c r="K41" s="17">
        <f t="shared" si="1"/>
        <v>134.57943925233647</v>
      </c>
      <c r="L41" s="30">
        <v>17.833333333333332</v>
      </c>
      <c r="M41" s="18">
        <f>AVERAGE(M35:M40)</f>
        <v>2295.6829311964307</v>
      </c>
      <c r="N41" s="17">
        <f t="shared" si="3"/>
        <v>128.72988399232324</v>
      </c>
      <c r="O41" s="19">
        <f t="shared" si="4"/>
        <v>0</v>
      </c>
      <c r="P41" s="20">
        <f t="shared" si="5"/>
        <v>-5.8495552600132328</v>
      </c>
      <c r="Q41" s="401">
        <f t="shared" si="6"/>
        <v>0.95653455466517945</v>
      </c>
      <c r="R41" s="489"/>
      <c r="S41" s="40"/>
      <c r="T41" s="40"/>
      <c r="U41" s="17"/>
      <c r="V41" s="408"/>
      <c r="W41" s="17"/>
      <c r="X41" s="17"/>
      <c r="Y41" s="31">
        <f>SUM(Y35:Y40)</f>
        <v>0</v>
      </c>
      <c r="Z41" s="31">
        <f>SUM(Z35:Z40)</f>
        <v>0</v>
      </c>
      <c r="AA41" s="495"/>
      <c r="AB41" s="495"/>
      <c r="AC41" s="31">
        <v>6</v>
      </c>
      <c r="AD41" s="31">
        <f>SUM(AD35:AD40)</f>
        <v>0</v>
      </c>
      <c r="AE41" s="19">
        <f t="shared" si="8"/>
        <v>-104.31706880356933</v>
      </c>
      <c r="AF41" s="401">
        <f t="shared" si="9"/>
        <v>0.95653455466517945</v>
      </c>
      <c r="AG41" s="489"/>
    </row>
    <row r="42" spans="1:33" ht="15.75" customHeight="1">
      <c r="A42" s="512" t="s">
        <v>2578</v>
      </c>
      <c r="B42" s="42" t="s">
        <v>93</v>
      </c>
      <c r="C42" s="501" t="s">
        <v>94</v>
      </c>
      <c r="D42" s="502"/>
      <c r="E42" s="42">
        <v>21.13</v>
      </c>
      <c r="F42" s="409">
        <v>2500</v>
      </c>
      <c r="G42" s="398">
        <f t="shared" ref="G42:G50" si="31">E42*F42</f>
        <v>52825</v>
      </c>
      <c r="H42" s="411">
        <v>2</v>
      </c>
      <c r="I42" s="407">
        <v>10</v>
      </c>
      <c r="J42" s="37">
        <v>3000</v>
      </c>
      <c r="K42" s="17">
        <f t="shared" si="1"/>
        <v>300</v>
      </c>
      <c r="L42" s="407">
        <v>10</v>
      </c>
      <c r="M42" s="18">
        <f t="shared" ref="M42:M50" si="32">F42/V42*60</f>
        <v>2884.6153846153838</v>
      </c>
      <c r="N42" s="18">
        <f t="shared" si="3"/>
        <v>288.4615384615384</v>
      </c>
      <c r="O42" s="19">
        <f t="shared" si="4"/>
        <v>0</v>
      </c>
      <c r="P42" s="20">
        <f t="shared" si="5"/>
        <v>-11.538461538461604</v>
      </c>
      <c r="Q42" s="401">
        <f t="shared" si="6"/>
        <v>0.96153846153846134</v>
      </c>
      <c r="R42" s="509">
        <f>Q51</f>
        <v>0.96066729866161416</v>
      </c>
      <c r="S42" s="40">
        <v>0.20833333333333334</v>
      </c>
      <c r="T42" s="40">
        <v>0.24444444444444446</v>
      </c>
      <c r="U42" s="28"/>
      <c r="V42" s="408">
        <f t="shared" ref="V42:V50" si="33">(T42-S42)*24*60</f>
        <v>52.000000000000014</v>
      </c>
      <c r="W42" s="23"/>
      <c r="X42" s="23"/>
      <c r="Y42" s="26"/>
      <c r="Z42" s="26"/>
      <c r="AA42" s="503"/>
      <c r="AB42" s="504"/>
      <c r="AC42" s="154" t="s">
        <v>79</v>
      </c>
      <c r="AD42" s="25"/>
      <c r="AE42" s="19">
        <f t="shared" si="8"/>
        <v>-115.38461538461615</v>
      </c>
      <c r="AF42" s="401">
        <f t="shared" si="9"/>
        <v>0.96153846153846123</v>
      </c>
      <c r="AG42" s="509">
        <f>AF51</f>
        <v>0.96066729866161416</v>
      </c>
    </row>
    <row r="43" spans="1:33" ht="15.75" customHeight="1">
      <c r="A43" s="513" t="s">
        <v>65</v>
      </c>
      <c r="B43" s="42" t="s">
        <v>93</v>
      </c>
      <c r="C43" s="501" t="s">
        <v>95</v>
      </c>
      <c r="D43" s="502"/>
      <c r="E43" s="42">
        <v>27.17</v>
      </c>
      <c r="F43" s="409">
        <v>3300</v>
      </c>
      <c r="G43" s="398">
        <f t="shared" si="31"/>
        <v>89661</v>
      </c>
      <c r="H43" s="411">
        <v>2</v>
      </c>
      <c r="I43" s="407">
        <v>10</v>
      </c>
      <c r="J43" s="37">
        <v>3000</v>
      </c>
      <c r="K43" s="17">
        <f t="shared" si="1"/>
        <v>300</v>
      </c>
      <c r="L43" s="407">
        <v>10</v>
      </c>
      <c r="M43" s="18">
        <f t="shared" si="32"/>
        <v>2869.5652173913031</v>
      </c>
      <c r="N43" s="18">
        <f t="shared" si="3"/>
        <v>286.95652173913032</v>
      </c>
      <c r="O43" s="19">
        <f t="shared" si="4"/>
        <v>0</v>
      </c>
      <c r="P43" s="20">
        <f t="shared" si="5"/>
        <v>-13.043478260869676</v>
      </c>
      <c r="Q43" s="401">
        <f t="shared" si="6"/>
        <v>0.95652173913043437</v>
      </c>
      <c r="R43" s="510"/>
      <c r="S43" s="40">
        <v>0.24930555555555559</v>
      </c>
      <c r="T43" s="40">
        <v>0.29722222222222228</v>
      </c>
      <c r="U43" s="398">
        <f t="shared" ref="U43:U50" si="34">(S43-T42)*24*60</f>
        <v>7.0000000000000151</v>
      </c>
      <c r="V43" s="408">
        <f t="shared" si="33"/>
        <v>69.000000000000028</v>
      </c>
      <c r="W43" s="23"/>
      <c r="X43" s="23"/>
      <c r="Y43" s="26"/>
      <c r="Z43" s="26"/>
      <c r="AA43" s="503"/>
      <c r="AB43" s="504"/>
      <c r="AC43" s="154" t="s">
        <v>79</v>
      </c>
      <c r="AD43" s="25"/>
      <c r="AE43" s="19">
        <f t="shared" si="8"/>
        <v>-130.43478260869688</v>
      </c>
      <c r="AF43" s="401">
        <f t="shared" si="9"/>
        <v>0.95652173913043437</v>
      </c>
      <c r="AG43" s="510"/>
    </row>
    <row r="44" spans="1:33" ht="15.75" customHeight="1">
      <c r="A44" s="513" t="s">
        <v>2578</v>
      </c>
      <c r="B44" s="42" t="s">
        <v>93</v>
      </c>
      <c r="C44" s="501" t="s">
        <v>96</v>
      </c>
      <c r="D44" s="502"/>
      <c r="E44" s="42">
        <v>35.119999999999997</v>
      </c>
      <c r="F44" s="409">
        <v>4351</v>
      </c>
      <c r="G44" s="398">
        <f t="shared" si="31"/>
        <v>152807.12</v>
      </c>
      <c r="H44" s="411" t="s">
        <v>79</v>
      </c>
      <c r="I44" s="407">
        <v>10</v>
      </c>
      <c r="J44" s="37">
        <v>3000</v>
      </c>
      <c r="K44" s="17">
        <f t="shared" si="1"/>
        <v>300</v>
      </c>
      <c r="L44" s="407">
        <v>10</v>
      </c>
      <c r="M44" s="18">
        <f t="shared" si="32"/>
        <v>2868.7912087912086</v>
      </c>
      <c r="N44" s="18">
        <f t="shared" si="3"/>
        <v>286.87912087912088</v>
      </c>
      <c r="O44" s="19">
        <f t="shared" si="4"/>
        <v>0</v>
      </c>
      <c r="P44" s="20">
        <f t="shared" si="5"/>
        <v>-13.120879120879124</v>
      </c>
      <c r="Q44" s="401">
        <f t="shared" si="6"/>
        <v>0.95626373626373629</v>
      </c>
      <c r="R44" s="510"/>
      <c r="S44" s="40">
        <v>0.30138888888888893</v>
      </c>
      <c r="T44" s="40">
        <v>0.36458333333333337</v>
      </c>
      <c r="U44" s="398">
        <f t="shared" si="34"/>
        <v>5.9999999999999787</v>
      </c>
      <c r="V44" s="408">
        <f t="shared" si="33"/>
        <v>91</v>
      </c>
      <c r="W44" s="23"/>
      <c r="X44" s="23"/>
      <c r="Y44" s="26"/>
      <c r="Z44" s="26"/>
      <c r="AA44" s="503"/>
      <c r="AB44" s="504"/>
      <c r="AC44" s="154" t="s">
        <v>79</v>
      </c>
      <c r="AD44" s="25"/>
      <c r="AE44" s="19">
        <f t="shared" si="8"/>
        <v>-131.20879120879135</v>
      </c>
      <c r="AF44" s="401">
        <f t="shared" si="9"/>
        <v>0.95626373626373617</v>
      </c>
      <c r="AG44" s="510"/>
    </row>
    <row r="45" spans="1:33" ht="15.75" customHeight="1">
      <c r="A45" s="513" t="s">
        <v>65</v>
      </c>
      <c r="B45" s="42" t="s">
        <v>93</v>
      </c>
      <c r="C45" s="501" t="s">
        <v>110</v>
      </c>
      <c r="D45" s="502"/>
      <c r="E45" s="42">
        <v>26.78</v>
      </c>
      <c r="F45" s="409">
        <v>2029</v>
      </c>
      <c r="G45" s="398">
        <f t="shared" si="31"/>
        <v>54336.62</v>
      </c>
      <c r="H45" s="411" t="s">
        <v>79</v>
      </c>
      <c r="I45" s="407">
        <v>10</v>
      </c>
      <c r="J45" s="37">
        <v>3000</v>
      </c>
      <c r="K45" s="17">
        <f t="shared" si="1"/>
        <v>300</v>
      </c>
      <c r="L45" s="407">
        <v>10</v>
      </c>
      <c r="M45" s="18">
        <f t="shared" si="32"/>
        <v>2898.5714285714275</v>
      </c>
      <c r="N45" s="18">
        <f t="shared" si="3"/>
        <v>289.85714285714278</v>
      </c>
      <c r="O45" s="19">
        <f t="shared" si="4"/>
        <v>0</v>
      </c>
      <c r="P45" s="20">
        <f t="shared" si="5"/>
        <v>-10.142857142857224</v>
      </c>
      <c r="Q45" s="401">
        <f t="shared" si="6"/>
        <v>0.96619047619047593</v>
      </c>
      <c r="R45" s="510"/>
      <c r="S45" s="40">
        <v>0.36805555555555558</v>
      </c>
      <c r="T45" s="40">
        <v>0.39722222222222225</v>
      </c>
      <c r="U45" s="398">
        <f t="shared" si="34"/>
        <v>4.9999999999999822</v>
      </c>
      <c r="V45" s="408">
        <f t="shared" si="33"/>
        <v>42.000000000000014</v>
      </c>
      <c r="W45" s="23"/>
      <c r="X45" s="23"/>
      <c r="Y45" s="26"/>
      <c r="Z45" s="26"/>
      <c r="AA45" s="503"/>
      <c r="AB45" s="504"/>
      <c r="AC45" s="154" t="s">
        <v>79</v>
      </c>
      <c r="AD45" s="25"/>
      <c r="AE45" s="19">
        <f t="shared" si="8"/>
        <v>-101.42857142857247</v>
      </c>
      <c r="AF45" s="401">
        <f t="shared" si="9"/>
        <v>0.96619047619047582</v>
      </c>
      <c r="AG45" s="510"/>
    </row>
    <row r="46" spans="1:33" ht="15.75" customHeight="1">
      <c r="A46" s="513" t="s">
        <v>65</v>
      </c>
      <c r="B46" s="42" t="s">
        <v>93</v>
      </c>
      <c r="C46" s="501" t="s">
        <v>99</v>
      </c>
      <c r="D46" s="502"/>
      <c r="E46" s="42">
        <v>32.020000000000003</v>
      </c>
      <c r="F46" s="409">
        <v>1491</v>
      </c>
      <c r="G46" s="398">
        <f t="shared" si="31"/>
        <v>47741.820000000007</v>
      </c>
      <c r="H46" s="411" t="s">
        <v>79</v>
      </c>
      <c r="I46" s="407">
        <v>11</v>
      </c>
      <c r="J46" s="37">
        <v>3000</v>
      </c>
      <c r="K46" s="17">
        <f t="shared" si="1"/>
        <v>272.72727272727275</v>
      </c>
      <c r="L46" s="407">
        <v>11</v>
      </c>
      <c r="M46" s="18">
        <f t="shared" si="32"/>
        <v>2885.8064516129061</v>
      </c>
      <c r="N46" s="18">
        <f t="shared" si="3"/>
        <v>262.34604105571873</v>
      </c>
      <c r="O46" s="19">
        <f t="shared" si="4"/>
        <v>0</v>
      </c>
      <c r="P46" s="20">
        <f t="shared" si="5"/>
        <v>-10.381231671554019</v>
      </c>
      <c r="Q46" s="401">
        <f t="shared" si="6"/>
        <v>0.96193548387096861</v>
      </c>
      <c r="R46" s="510"/>
      <c r="S46" s="40">
        <v>0.40208333333333335</v>
      </c>
      <c r="T46" s="40">
        <v>0.4236111111111111</v>
      </c>
      <c r="U46" s="398">
        <f t="shared" si="34"/>
        <v>6.9999999999999751</v>
      </c>
      <c r="V46" s="408">
        <f t="shared" si="33"/>
        <v>30.999999999999972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-114.19354838709387</v>
      </c>
      <c r="AF46" s="401">
        <f t="shared" si="9"/>
        <v>0.96193548387096872</v>
      </c>
      <c r="AG46" s="510"/>
    </row>
    <row r="47" spans="1:33" ht="15.75" customHeight="1">
      <c r="A47" s="513" t="s">
        <v>65</v>
      </c>
      <c r="B47" s="42" t="s">
        <v>93</v>
      </c>
      <c r="C47" s="501" t="s">
        <v>112</v>
      </c>
      <c r="D47" s="502"/>
      <c r="E47" s="42">
        <v>35.869999999999997</v>
      </c>
      <c r="F47" s="409">
        <v>2805</v>
      </c>
      <c r="G47" s="398">
        <f t="shared" si="31"/>
        <v>100615.34999999999</v>
      </c>
      <c r="H47" s="411" t="s">
        <v>79</v>
      </c>
      <c r="I47" s="407">
        <v>9</v>
      </c>
      <c r="J47" s="37">
        <v>3000</v>
      </c>
      <c r="K47" s="17">
        <f t="shared" si="1"/>
        <v>333.33333333333331</v>
      </c>
      <c r="L47" s="407">
        <v>9</v>
      </c>
      <c r="M47" s="18">
        <f t="shared" si="32"/>
        <v>2852.5423728813544</v>
      </c>
      <c r="N47" s="18">
        <f t="shared" si="3"/>
        <v>316.9491525423727</v>
      </c>
      <c r="O47" s="19">
        <f t="shared" si="4"/>
        <v>0</v>
      </c>
      <c r="P47" s="20">
        <f t="shared" si="5"/>
        <v>-16.384180790960613</v>
      </c>
      <c r="Q47" s="401">
        <f t="shared" si="6"/>
        <v>0.9508474576271182</v>
      </c>
      <c r="R47" s="510"/>
      <c r="S47" s="40">
        <v>0.42777777777777776</v>
      </c>
      <c r="T47" s="40">
        <v>0.46875</v>
      </c>
      <c r="U47" s="398">
        <f t="shared" si="34"/>
        <v>5.9999999999999787</v>
      </c>
      <c r="V47" s="408">
        <f t="shared" si="33"/>
        <v>59.000000000000028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-147.45762711864563</v>
      </c>
      <c r="AF47" s="401">
        <f t="shared" si="9"/>
        <v>0.95084745762711809</v>
      </c>
      <c r="AG47" s="510"/>
    </row>
    <row r="48" spans="1:33" ht="15.75" customHeight="1">
      <c r="A48" s="513" t="s">
        <v>65</v>
      </c>
      <c r="B48" s="42" t="s">
        <v>93</v>
      </c>
      <c r="C48" s="501" t="s">
        <v>1778</v>
      </c>
      <c r="D48" s="502"/>
      <c r="E48" s="42">
        <v>44.03</v>
      </c>
      <c r="F48" s="409">
        <v>1539</v>
      </c>
      <c r="G48" s="398">
        <f t="shared" si="31"/>
        <v>67762.17</v>
      </c>
      <c r="H48" s="411" t="s">
        <v>79</v>
      </c>
      <c r="I48" s="407">
        <v>10</v>
      </c>
      <c r="J48" s="37">
        <v>3000</v>
      </c>
      <c r="K48" s="17">
        <f t="shared" si="1"/>
        <v>300</v>
      </c>
      <c r="L48" s="407">
        <v>10</v>
      </c>
      <c r="M48" s="18">
        <f t="shared" si="32"/>
        <v>2885.6250000000036</v>
      </c>
      <c r="N48" s="18">
        <f t="shared" si="3"/>
        <v>288.56250000000034</v>
      </c>
      <c r="O48" s="19">
        <f t="shared" si="4"/>
        <v>0</v>
      </c>
      <c r="P48" s="20">
        <f t="shared" si="5"/>
        <v>-11.437499999999659</v>
      </c>
      <c r="Q48" s="401">
        <f t="shared" si="6"/>
        <v>0.96187500000000115</v>
      </c>
      <c r="R48" s="510"/>
      <c r="S48" s="40">
        <v>0.47430555555555554</v>
      </c>
      <c r="T48" s="40">
        <v>0.49652777777777773</v>
      </c>
      <c r="U48" s="398">
        <f t="shared" si="34"/>
        <v>7.9999999999999716</v>
      </c>
      <c r="V48" s="408">
        <f t="shared" si="33"/>
        <v>31.999999999999964</v>
      </c>
      <c r="W48" s="23">
        <f>T48</f>
        <v>0.49652777777777773</v>
      </c>
      <c r="X48" s="23">
        <f>S49</f>
        <v>0.53749999999999998</v>
      </c>
      <c r="Y48" s="26"/>
      <c r="Z48" s="26"/>
      <c r="AA48" s="503"/>
      <c r="AB48" s="504"/>
      <c r="AC48" s="154" t="s">
        <v>79</v>
      </c>
      <c r="AD48" s="25"/>
      <c r="AE48" s="19">
        <f t="shared" si="8"/>
        <v>-114.37499999999636</v>
      </c>
      <c r="AF48" s="401">
        <f t="shared" si="9"/>
        <v>0.96187500000000126</v>
      </c>
      <c r="AG48" s="510"/>
    </row>
    <row r="49" spans="1:33" ht="15.75" customHeight="1">
      <c r="A49" s="513" t="s">
        <v>65</v>
      </c>
      <c r="B49" s="42" t="s">
        <v>93</v>
      </c>
      <c r="C49" s="501" t="s">
        <v>94</v>
      </c>
      <c r="D49" s="502"/>
      <c r="E49" s="42">
        <v>21.13</v>
      </c>
      <c r="F49" s="409">
        <v>1737</v>
      </c>
      <c r="G49" s="398">
        <f t="shared" si="31"/>
        <v>36702.81</v>
      </c>
      <c r="H49" s="411" t="s">
        <v>79</v>
      </c>
      <c r="I49" s="407">
        <v>10</v>
      </c>
      <c r="J49" s="37">
        <v>3000</v>
      </c>
      <c r="K49" s="17">
        <f t="shared" si="1"/>
        <v>300</v>
      </c>
      <c r="L49" s="407">
        <v>10</v>
      </c>
      <c r="M49" s="18">
        <f t="shared" si="32"/>
        <v>2894.9999999999977</v>
      </c>
      <c r="N49" s="18">
        <f t="shared" si="3"/>
        <v>289.49999999999977</v>
      </c>
      <c r="O49" s="19">
        <f t="shared" si="4"/>
        <v>0</v>
      </c>
      <c r="P49" s="20">
        <f t="shared" si="5"/>
        <v>-10.500000000000227</v>
      </c>
      <c r="Q49" s="401">
        <f t="shared" si="6"/>
        <v>0.96499999999999919</v>
      </c>
      <c r="R49" s="510"/>
      <c r="S49" s="40">
        <v>0.53749999999999998</v>
      </c>
      <c r="T49" s="40">
        <v>0.5625</v>
      </c>
      <c r="U49" s="398">
        <f t="shared" si="34"/>
        <v>59.000000000000028</v>
      </c>
      <c r="V49" s="408">
        <f t="shared" si="33"/>
        <v>36.000000000000028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-105.00000000000227</v>
      </c>
      <c r="AF49" s="401">
        <f t="shared" si="9"/>
        <v>0.96499999999999919</v>
      </c>
      <c r="AG49" s="510"/>
    </row>
    <row r="50" spans="1:33" ht="15.75" customHeight="1">
      <c r="A50" s="513" t="s">
        <v>2579</v>
      </c>
      <c r="B50" s="42" t="s">
        <v>93</v>
      </c>
      <c r="C50" s="501" t="s">
        <v>95</v>
      </c>
      <c r="D50" s="502"/>
      <c r="E50" s="42">
        <v>27.17</v>
      </c>
      <c r="F50" s="409">
        <v>2318</v>
      </c>
      <c r="G50" s="398">
        <f t="shared" si="31"/>
        <v>62980.060000000005</v>
      </c>
      <c r="H50" s="411" t="s">
        <v>79</v>
      </c>
      <c r="I50" s="407">
        <v>10</v>
      </c>
      <c r="J50" s="37">
        <v>3000</v>
      </c>
      <c r="K50" s="17">
        <f t="shared" si="1"/>
        <v>300</v>
      </c>
      <c r="L50" s="407">
        <v>10</v>
      </c>
      <c r="M50" s="18">
        <f t="shared" si="32"/>
        <v>2897.5000000000009</v>
      </c>
      <c r="N50" s="18">
        <f t="shared" si="3"/>
        <v>289.75000000000011</v>
      </c>
      <c r="O50" s="19">
        <f t="shared" si="4"/>
        <v>0</v>
      </c>
      <c r="P50" s="20">
        <f t="shared" si="5"/>
        <v>-10.249999999999886</v>
      </c>
      <c r="Q50" s="401">
        <f t="shared" si="6"/>
        <v>0.96583333333333377</v>
      </c>
      <c r="R50" s="510"/>
      <c r="S50" s="40">
        <v>0.56597222222222221</v>
      </c>
      <c r="T50" s="40">
        <v>0.59930555555555554</v>
      </c>
      <c r="U50" s="398">
        <f t="shared" si="34"/>
        <v>4.9999999999999822</v>
      </c>
      <c r="V50" s="408">
        <f t="shared" si="33"/>
        <v>47.999999999999986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-102.49999999999909</v>
      </c>
      <c r="AF50" s="401">
        <f t="shared" si="9"/>
        <v>0.96583333333333365</v>
      </c>
      <c r="AG50" s="510"/>
    </row>
    <row r="51" spans="1:33" ht="15.75" customHeight="1">
      <c r="A51" s="514" t="s">
        <v>2578</v>
      </c>
      <c r="B51" s="42" t="s">
        <v>71</v>
      </c>
      <c r="C51" s="492"/>
      <c r="D51" s="493"/>
      <c r="E51" s="399"/>
      <c r="F51" s="409"/>
      <c r="G51" s="398"/>
      <c r="H51" s="409"/>
      <c r="I51" s="30">
        <v>10</v>
      </c>
      <c r="J51" s="37">
        <v>3000</v>
      </c>
      <c r="K51" s="17">
        <f t="shared" si="1"/>
        <v>300</v>
      </c>
      <c r="L51" s="30">
        <v>10</v>
      </c>
      <c r="M51" s="18">
        <f>AVERAGE(M42:M50)</f>
        <v>2882.0018959848426</v>
      </c>
      <c r="N51" s="17">
        <f t="shared" si="3"/>
        <v>288.20018959848426</v>
      </c>
      <c r="O51" s="19">
        <f t="shared" si="4"/>
        <v>0</v>
      </c>
      <c r="P51" s="20">
        <f t="shared" si="5"/>
        <v>-11.799810401515742</v>
      </c>
      <c r="Q51" s="401">
        <f t="shared" si="6"/>
        <v>0.96066729866161416</v>
      </c>
      <c r="R51" s="511"/>
      <c r="S51" s="40"/>
      <c r="T51" s="40"/>
      <c r="U51" s="398"/>
      <c r="V51" s="408"/>
      <c r="W51" s="23"/>
      <c r="X51" s="23"/>
      <c r="Y51" s="31">
        <f>SUM(Y42:Y50)</f>
        <v>0</v>
      </c>
      <c r="Z51" s="31">
        <f>SUM(Z42:Z50)</f>
        <v>0</v>
      </c>
      <c r="AA51" s="505"/>
      <c r="AB51" s="506"/>
      <c r="AC51" s="31">
        <v>0</v>
      </c>
      <c r="AD51" s="31">
        <f>SUM(AD42:AD50)</f>
        <v>0</v>
      </c>
      <c r="AE51" s="19">
        <f t="shared" si="8"/>
        <v>-117.99810401515742</v>
      </c>
      <c r="AF51" s="401">
        <f t="shared" si="9"/>
        <v>0.96066729866161416</v>
      </c>
      <c r="AG51" s="511"/>
    </row>
    <row r="52" spans="1:33" ht="15.75" customHeight="1">
      <c r="A52" s="507" t="s">
        <v>2580</v>
      </c>
      <c r="B52" s="42" t="s">
        <v>100</v>
      </c>
      <c r="C52" s="490" t="s">
        <v>101</v>
      </c>
      <c r="D52" s="490"/>
      <c r="E52" s="42">
        <v>46</v>
      </c>
      <c r="F52" s="46">
        <v>1021</v>
      </c>
      <c r="G52" s="398">
        <f t="shared" ref="G52:G60" si="35">E52*F52</f>
        <v>46966</v>
      </c>
      <c r="H52" s="411" t="s">
        <v>79</v>
      </c>
      <c r="I52" s="407">
        <v>17</v>
      </c>
      <c r="J52" s="37">
        <v>2000</v>
      </c>
      <c r="K52" s="17">
        <f t="shared" si="1"/>
        <v>117.64705882352941</v>
      </c>
      <c r="L52" s="407">
        <v>17</v>
      </c>
      <c r="M52" s="18">
        <f t="shared" ref="M52:M60" si="36">F52/V52*60</f>
        <v>1914.3749999999995</v>
      </c>
      <c r="N52" s="18">
        <f t="shared" si="3"/>
        <v>112.61029411764703</v>
      </c>
      <c r="O52" s="19">
        <f t="shared" si="4"/>
        <v>0</v>
      </c>
      <c r="P52" s="20">
        <f t="shared" si="5"/>
        <v>-5.0367647058823763</v>
      </c>
      <c r="Q52" s="401">
        <f t="shared" si="6"/>
        <v>0.95718749999999975</v>
      </c>
      <c r="R52" s="489">
        <f>Q61</f>
        <v>0.92943918688219618</v>
      </c>
      <c r="S52" s="40">
        <v>0.20833333333333334</v>
      </c>
      <c r="T52" s="40">
        <v>0.23055555555555557</v>
      </c>
      <c r="U52" s="28"/>
      <c r="V52" s="408">
        <f t="shared" ref="V52:V60" si="37">(T52-S52)*24*60</f>
        <v>32.000000000000007</v>
      </c>
      <c r="W52" s="28"/>
      <c r="X52" s="28"/>
      <c r="Y52" s="28"/>
      <c r="Z52" s="28"/>
      <c r="AA52" s="491"/>
      <c r="AB52" s="491"/>
      <c r="AC52" s="154">
        <v>4</v>
      </c>
      <c r="AD52" s="25"/>
      <c r="AE52" s="19">
        <f t="shared" si="8"/>
        <v>-85.625000000000455</v>
      </c>
      <c r="AF52" s="401">
        <f t="shared" si="9"/>
        <v>0.95718749999999975</v>
      </c>
      <c r="AG52" s="489">
        <f>AF61</f>
        <v>0.92943918688219618</v>
      </c>
    </row>
    <row r="53" spans="1:33" ht="15.75" customHeight="1">
      <c r="A53" s="507" t="s">
        <v>2580</v>
      </c>
      <c r="B53" s="42" t="s">
        <v>100</v>
      </c>
      <c r="C53" s="490" t="s">
        <v>102</v>
      </c>
      <c r="D53" s="490"/>
      <c r="E53" s="42">
        <v>46</v>
      </c>
      <c r="F53" s="46">
        <v>1105</v>
      </c>
      <c r="G53" s="398">
        <f t="shared" si="35"/>
        <v>50830</v>
      </c>
      <c r="H53" s="411" t="s">
        <v>79</v>
      </c>
      <c r="I53" s="407">
        <v>17</v>
      </c>
      <c r="J53" s="37">
        <v>2000</v>
      </c>
      <c r="K53" s="17">
        <f t="shared" si="1"/>
        <v>117.64705882352941</v>
      </c>
      <c r="L53" s="407">
        <v>17</v>
      </c>
      <c r="M53" s="18">
        <f t="shared" si="36"/>
        <v>1950</v>
      </c>
      <c r="N53" s="18">
        <f t="shared" si="3"/>
        <v>114.70588235294117</v>
      </c>
      <c r="O53" s="19">
        <f t="shared" si="4"/>
        <v>0</v>
      </c>
      <c r="P53" s="20">
        <f t="shared" si="5"/>
        <v>-2.941176470588232</v>
      </c>
      <c r="Q53" s="401">
        <f t="shared" si="6"/>
        <v>0.97499999999999998</v>
      </c>
      <c r="R53" s="489"/>
      <c r="S53" s="40">
        <v>0.23611111111111113</v>
      </c>
      <c r="T53" s="40">
        <v>0.25972222222222224</v>
      </c>
      <c r="U53" s="398">
        <f t="shared" ref="U53:U60" si="38">IF(S53=TIME(17,0,0),"",(S53-T52)*24*60)</f>
        <v>8.0000000000000107</v>
      </c>
      <c r="V53" s="408">
        <f t="shared" si="37"/>
        <v>34</v>
      </c>
      <c r="W53" s="23"/>
      <c r="X53" s="23"/>
      <c r="Y53" s="23"/>
      <c r="Z53" s="23"/>
      <c r="AA53" s="491"/>
      <c r="AB53" s="491"/>
      <c r="AC53" s="154"/>
      <c r="AD53" s="25"/>
      <c r="AE53" s="19">
        <f t="shared" si="8"/>
        <v>-50</v>
      </c>
      <c r="AF53" s="401">
        <f t="shared" si="9"/>
        <v>0.97499999999999998</v>
      </c>
      <c r="AG53" s="489"/>
    </row>
    <row r="54" spans="1:33" ht="15.75" customHeight="1">
      <c r="A54" s="507" t="s">
        <v>2580</v>
      </c>
      <c r="B54" s="42" t="s">
        <v>103</v>
      </c>
      <c r="C54" s="501" t="s">
        <v>105</v>
      </c>
      <c r="D54" s="502"/>
      <c r="E54" s="42">
        <v>56.43</v>
      </c>
      <c r="F54" s="46">
        <v>1565</v>
      </c>
      <c r="G54" s="398">
        <f t="shared" si="35"/>
        <v>88312.95</v>
      </c>
      <c r="H54" s="411" t="s">
        <v>79</v>
      </c>
      <c r="I54" s="407">
        <v>22</v>
      </c>
      <c r="J54" s="37">
        <v>2000</v>
      </c>
      <c r="K54" s="17">
        <f t="shared" si="1"/>
        <v>90.909090909090907</v>
      </c>
      <c r="L54" s="407">
        <v>22</v>
      </c>
      <c r="M54" s="18">
        <f t="shared" si="36"/>
        <v>1738.8888888888896</v>
      </c>
      <c r="N54" s="18">
        <f t="shared" si="3"/>
        <v>79.04040404040407</v>
      </c>
      <c r="O54" s="19">
        <f t="shared" si="4"/>
        <v>0</v>
      </c>
      <c r="P54" s="20">
        <f t="shared" si="5"/>
        <v>-11.868686868686837</v>
      </c>
      <c r="Q54" s="401">
        <f t="shared" si="6"/>
        <v>0.8694444444444448</v>
      </c>
      <c r="R54" s="489"/>
      <c r="S54" s="40">
        <v>0.2638888888888889</v>
      </c>
      <c r="T54" s="40">
        <v>0.30138888888888887</v>
      </c>
      <c r="U54" s="398">
        <f t="shared" si="38"/>
        <v>5.9999999999999787</v>
      </c>
      <c r="V54" s="408">
        <f t="shared" si="37"/>
        <v>53.999999999999972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-261.1111111111104</v>
      </c>
      <c r="AF54" s="401">
        <f t="shared" si="9"/>
        <v>0.8694444444444448</v>
      </c>
      <c r="AG54" s="489"/>
    </row>
    <row r="55" spans="1:33" ht="15.75" customHeight="1">
      <c r="A55" s="507" t="s">
        <v>2580</v>
      </c>
      <c r="B55" s="42" t="s">
        <v>103</v>
      </c>
      <c r="C55" s="403" t="s">
        <v>518</v>
      </c>
      <c r="D55" s="404"/>
      <c r="E55" s="42">
        <v>51.75</v>
      </c>
      <c r="F55" s="46">
        <v>1527</v>
      </c>
      <c r="G55" s="398">
        <f t="shared" si="35"/>
        <v>79022.25</v>
      </c>
      <c r="H55" s="411" t="s">
        <v>79</v>
      </c>
      <c r="I55" s="407">
        <v>25</v>
      </c>
      <c r="J55" s="37">
        <v>2000</v>
      </c>
      <c r="K55" s="17">
        <f t="shared" si="1"/>
        <v>80</v>
      </c>
      <c r="L55" s="407">
        <v>25</v>
      </c>
      <c r="M55" s="18">
        <f t="shared" si="36"/>
        <v>1696.6666666666677</v>
      </c>
      <c r="N55" s="18">
        <f t="shared" si="3"/>
        <v>67.866666666666703</v>
      </c>
      <c r="O55" s="19">
        <f t="shared" si="4"/>
        <v>0</v>
      </c>
      <c r="P55" s="20">
        <f t="shared" si="5"/>
        <v>-12.133333333333297</v>
      </c>
      <c r="Q55" s="401">
        <f t="shared" si="6"/>
        <v>0.84833333333333383</v>
      </c>
      <c r="R55" s="489"/>
      <c r="S55" s="40">
        <v>0.30694444444444441</v>
      </c>
      <c r="T55" s="40">
        <v>0.34444444444444439</v>
      </c>
      <c r="U55" s="398">
        <f t="shared" si="38"/>
        <v>7.9999999999999716</v>
      </c>
      <c r="V55" s="408">
        <f t="shared" si="37"/>
        <v>53.999999999999972</v>
      </c>
      <c r="W55" s="23"/>
      <c r="X55" s="23"/>
      <c r="Y55" s="26"/>
      <c r="Z55" s="26"/>
      <c r="AA55" s="491"/>
      <c r="AB55" s="491"/>
      <c r="AC55" s="154"/>
      <c r="AD55" s="25"/>
      <c r="AE55" s="19">
        <f t="shared" si="8"/>
        <v>-303.33333333333235</v>
      </c>
      <c r="AF55" s="401">
        <f t="shared" si="9"/>
        <v>0.84833333333333383</v>
      </c>
      <c r="AG55" s="489"/>
    </row>
    <row r="56" spans="1:33" ht="15.75" customHeight="1">
      <c r="A56" s="507" t="s">
        <v>67</v>
      </c>
      <c r="B56" s="42" t="s">
        <v>103</v>
      </c>
      <c r="C56" s="403" t="s">
        <v>1781</v>
      </c>
      <c r="D56" s="404"/>
      <c r="E56" s="42">
        <v>54.09</v>
      </c>
      <c r="F56" s="46">
        <v>2127</v>
      </c>
      <c r="G56" s="398">
        <f t="shared" si="35"/>
        <v>115049.43000000001</v>
      </c>
      <c r="H56" s="411" t="s">
        <v>79</v>
      </c>
      <c r="I56" s="407">
        <v>19</v>
      </c>
      <c r="J56" s="37">
        <v>2000</v>
      </c>
      <c r="K56" s="17">
        <f t="shared" si="1"/>
        <v>105.26315789473684</v>
      </c>
      <c r="L56" s="407">
        <v>19</v>
      </c>
      <c r="M56" s="18">
        <f t="shared" si="36"/>
        <v>1772.5000000000002</v>
      </c>
      <c r="N56" s="18">
        <f t="shared" si="3"/>
        <v>93.289473684210535</v>
      </c>
      <c r="O56" s="19">
        <f t="shared" si="4"/>
        <v>0</v>
      </c>
      <c r="P56" s="20">
        <f t="shared" si="5"/>
        <v>-11.973684210526301</v>
      </c>
      <c r="Q56" s="401">
        <f t="shared" si="6"/>
        <v>0.88625000000000009</v>
      </c>
      <c r="R56" s="489"/>
      <c r="S56" s="40">
        <v>0.3479166666666666</v>
      </c>
      <c r="T56" s="40">
        <v>0.39791666666666659</v>
      </c>
      <c r="U56" s="398">
        <f t="shared" si="38"/>
        <v>4.9999999999999822</v>
      </c>
      <c r="V56" s="408">
        <f t="shared" si="37"/>
        <v>71.999999999999986</v>
      </c>
      <c r="W56" s="23"/>
      <c r="X56" s="23"/>
      <c r="Y56" s="26"/>
      <c r="Z56" s="26"/>
      <c r="AA56" s="491"/>
      <c r="AB56" s="491"/>
      <c r="AC56" s="154"/>
      <c r="AD56" s="25"/>
      <c r="AE56" s="19">
        <f t="shared" si="8"/>
        <v>-227.49999999999977</v>
      </c>
      <c r="AF56" s="401">
        <f t="shared" si="9"/>
        <v>0.88625000000000009</v>
      </c>
      <c r="AG56" s="489"/>
    </row>
    <row r="57" spans="1:33" ht="15.75" customHeight="1">
      <c r="A57" s="507" t="s">
        <v>2580</v>
      </c>
      <c r="B57" s="42" t="s">
        <v>103</v>
      </c>
      <c r="C57" s="501" t="s">
        <v>106</v>
      </c>
      <c r="D57" s="502"/>
      <c r="E57" s="42">
        <v>55.56</v>
      </c>
      <c r="F57" s="46">
        <v>1663</v>
      </c>
      <c r="G57" s="398">
        <f t="shared" si="35"/>
        <v>92396.28</v>
      </c>
      <c r="H57" s="411" t="s">
        <v>79</v>
      </c>
      <c r="I57" s="407">
        <v>17</v>
      </c>
      <c r="J57" s="37">
        <v>2000</v>
      </c>
      <c r="K57" s="17">
        <f t="shared" si="1"/>
        <v>117.64705882352941</v>
      </c>
      <c r="L57" s="407">
        <v>17</v>
      </c>
      <c r="M57" s="18">
        <f t="shared" si="36"/>
        <v>1918.8461538461549</v>
      </c>
      <c r="N57" s="18">
        <f t="shared" si="3"/>
        <v>112.87330316742089</v>
      </c>
      <c r="O57" s="19">
        <f t="shared" si="4"/>
        <v>0</v>
      </c>
      <c r="P57" s="20">
        <f t="shared" si="5"/>
        <v>-4.7737556561085199</v>
      </c>
      <c r="Q57" s="401">
        <f t="shared" si="6"/>
        <v>0.9594230769230776</v>
      </c>
      <c r="R57" s="489"/>
      <c r="S57" s="40">
        <v>0.70833333333333337</v>
      </c>
      <c r="T57" s="40">
        <v>0.74444444444444446</v>
      </c>
      <c r="U57" s="398" t="str">
        <f t="shared" si="38"/>
        <v/>
      </c>
      <c r="V57" s="408">
        <f t="shared" si="37"/>
        <v>51.999999999999972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-81.153846153845052</v>
      </c>
      <c r="AF57" s="401">
        <f t="shared" si="9"/>
        <v>0.95942307692307749</v>
      </c>
      <c r="AG57" s="489"/>
    </row>
    <row r="58" spans="1:33" ht="15.75" customHeight="1">
      <c r="A58" s="507" t="s">
        <v>2580</v>
      </c>
      <c r="B58" s="42" t="s">
        <v>103</v>
      </c>
      <c r="C58" s="501" t="s">
        <v>107</v>
      </c>
      <c r="D58" s="502"/>
      <c r="E58" s="42">
        <v>55.32</v>
      </c>
      <c r="F58" s="46">
        <v>1190</v>
      </c>
      <c r="G58" s="398">
        <f t="shared" si="35"/>
        <v>65830.8</v>
      </c>
      <c r="H58" s="411" t="s">
        <v>79</v>
      </c>
      <c r="I58" s="407">
        <v>15</v>
      </c>
      <c r="J58" s="37">
        <v>2000</v>
      </c>
      <c r="K58" s="17">
        <f t="shared" si="1"/>
        <v>133.33333333333334</v>
      </c>
      <c r="L58" s="407">
        <v>15</v>
      </c>
      <c r="M58" s="18">
        <f t="shared" si="36"/>
        <v>1929.7297297297284</v>
      </c>
      <c r="N58" s="18">
        <f t="shared" si="3"/>
        <v>128.64864864864856</v>
      </c>
      <c r="O58" s="19">
        <f t="shared" si="4"/>
        <v>0</v>
      </c>
      <c r="P58" s="20">
        <f t="shared" si="5"/>
        <v>-4.6846846846847825</v>
      </c>
      <c r="Q58" s="401">
        <f t="shared" si="6"/>
        <v>0.96486486486486411</v>
      </c>
      <c r="R58" s="489"/>
      <c r="S58" s="40">
        <v>0.74861111111111112</v>
      </c>
      <c r="T58" s="40">
        <v>0.77430555555555558</v>
      </c>
      <c r="U58" s="398">
        <f t="shared" si="38"/>
        <v>5.9999999999999787</v>
      </c>
      <c r="V58" s="408">
        <f t="shared" si="37"/>
        <v>37.000000000000028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-70.270270270271567</v>
      </c>
      <c r="AF58" s="401">
        <f t="shared" si="9"/>
        <v>0.96486486486486422</v>
      </c>
      <c r="AG58" s="489"/>
    </row>
    <row r="59" spans="1:33" ht="15.75" customHeight="1">
      <c r="A59" s="507" t="s">
        <v>2581</v>
      </c>
      <c r="B59" s="42" t="s">
        <v>103</v>
      </c>
      <c r="C59" s="501" t="s">
        <v>108</v>
      </c>
      <c r="D59" s="502"/>
      <c r="E59" s="42">
        <v>54.29</v>
      </c>
      <c r="F59" s="46">
        <v>1782</v>
      </c>
      <c r="G59" s="398">
        <f t="shared" si="35"/>
        <v>96744.78</v>
      </c>
      <c r="H59" s="411" t="s">
        <v>79</v>
      </c>
      <c r="I59" s="407">
        <v>20</v>
      </c>
      <c r="J59" s="37">
        <v>2000</v>
      </c>
      <c r="K59" s="17">
        <f t="shared" si="1"/>
        <v>100</v>
      </c>
      <c r="L59" s="407">
        <v>20</v>
      </c>
      <c r="M59" s="18">
        <f t="shared" si="36"/>
        <v>1909.2857142857156</v>
      </c>
      <c r="N59" s="18">
        <f t="shared" si="3"/>
        <v>95.464285714285779</v>
      </c>
      <c r="O59" s="19">
        <f t="shared" si="4"/>
        <v>0</v>
      </c>
      <c r="P59" s="20">
        <f t="shared" si="5"/>
        <v>-4.5357142857142208</v>
      </c>
      <c r="Q59" s="401">
        <f t="shared" si="6"/>
        <v>0.95464285714285779</v>
      </c>
      <c r="R59" s="489"/>
      <c r="S59" s="40">
        <v>0.77847222222222223</v>
      </c>
      <c r="T59" s="40">
        <v>0.81736111111111109</v>
      </c>
      <c r="U59" s="398">
        <f t="shared" si="38"/>
        <v>5.9999999999999787</v>
      </c>
      <c r="V59" s="408">
        <f t="shared" si="37"/>
        <v>55.999999999999957</v>
      </c>
      <c r="W59" s="23"/>
      <c r="X59" s="23"/>
      <c r="Y59" s="26"/>
      <c r="Z59" s="26"/>
      <c r="AA59" s="503"/>
      <c r="AB59" s="504"/>
      <c r="AC59" s="154"/>
      <c r="AD59" s="25"/>
      <c r="AE59" s="19">
        <f t="shared" si="8"/>
        <v>-90.714285714284415</v>
      </c>
      <c r="AF59" s="401">
        <f t="shared" si="9"/>
        <v>0.95464285714285779</v>
      </c>
      <c r="AG59" s="489"/>
    </row>
    <row r="60" spans="1:33">
      <c r="A60" s="507" t="s">
        <v>2582</v>
      </c>
      <c r="B60" s="42" t="s">
        <v>103</v>
      </c>
      <c r="C60" s="501" t="s">
        <v>141</v>
      </c>
      <c r="D60" s="502"/>
      <c r="E60" s="42">
        <v>57.73</v>
      </c>
      <c r="F60" s="46">
        <v>1124</v>
      </c>
      <c r="G60" s="398">
        <f t="shared" si="35"/>
        <v>64888.52</v>
      </c>
      <c r="H60" s="411" t="s">
        <v>79</v>
      </c>
      <c r="I60" s="407">
        <v>16</v>
      </c>
      <c r="J60" s="37">
        <v>1500</v>
      </c>
      <c r="K60" s="17">
        <f t="shared" si="1"/>
        <v>93.75</v>
      </c>
      <c r="L60" s="407">
        <v>16</v>
      </c>
      <c r="M60" s="18">
        <f t="shared" si="36"/>
        <v>1434.8936170212769</v>
      </c>
      <c r="N60" s="18">
        <f t="shared" si="3"/>
        <v>89.680851063829806</v>
      </c>
      <c r="O60" s="19">
        <f t="shared" si="4"/>
        <v>0</v>
      </c>
      <c r="P60" s="20">
        <f t="shared" si="5"/>
        <v>-4.069148936170194</v>
      </c>
      <c r="Q60" s="401">
        <f t="shared" si="6"/>
        <v>0.95659574468085129</v>
      </c>
      <c r="R60" s="489"/>
      <c r="S60" s="40">
        <v>0.82222222222222219</v>
      </c>
      <c r="T60" s="40">
        <v>0.85486111111111107</v>
      </c>
      <c r="U60" s="398">
        <f t="shared" si="38"/>
        <v>6.9999999999999751</v>
      </c>
      <c r="V60" s="408">
        <f t="shared" si="37"/>
        <v>46.999999999999993</v>
      </c>
      <c r="W60" s="23"/>
      <c r="X60" s="23"/>
      <c r="Y60" s="26"/>
      <c r="Z60" s="26"/>
      <c r="AA60" s="503"/>
      <c r="AB60" s="504"/>
      <c r="AC60" s="154"/>
      <c r="AD60" s="25"/>
      <c r="AE60" s="19">
        <f t="shared" si="8"/>
        <v>-65.106382978723104</v>
      </c>
      <c r="AF60" s="401">
        <f t="shared" si="9"/>
        <v>0.95659574468085129</v>
      </c>
      <c r="AG60" s="489"/>
    </row>
    <row r="61" spans="1:33">
      <c r="A61" s="508" t="s">
        <v>2581</v>
      </c>
      <c r="B61" s="42" t="s">
        <v>2583</v>
      </c>
      <c r="C61" s="494"/>
      <c r="D61" s="494"/>
      <c r="E61" s="402"/>
      <c r="F61" s="44"/>
      <c r="G61" s="17"/>
      <c r="H61" s="409"/>
      <c r="I61" s="30">
        <v>18.666666666666668</v>
      </c>
      <c r="J61" s="37">
        <v>1944.4444444444443</v>
      </c>
      <c r="K61" s="17">
        <f t="shared" si="1"/>
        <v>104.16666666666666</v>
      </c>
      <c r="L61" s="30">
        <v>18.666666666666668</v>
      </c>
      <c r="M61" s="18">
        <f>AVERAGE(M52:M60)</f>
        <v>1807.242863382048</v>
      </c>
      <c r="N61" s="17">
        <f t="shared" si="3"/>
        <v>96.816581966895427</v>
      </c>
      <c r="O61" s="19">
        <f t="shared" si="4"/>
        <v>0</v>
      </c>
      <c r="P61" s="20">
        <f t="shared" si="5"/>
        <v>-7.3500846997712301</v>
      </c>
      <c r="Q61" s="401">
        <f t="shared" si="6"/>
        <v>0.92943918688219618</v>
      </c>
      <c r="R61" s="489"/>
      <c r="S61" s="40"/>
      <c r="T61" s="40"/>
      <c r="U61" s="398"/>
      <c r="V61" s="408"/>
      <c r="W61" s="17"/>
      <c r="X61" s="17"/>
      <c r="Y61" s="31">
        <f>SUM(Y52:Y60)</f>
        <v>0</v>
      </c>
      <c r="Z61" s="31">
        <f>SUM(Z52:Z60)</f>
        <v>0</v>
      </c>
      <c r="AA61" s="495"/>
      <c r="AB61" s="495"/>
      <c r="AC61" s="31">
        <v>4</v>
      </c>
      <c r="AD61" s="31">
        <f>SUM(AD52:AD60)</f>
        <v>0</v>
      </c>
      <c r="AE61" s="19">
        <f>M61-J61</f>
        <v>-137.20158106239637</v>
      </c>
      <c r="AF61" s="401">
        <f t="shared" si="9"/>
        <v>0.92943918688219618</v>
      </c>
      <c r="AG61" s="489"/>
    </row>
    <row r="62" spans="1:33" ht="15.75" customHeight="1">
      <c r="A62" s="499" t="s">
        <v>72</v>
      </c>
      <c r="B62" s="409" t="s">
        <v>100</v>
      </c>
      <c r="C62" s="490" t="s">
        <v>109</v>
      </c>
      <c r="D62" s="490"/>
      <c r="E62" s="42">
        <v>26.97</v>
      </c>
      <c r="F62" s="46">
        <v>1890</v>
      </c>
      <c r="G62" s="398">
        <f t="shared" ref="G62:G66" si="39">E62*F62</f>
        <v>50973.299999999996</v>
      </c>
      <c r="H62" s="411" t="s">
        <v>79</v>
      </c>
      <c r="I62" s="407">
        <v>8</v>
      </c>
      <c r="J62" s="37">
        <v>1500</v>
      </c>
      <c r="K62" s="17">
        <f t="shared" si="1"/>
        <v>187.5</v>
      </c>
      <c r="L62" s="407">
        <v>8</v>
      </c>
      <c r="M62" s="18">
        <f t="shared" ref="M62:M66" si="40">F62/V62*60</f>
        <v>1435.4430379746834</v>
      </c>
      <c r="N62" s="17">
        <f t="shared" si="3"/>
        <v>179.43037974683543</v>
      </c>
      <c r="O62" s="19">
        <f t="shared" si="4"/>
        <v>0</v>
      </c>
      <c r="P62" s="20">
        <f t="shared" si="5"/>
        <v>-8.0696202531645724</v>
      </c>
      <c r="Q62" s="401">
        <f t="shared" si="6"/>
        <v>0.95696202531645558</v>
      </c>
      <c r="R62" s="489">
        <f>Q67</f>
        <v>0.97012506329113923</v>
      </c>
      <c r="S62" s="40">
        <v>0.20833333333333334</v>
      </c>
      <c r="T62" s="40">
        <v>0.26319444444444445</v>
      </c>
      <c r="U62" s="398"/>
      <c r="V62" s="408">
        <f t="shared" ref="V62:V66" si="41">(T62-S62)*24*60</f>
        <v>79</v>
      </c>
      <c r="W62" s="28"/>
      <c r="X62" s="28"/>
      <c r="Y62" s="28"/>
      <c r="Z62" s="28"/>
      <c r="AA62" s="491"/>
      <c r="AB62" s="491"/>
      <c r="AC62" s="154">
        <v>1</v>
      </c>
      <c r="AD62" s="25"/>
      <c r="AE62" s="19">
        <f t="shared" ref="AE62:AE73" si="42">M62-J62</f>
        <v>-64.556962025316579</v>
      </c>
      <c r="AF62" s="401">
        <f t="shared" si="9"/>
        <v>0.95696202531645558</v>
      </c>
      <c r="AG62" s="489">
        <f>AF67</f>
        <v>0.97012506329113934</v>
      </c>
    </row>
    <row r="63" spans="1:33" ht="15.75" customHeight="1">
      <c r="A63" s="499" t="s">
        <v>2584</v>
      </c>
      <c r="B63" s="409" t="s">
        <v>100</v>
      </c>
      <c r="C63" s="490" t="s">
        <v>519</v>
      </c>
      <c r="D63" s="490"/>
      <c r="E63" s="42">
        <v>27.4</v>
      </c>
      <c r="F63" s="46">
        <v>1445</v>
      </c>
      <c r="G63" s="398">
        <f t="shared" si="39"/>
        <v>39593</v>
      </c>
      <c r="H63" s="411" t="s">
        <v>79</v>
      </c>
      <c r="I63" s="407">
        <v>10</v>
      </c>
      <c r="J63" s="37">
        <v>1500</v>
      </c>
      <c r="K63" s="17">
        <f t="shared" si="1"/>
        <v>150</v>
      </c>
      <c r="L63" s="407">
        <v>10</v>
      </c>
      <c r="M63" s="18">
        <f t="shared" si="40"/>
        <v>1444.9999999999993</v>
      </c>
      <c r="N63" s="17">
        <f t="shared" si="3"/>
        <v>144.49999999999994</v>
      </c>
      <c r="O63" s="19">
        <f t="shared" si="4"/>
        <v>0</v>
      </c>
      <c r="P63" s="20">
        <f t="shared" si="5"/>
        <v>-5.5000000000000568</v>
      </c>
      <c r="Q63" s="401">
        <f t="shared" si="6"/>
        <v>0.96333333333333293</v>
      </c>
      <c r="R63" s="489"/>
      <c r="S63" s="40">
        <v>0.26874999999999999</v>
      </c>
      <c r="T63" s="40">
        <v>0.31041666666666667</v>
      </c>
      <c r="U63" s="398">
        <f t="shared" ref="U63:U66" si="43">(S63-T62)*24*60</f>
        <v>7.9999999999999716</v>
      </c>
      <c r="V63" s="408">
        <f t="shared" si="41"/>
        <v>60.000000000000028</v>
      </c>
      <c r="W63" s="398"/>
      <c r="X63" s="398"/>
      <c r="Y63" s="398"/>
      <c r="Z63" s="398"/>
      <c r="AA63" s="491"/>
      <c r="AB63" s="491"/>
      <c r="AC63" s="154"/>
      <c r="AD63" s="25"/>
      <c r="AE63" s="19">
        <f t="shared" si="42"/>
        <v>-55.000000000000682</v>
      </c>
      <c r="AF63" s="401">
        <f t="shared" si="9"/>
        <v>0.96333333333333293</v>
      </c>
      <c r="AG63" s="489"/>
    </row>
    <row r="64" spans="1:33" ht="15.75" customHeight="1">
      <c r="A64" s="499" t="s">
        <v>2584</v>
      </c>
      <c r="B64" s="409" t="s">
        <v>93</v>
      </c>
      <c r="C64" s="490" t="s">
        <v>97</v>
      </c>
      <c r="D64" s="490"/>
      <c r="E64" s="42">
        <v>31</v>
      </c>
      <c r="F64" s="46">
        <v>651</v>
      </c>
      <c r="G64" s="398">
        <f t="shared" si="39"/>
        <v>20181</v>
      </c>
      <c r="H64" s="411" t="s">
        <v>79</v>
      </c>
      <c r="I64" s="407">
        <v>13</v>
      </c>
      <c r="J64" s="37">
        <v>2000</v>
      </c>
      <c r="K64" s="17">
        <f t="shared" si="1"/>
        <v>153.84615384615384</v>
      </c>
      <c r="L64" s="407">
        <v>13</v>
      </c>
      <c r="M64" s="18">
        <f t="shared" si="40"/>
        <v>1952.9999999999993</v>
      </c>
      <c r="N64" s="17">
        <f t="shared" si="3"/>
        <v>150.23076923076917</v>
      </c>
      <c r="O64" s="19">
        <f t="shared" si="4"/>
        <v>0</v>
      </c>
      <c r="P64" s="20">
        <f t="shared" si="5"/>
        <v>-3.61538461538467</v>
      </c>
      <c r="Q64" s="401">
        <f t="shared" si="6"/>
        <v>0.97649999999999959</v>
      </c>
      <c r="R64" s="489"/>
      <c r="S64" s="40">
        <v>0.31527777777777777</v>
      </c>
      <c r="T64" s="40">
        <v>0.32916666666666666</v>
      </c>
      <c r="U64" s="398">
        <f t="shared" si="43"/>
        <v>6.9999999999999751</v>
      </c>
      <c r="V64" s="408">
        <f t="shared" si="41"/>
        <v>20.000000000000007</v>
      </c>
      <c r="W64" s="398"/>
      <c r="X64" s="398"/>
      <c r="Y64" s="398"/>
      <c r="Z64" s="398"/>
      <c r="AA64" s="491"/>
      <c r="AB64" s="491"/>
      <c r="AC64" s="154" t="s">
        <v>79</v>
      </c>
      <c r="AD64" s="25"/>
      <c r="AE64" s="19">
        <f t="shared" si="42"/>
        <v>-47.000000000000682</v>
      </c>
      <c r="AF64" s="401">
        <f t="shared" si="9"/>
        <v>0.9764999999999997</v>
      </c>
      <c r="AG64" s="489"/>
    </row>
    <row r="65" spans="1:33" ht="15.75" customHeight="1">
      <c r="A65" s="499" t="s">
        <v>2584</v>
      </c>
      <c r="B65" s="409" t="s">
        <v>93</v>
      </c>
      <c r="C65" s="490" t="s">
        <v>1235</v>
      </c>
      <c r="D65" s="490"/>
      <c r="E65" s="42">
        <v>37.85</v>
      </c>
      <c r="F65" s="46">
        <v>2513</v>
      </c>
      <c r="G65" s="398">
        <f t="shared" si="39"/>
        <v>95117.05</v>
      </c>
      <c r="H65" s="411" t="s">
        <v>79</v>
      </c>
      <c r="I65" s="407">
        <v>12</v>
      </c>
      <c r="J65" s="37">
        <v>2000</v>
      </c>
      <c r="K65" s="17">
        <f t="shared" si="1"/>
        <v>166.66666666666666</v>
      </c>
      <c r="L65" s="407">
        <v>12</v>
      </c>
      <c r="M65" s="18">
        <f t="shared" si="40"/>
        <v>1908.60759493671</v>
      </c>
      <c r="N65" s="17">
        <f t="shared" si="3"/>
        <v>159.05063291139251</v>
      </c>
      <c r="O65" s="19">
        <f t="shared" si="4"/>
        <v>0</v>
      </c>
      <c r="P65" s="20">
        <f t="shared" si="5"/>
        <v>-7.6160337552741453</v>
      </c>
      <c r="Q65" s="401">
        <f t="shared" si="6"/>
        <v>0.95430379746835514</v>
      </c>
      <c r="R65" s="489"/>
      <c r="S65" s="40">
        <v>0.33263888888888887</v>
      </c>
      <c r="T65" s="40">
        <v>0.38749999999999996</v>
      </c>
      <c r="U65" s="398">
        <f t="shared" si="43"/>
        <v>4.9999999999999822</v>
      </c>
      <c r="V65" s="408">
        <f t="shared" si="41"/>
        <v>78.999999999999957</v>
      </c>
      <c r="W65" s="398"/>
      <c r="X65" s="398"/>
      <c r="Y65" s="398"/>
      <c r="Z65" s="398"/>
      <c r="AA65" s="491"/>
      <c r="AB65" s="491"/>
      <c r="AC65" s="154" t="s">
        <v>79</v>
      </c>
      <c r="AD65" s="25"/>
      <c r="AE65" s="19">
        <f t="shared" si="42"/>
        <v>-91.392405063289971</v>
      </c>
      <c r="AF65" s="401">
        <f t="shared" si="9"/>
        <v>0.95430379746835503</v>
      </c>
      <c r="AG65" s="489"/>
    </row>
    <row r="66" spans="1:33">
      <c r="A66" s="500" t="s">
        <v>2584</v>
      </c>
      <c r="B66" s="409" t="s">
        <v>93</v>
      </c>
      <c r="C66" s="490" t="s">
        <v>113</v>
      </c>
      <c r="D66" s="490"/>
      <c r="E66" s="42">
        <v>34.36</v>
      </c>
      <c r="F66" s="46">
        <v>1233</v>
      </c>
      <c r="G66" s="398">
        <f t="shared" si="39"/>
        <v>42365.88</v>
      </c>
      <c r="H66" s="411" t="s">
        <v>79</v>
      </c>
      <c r="I66" s="407">
        <v>10</v>
      </c>
      <c r="J66" s="37">
        <v>3000</v>
      </c>
      <c r="K66" s="17">
        <f t="shared" si="1"/>
        <v>300</v>
      </c>
      <c r="L66" s="407">
        <v>10</v>
      </c>
      <c r="M66" s="18">
        <f t="shared" si="40"/>
        <v>2959.2000000000007</v>
      </c>
      <c r="N66" s="17">
        <f t="shared" si="3"/>
        <v>295.92000000000007</v>
      </c>
      <c r="O66" s="19">
        <f t="shared" si="4"/>
        <v>0</v>
      </c>
      <c r="P66" s="20">
        <f t="shared" si="5"/>
        <v>-4.0799999999999272</v>
      </c>
      <c r="Q66" s="401">
        <f t="shared" si="6"/>
        <v>0.98640000000000028</v>
      </c>
      <c r="R66" s="489"/>
      <c r="S66" s="40">
        <v>0.39097222222222217</v>
      </c>
      <c r="T66" s="40">
        <v>0.40833333333333327</v>
      </c>
      <c r="U66" s="398">
        <f t="shared" si="43"/>
        <v>4.9999999999999822</v>
      </c>
      <c r="V66" s="408">
        <f t="shared" si="41"/>
        <v>24.999999999999993</v>
      </c>
      <c r="W66" s="23"/>
      <c r="X66" s="23"/>
      <c r="Y66" s="23"/>
      <c r="Z66" s="23"/>
      <c r="AA66" s="491"/>
      <c r="AB66" s="491"/>
      <c r="AC66" s="154" t="s">
        <v>79</v>
      </c>
      <c r="AD66" s="25"/>
      <c r="AE66" s="19">
        <f t="shared" si="42"/>
        <v>-40.799999999999272</v>
      </c>
      <c r="AF66" s="401">
        <f t="shared" si="9"/>
        <v>0.98640000000000028</v>
      </c>
      <c r="AG66" s="489"/>
    </row>
    <row r="67" spans="1:33">
      <c r="A67" s="500" t="s">
        <v>2584</v>
      </c>
      <c r="B67" s="42" t="s">
        <v>2583</v>
      </c>
      <c r="C67" s="494"/>
      <c r="D67" s="494"/>
      <c r="E67" s="402"/>
      <c r="F67" s="44"/>
      <c r="G67" s="17"/>
      <c r="H67" s="409"/>
      <c r="I67" s="30">
        <v>10.6</v>
      </c>
      <c r="J67" s="37">
        <v>2000</v>
      </c>
      <c r="K67" s="17">
        <f t="shared" si="1"/>
        <v>188.67924528301887</v>
      </c>
      <c r="L67" s="30">
        <v>10.6</v>
      </c>
      <c r="M67" s="18">
        <f>AVERAGE(M62:M66)</f>
        <v>1940.2501265822787</v>
      </c>
      <c r="N67" s="17">
        <f t="shared" si="3"/>
        <v>183.04246477191307</v>
      </c>
      <c r="O67" s="19">
        <f t="shared" si="4"/>
        <v>0</v>
      </c>
      <c r="P67" s="20">
        <f t="shared" si="5"/>
        <v>-5.6367805111057976</v>
      </c>
      <c r="Q67" s="401">
        <f t="shared" si="6"/>
        <v>0.97012506329113923</v>
      </c>
      <c r="R67" s="489"/>
      <c r="S67" s="40"/>
      <c r="T67" s="40"/>
      <c r="U67" s="17"/>
      <c r="V67" s="408"/>
      <c r="W67" s="17"/>
      <c r="X67" s="17"/>
      <c r="Y67" s="31">
        <f>SUM(Y62:Y66)</f>
        <v>0</v>
      </c>
      <c r="Z67" s="31">
        <f>SUM(Z62:Z66)</f>
        <v>0</v>
      </c>
      <c r="AA67" s="495"/>
      <c r="AB67" s="495"/>
      <c r="AC67" s="31">
        <v>1</v>
      </c>
      <c r="AD67" s="31">
        <f>SUM(AD62:AD66)</f>
        <v>0</v>
      </c>
      <c r="AE67" s="19">
        <f t="shared" si="42"/>
        <v>-59.749873417721346</v>
      </c>
      <c r="AF67" s="401">
        <f t="shared" si="9"/>
        <v>0.97012506329113934</v>
      </c>
      <c r="AG67" s="489"/>
    </row>
    <row r="68" spans="1:33" ht="15.75" customHeight="1">
      <c r="A68" s="496" t="s">
        <v>2585</v>
      </c>
      <c r="B68" s="409" t="s">
        <v>80</v>
      </c>
      <c r="C68" s="490" t="s">
        <v>115</v>
      </c>
      <c r="D68" s="490"/>
      <c r="E68" s="42">
        <v>20.2</v>
      </c>
      <c r="F68" s="409">
        <v>1418</v>
      </c>
      <c r="G68" s="398">
        <f t="shared" ref="G68:G72" si="44">E68*F68</f>
        <v>28643.599999999999</v>
      </c>
      <c r="H68" s="411" t="s">
        <v>79</v>
      </c>
      <c r="I68" s="407">
        <v>19</v>
      </c>
      <c r="J68" s="37">
        <v>2400</v>
      </c>
      <c r="K68" s="17">
        <f t="shared" si="1"/>
        <v>126.31578947368421</v>
      </c>
      <c r="L68" s="407">
        <v>19</v>
      </c>
      <c r="M68" s="18">
        <f t="shared" ref="M68:M72" si="45">F68/V68*60</f>
        <v>2299.45945945946</v>
      </c>
      <c r="N68" s="17">
        <f t="shared" si="3"/>
        <v>121.02418207681369</v>
      </c>
      <c r="O68" s="19">
        <f t="shared" si="4"/>
        <v>0</v>
      </c>
      <c r="P68" s="20">
        <f t="shared" si="5"/>
        <v>-5.2916073968705177</v>
      </c>
      <c r="Q68" s="401">
        <f t="shared" si="6"/>
        <v>0.95810810810810842</v>
      </c>
      <c r="R68" s="489">
        <f>Q73</f>
        <v>0.95605197878622028</v>
      </c>
      <c r="S68" s="40">
        <v>0.125</v>
      </c>
      <c r="T68" s="40">
        <v>0.15069444444444444</v>
      </c>
      <c r="U68" s="28"/>
      <c r="V68" s="408">
        <f t="shared" ref="V68:V72" si="46">(T68-S68)*24*60</f>
        <v>36.999999999999986</v>
      </c>
      <c r="W68" s="23">
        <f>T68</f>
        <v>0.15069444444444444</v>
      </c>
      <c r="X68" s="23">
        <f>S69</f>
        <v>0.17083333333333334</v>
      </c>
      <c r="Y68" s="23"/>
      <c r="Z68" s="23"/>
      <c r="AA68" s="491"/>
      <c r="AB68" s="491"/>
      <c r="AC68" s="154">
        <v>5</v>
      </c>
      <c r="AD68" s="25"/>
      <c r="AE68" s="19">
        <f t="shared" si="42"/>
        <v>-100.54054054053995</v>
      </c>
      <c r="AF68" s="401">
        <f t="shared" si="9"/>
        <v>0.95810810810810831</v>
      </c>
      <c r="AG68" s="489">
        <f>AF73</f>
        <v>0.95605197878622028</v>
      </c>
    </row>
    <row r="69" spans="1:33" ht="15.75" customHeight="1">
      <c r="A69" s="497" t="s">
        <v>75</v>
      </c>
      <c r="B69" s="409" t="s">
        <v>80</v>
      </c>
      <c r="C69" s="490" t="s">
        <v>116</v>
      </c>
      <c r="D69" s="490"/>
      <c r="E69" s="42">
        <v>20.52</v>
      </c>
      <c r="F69" s="409">
        <v>2257</v>
      </c>
      <c r="G69" s="398">
        <f t="shared" si="44"/>
        <v>46313.64</v>
      </c>
      <c r="H69" s="411" t="s">
        <v>79</v>
      </c>
      <c r="I69" s="407">
        <v>18</v>
      </c>
      <c r="J69" s="37">
        <v>2400</v>
      </c>
      <c r="K69" s="17">
        <f t="shared" ref="K69:K73" si="47">J69/I69</f>
        <v>133.33333333333334</v>
      </c>
      <c r="L69" s="407">
        <v>18</v>
      </c>
      <c r="M69" s="18">
        <f t="shared" si="45"/>
        <v>2295.2542372881358</v>
      </c>
      <c r="N69" s="17">
        <f t="shared" ref="N69:N73" si="48">M69/L69</f>
        <v>127.51412429378531</v>
      </c>
      <c r="O69" s="19">
        <f t="shared" ref="O69:O73" si="49">L69-I69</f>
        <v>0</v>
      </c>
      <c r="P69" s="20">
        <f t="shared" ref="P69:P73" si="50">N69-K69</f>
        <v>-5.8192090395480278</v>
      </c>
      <c r="Q69" s="401">
        <f t="shared" ref="Q69:Q73" si="51">N69/K69</f>
        <v>0.95635593220338977</v>
      </c>
      <c r="R69" s="489"/>
      <c r="S69" s="40">
        <v>0.17083333333333334</v>
      </c>
      <c r="T69" s="40">
        <v>0.21180555555555555</v>
      </c>
      <c r="U69" s="398">
        <f t="shared" ref="U69:U72" si="52">(S69-T68)*24*60</f>
        <v>29.000000000000018</v>
      </c>
      <c r="V69" s="408">
        <f t="shared" si="46"/>
        <v>58.999999999999993</v>
      </c>
      <c r="W69" s="23"/>
      <c r="X69" s="23"/>
      <c r="Y69" s="23"/>
      <c r="Z69" s="23"/>
      <c r="AA69" s="491"/>
      <c r="AB69" s="491"/>
      <c r="AC69" s="154"/>
      <c r="AD69" s="25"/>
      <c r="AE69" s="19">
        <f t="shared" si="42"/>
        <v>-104.74576271186424</v>
      </c>
      <c r="AF69" s="401">
        <f t="shared" ref="AF69:AF73" si="53">M69/J69</f>
        <v>0.95635593220338988</v>
      </c>
      <c r="AG69" s="489"/>
    </row>
    <row r="70" spans="1:33" ht="15.75" customHeight="1">
      <c r="A70" s="497" t="s">
        <v>75</v>
      </c>
      <c r="B70" s="409" t="s">
        <v>80</v>
      </c>
      <c r="C70" s="490" t="s">
        <v>119</v>
      </c>
      <c r="D70" s="490"/>
      <c r="E70" s="42">
        <v>19.02</v>
      </c>
      <c r="F70" s="409">
        <v>6700</v>
      </c>
      <c r="G70" s="398">
        <f t="shared" si="44"/>
        <v>127434</v>
      </c>
      <c r="H70" s="411" t="s">
        <v>79</v>
      </c>
      <c r="I70" s="407">
        <v>15</v>
      </c>
      <c r="J70" s="37">
        <v>2400</v>
      </c>
      <c r="K70" s="17">
        <f t="shared" si="47"/>
        <v>160</v>
      </c>
      <c r="L70" s="407">
        <v>15</v>
      </c>
      <c r="M70" s="18">
        <f t="shared" si="45"/>
        <v>2284.0909090909095</v>
      </c>
      <c r="N70" s="17">
        <f t="shared" si="48"/>
        <v>152.27272727272731</v>
      </c>
      <c r="O70" s="19">
        <f t="shared" si="49"/>
        <v>0</v>
      </c>
      <c r="P70" s="20">
        <f t="shared" si="50"/>
        <v>-7.7272727272726911</v>
      </c>
      <c r="Q70" s="401">
        <f t="shared" si="51"/>
        <v>0.95170454545454564</v>
      </c>
      <c r="R70" s="489"/>
      <c r="S70" s="40">
        <v>0.21527777777777776</v>
      </c>
      <c r="T70" s="40">
        <v>0.33749999999999997</v>
      </c>
      <c r="U70" s="398">
        <f t="shared" si="52"/>
        <v>4.9999999999999822</v>
      </c>
      <c r="V70" s="408">
        <f t="shared" si="46"/>
        <v>175.99999999999997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42"/>
        <v>-115.90909090909054</v>
      </c>
      <c r="AF70" s="401">
        <f t="shared" si="53"/>
        <v>0.95170454545454564</v>
      </c>
      <c r="AG70" s="489"/>
    </row>
    <row r="71" spans="1:33" ht="15.75" customHeight="1">
      <c r="A71" s="497" t="s">
        <v>2586</v>
      </c>
      <c r="B71" s="409" t="s">
        <v>80</v>
      </c>
      <c r="C71" s="490" t="s">
        <v>117</v>
      </c>
      <c r="D71" s="490"/>
      <c r="E71" s="42">
        <v>24.43</v>
      </c>
      <c r="F71" s="409">
        <v>4550</v>
      </c>
      <c r="G71" s="398">
        <f t="shared" si="44"/>
        <v>111156.5</v>
      </c>
      <c r="H71" s="411" t="s">
        <v>79</v>
      </c>
      <c r="I71" s="407">
        <v>14</v>
      </c>
      <c r="J71" s="37">
        <v>2400</v>
      </c>
      <c r="K71" s="17">
        <f t="shared" si="47"/>
        <v>171.42857142857142</v>
      </c>
      <c r="L71" s="407">
        <v>14</v>
      </c>
      <c r="M71" s="18">
        <f t="shared" si="45"/>
        <v>2294.1176470588239</v>
      </c>
      <c r="N71" s="17">
        <f t="shared" si="48"/>
        <v>163.86554621848742</v>
      </c>
      <c r="O71" s="19">
        <f t="shared" si="49"/>
        <v>0</v>
      </c>
      <c r="P71" s="20">
        <f t="shared" si="50"/>
        <v>-7.5630252100839925</v>
      </c>
      <c r="Q71" s="401">
        <f t="shared" si="51"/>
        <v>0.95588235294117674</v>
      </c>
      <c r="R71" s="489"/>
      <c r="S71" s="40">
        <v>0.3430555555555555</v>
      </c>
      <c r="T71" s="40">
        <v>0.42569444444444438</v>
      </c>
      <c r="U71" s="398">
        <f t="shared" si="52"/>
        <v>7.9999999999999716</v>
      </c>
      <c r="V71" s="408">
        <f t="shared" si="46"/>
        <v>118.99999999999997</v>
      </c>
      <c r="W71" s="23"/>
      <c r="X71" s="23"/>
      <c r="Y71" s="23"/>
      <c r="Z71" s="23"/>
      <c r="AA71" s="491"/>
      <c r="AB71" s="491"/>
      <c r="AC71" s="154"/>
      <c r="AD71" s="25"/>
      <c r="AE71" s="19">
        <f t="shared" si="42"/>
        <v>-105.88235294117612</v>
      </c>
      <c r="AF71" s="401">
        <f t="shared" si="53"/>
        <v>0.95588235294117663</v>
      </c>
      <c r="AG71" s="489"/>
    </row>
    <row r="72" spans="1:33" ht="15.75" customHeight="1">
      <c r="A72" s="497" t="s">
        <v>75</v>
      </c>
      <c r="B72" s="409" t="s">
        <v>80</v>
      </c>
      <c r="C72" s="490" t="s">
        <v>118</v>
      </c>
      <c r="D72" s="490"/>
      <c r="E72" s="42">
        <v>20.21</v>
      </c>
      <c r="F72" s="409">
        <v>2568</v>
      </c>
      <c r="G72" s="398">
        <f t="shared" si="44"/>
        <v>51899.28</v>
      </c>
      <c r="H72" s="411" t="s">
        <v>79</v>
      </c>
      <c r="I72" s="407">
        <v>16</v>
      </c>
      <c r="J72" s="37">
        <v>2400</v>
      </c>
      <c r="K72" s="17">
        <f t="shared" si="47"/>
        <v>150</v>
      </c>
      <c r="L72" s="407">
        <v>16</v>
      </c>
      <c r="M72" s="18">
        <f t="shared" si="45"/>
        <v>2299.7014925373132</v>
      </c>
      <c r="N72" s="17">
        <f t="shared" si="48"/>
        <v>143.73134328358208</v>
      </c>
      <c r="O72" s="19">
        <f t="shared" si="49"/>
        <v>0</v>
      </c>
      <c r="P72" s="20">
        <f t="shared" si="50"/>
        <v>-6.2686567164179223</v>
      </c>
      <c r="Q72" s="401">
        <f t="shared" si="51"/>
        <v>0.9582089552238805</v>
      </c>
      <c r="R72" s="489"/>
      <c r="S72" s="40">
        <v>0.42916666666666659</v>
      </c>
      <c r="T72" s="40">
        <v>0.47569444444444436</v>
      </c>
      <c r="U72" s="398">
        <f t="shared" si="52"/>
        <v>4.9999999999999822</v>
      </c>
      <c r="V72" s="408">
        <f t="shared" si="46"/>
        <v>67</v>
      </c>
      <c r="W72" s="23"/>
      <c r="X72" s="23"/>
      <c r="Y72" s="23"/>
      <c r="Z72" s="23"/>
      <c r="AA72" s="491"/>
      <c r="AB72" s="491"/>
      <c r="AC72" s="154"/>
      <c r="AD72" s="25"/>
      <c r="AE72" s="19">
        <f t="shared" si="42"/>
        <v>-100.29850746268676</v>
      </c>
      <c r="AF72" s="401">
        <f t="shared" si="53"/>
        <v>0.9582089552238805</v>
      </c>
      <c r="AG72" s="489"/>
    </row>
    <row r="73" spans="1:33" ht="16.5" customHeight="1">
      <c r="A73" s="498" t="s">
        <v>75</v>
      </c>
      <c r="B73" s="42" t="s">
        <v>71</v>
      </c>
      <c r="C73" s="492"/>
      <c r="D73" s="493"/>
      <c r="E73" s="402"/>
      <c r="F73" s="44"/>
      <c r="G73" s="17"/>
      <c r="H73" s="409"/>
      <c r="I73" s="30">
        <v>16.399999999999999</v>
      </c>
      <c r="J73" s="37">
        <v>2400</v>
      </c>
      <c r="K73" s="17">
        <f t="shared" si="47"/>
        <v>146.34146341463415</v>
      </c>
      <c r="L73" s="30">
        <v>16.399999999999999</v>
      </c>
      <c r="M73" s="18">
        <f>AVERAGE(M68:M72)</f>
        <v>2294.5247490869288</v>
      </c>
      <c r="N73" s="17">
        <f t="shared" si="48"/>
        <v>139.91004567603224</v>
      </c>
      <c r="O73" s="19">
        <f t="shared" si="49"/>
        <v>0</v>
      </c>
      <c r="P73" s="20">
        <f t="shared" si="50"/>
        <v>-6.4314177386019082</v>
      </c>
      <c r="Q73" s="401">
        <f t="shared" si="51"/>
        <v>0.95605197878622028</v>
      </c>
      <c r="R73" s="489"/>
      <c r="S73" s="40"/>
      <c r="T73" s="40"/>
      <c r="U73" s="17"/>
      <c r="V73" s="408"/>
      <c r="W73" s="17"/>
      <c r="X73" s="17"/>
      <c r="Y73" s="31">
        <f>SUM(Y68:Y72)</f>
        <v>0</v>
      </c>
      <c r="Z73" s="31">
        <f>SUM(Z68:Z72)</f>
        <v>0</v>
      </c>
      <c r="AA73" s="495"/>
      <c r="AB73" s="495"/>
      <c r="AC73" s="31">
        <v>5</v>
      </c>
      <c r="AD73" s="31">
        <f>SUM(AD68:AD72)</f>
        <v>0</v>
      </c>
      <c r="AE73" s="19">
        <f t="shared" si="42"/>
        <v>-105.47525091307125</v>
      </c>
      <c r="AF73" s="401">
        <f t="shared" si="53"/>
        <v>0.95605197878622028</v>
      </c>
      <c r="AG73" s="489"/>
    </row>
    <row r="74" spans="1:33">
      <c r="D74" s="33"/>
      <c r="E74" s="33"/>
      <c r="J74" s="38"/>
    </row>
    <row r="75" spans="1:33">
      <c r="J75" s="38"/>
    </row>
  </sheetData>
  <mergeCells count="198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G11:AG13"/>
    <mergeCell ref="C12:D12"/>
    <mergeCell ref="AA12:AB12"/>
    <mergeCell ref="C13:D13"/>
    <mergeCell ref="AA13:AB13"/>
    <mergeCell ref="A14:A21"/>
    <mergeCell ref="C14:D14"/>
    <mergeCell ref="R14:R21"/>
    <mergeCell ref="AA14:AB14"/>
    <mergeCell ref="AG14:AG21"/>
    <mergeCell ref="C18:D18"/>
    <mergeCell ref="AA18:AB18"/>
    <mergeCell ref="C19:D19"/>
    <mergeCell ref="AA19:AB19"/>
    <mergeCell ref="AA20:AB20"/>
    <mergeCell ref="C21:D21"/>
    <mergeCell ref="AA21:AB21"/>
    <mergeCell ref="C15:D15"/>
    <mergeCell ref="AA15:AB15"/>
    <mergeCell ref="C16:D16"/>
    <mergeCell ref="AA16:AB16"/>
    <mergeCell ref="C17:D17"/>
    <mergeCell ref="AA17:AB17"/>
    <mergeCell ref="A22:A28"/>
    <mergeCell ref="C22:D22"/>
    <mergeCell ref="R22:R28"/>
    <mergeCell ref="AA22:AB22"/>
    <mergeCell ref="AG22:AG28"/>
    <mergeCell ref="C23:D23"/>
    <mergeCell ref="AA23:AB23"/>
    <mergeCell ref="C24:D24"/>
    <mergeCell ref="AA24:AB24"/>
    <mergeCell ref="C25:D25"/>
    <mergeCell ref="AG29:AG34"/>
    <mergeCell ref="C30:D30"/>
    <mergeCell ref="AA30:AB30"/>
    <mergeCell ref="C31:D31"/>
    <mergeCell ref="AA31:AB31"/>
    <mergeCell ref="C32:D32"/>
    <mergeCell ref="AA25:AB25"/>
    <mergeCell ref="C26:D26"/>
    <mergeCell ref="AA26:AB26"/>
    <mergeCell ref="C27:D27"/>
    <mergeCell ref="AA27:AB27"/>
    <mergeCell ref="C28:D28"/>
    <mergeCell ref="AA28:AB28"/>
    <mergeCell ref="AA32:AB32"/>
    <mergeCell ref="C33:D33"/>
    <mergeCell ref="AA33:AB33"/>
    <mergeCell ref="C34:D34"/>
    <mergeCell ref="AA34:AB34"/>
    <mergeCell ref="A35:A41"/>
    <mergeCell ref="C35:D35"/>
    <mergeCell ref="R35:R41"/>
    <mergeCell ref="AA35:AB35"/>
    <mergeCell ref="AA40:AB40"/>
    <mergeCell ref="A29:A34"/>
    <mergeCell ref="C29:D29"/>
    <mergeCell ref="R29:R34"/>
    <mergeCell ref="AA29:AB29"/>
    <mergeCell ref="AG35:AG41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C41:D41"/>
    <mergeCell ref="AA41:AB41"/>
    <mergeCell ref="A42:A51"/>
    <mergeCell ref="C42:D42"/>
    <mergeCell ref="R42:R51"/>
    <mergeCell ref="AA42:AB42"/>
    <mergeCell ref="AA47:AB47"/>
    <mergeCell ref="C48:D48"/>
    <mergeCell ref="AA48:AB48"/>
    <mergeCell ref="C49:D49"/>
    <mergeCell ref="AG42:AG51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A49:AB49"/>
    <mergeCell ref="C50:D50"/>
    <mergeCell ref="AA50:AB50"/>
    <mergeCell ref="C51:D51"/>
    <mergeCell ref="AA51:AB51"/>
    <mergeCell ref="A52:A61"/>
    <mergeCell ref="C52:D52"/>
    <mergeCell ref="R52:R61"/>
    <mergeCell ref="AA52:AB52"/>
    <mergeCell ref="AA58:AB58"/>
    <mergeCell ref="AG62:AG67"/>
    <mergeCell ref="C63:D63"/>
    <mergeCell ref="AA63:AB63"/>
    <mergeCell ref="C64:D64"/>
    <mergeCell ref="AA64:AB64"/>
    <mergeCell ref="C65:D65"/>
    <mergeCell ref="C59:D59"/>
    <mergeCell ref="AA59:AB59"/>
    <mergeCell ref="C60:D60"/>
    <mergeCell ref="AA60:AB60"/>
    <mergeCell ref="C61:D61"/>
    <mergeCell ref="AA61:AB61"/>
    <mergeCell ref="AG52:AG61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AA65:AB65"/>
    <mergeCell ref="C66:D66"/>
    <mergeCell ref="AA66:AB66"/>
    <mergeCell ref="C67:D67"/>
    <mergeCell ref="AA67:AB67"/>
    <mergeCell ref="A68:A73"/>
    <mergeCell ref="C68:D68"/>
    <mergeCell ref="R68:R73"/>
    <mergeCell ref="AA68:AB68"/>
    <mergeCell ref="AA73:AB73"/>
    <mergeCell ref="A62:A67"/>
    <mergeCell ref="C62:D62"/>
    <mergeCell ref="R62:R67"/>
    <mergeCell ref="AA62:AB62"/>
    <mergeCell ref="AG68:AG73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C73:D73"/>
  </mergeCells>
  <phoneticPr fontId="3" type="noConversion"/>
  <conditionalFormatting sqref="O61:O62 O65:O73 O5:O11 O13:O15 O51:O57 O21:O47">
    <cfRule type="cellIs" dxfId="2499" priority="74" operator="greaterThan">
      <formula>0</formula>
    </cfRule>
  </conditionalFormatting>
  <conditionalFormatting sqref="P5:P9 P65:P66 AE65:AE66 P68:P72 P29:P33 P62 P11 P13:P15 P22:P27 P52:P57 P35:P47 AE5:AE62 AE68:AE73">
    <cfRule type="cellIs" dxfId="2498" priority="78" operator="lessThan">
      <formula>0</formula>
    </cfRule>
  </conditionalFormatting>
  <conditionalFormatting sqref="AF65:AF66 Q61:Q62 Q65:Q73 Q5:Q11 Q13:Q15 Q51:Q57 Q21:Q47 AF5:AF62 AF68:AF73">
    <cfRule type="cellIs" dxfId="2497" priority="75" operator="greaterThan">
      <formula>1</formula>
    </cfRule>
    <cfRule type="cellIs" dxfId="2496" priority="76" operator="lessThan">
      <formula>0.8</formula>
    </cfRule>
  </conditionalFormatting>
  <conditionalFormatting sqref="AG14:AG15 R14:R15 AG65 AG61:AG62 R61:R62 R65:R73 AG5:AG11 R5:R11 R21:R47 AG21:AG47 AG51:AG57 R51:R57">
    <cfRule type="cellIs" dxfId="2495" priority="80" operator="lessThan">
      <formula>0.8</formula>
    </cfRule>
  </conditionalFormatting>
  <conditionalFormatting sqref="AG42">
    <cfRule type="cellIs" dxfId="2494" priority="82" operator="lessThan">
      <formula>0.8</formula>
    </cfRule>
  </conditionalFormatting>
  <conditionalFormatting sqref="AG22:AG27">
    <cfRule type="cellIs" dxfId="2493" priority="79" operator="lessThan">
      <formula>0.8</formula>
    </cfRule>
  </conditionalFormatting>
  <conditionalFormatting sqref="AG29">
    <cfRule type="cellIs" dxfId="2492" priority="81" operator="lessThan">
      <formula>0.8</formula>
    </cfRule>
  </conditionalFormatting>
  <conditionalFormatting sqref="AG35:AG40">
    <cfRule type="cellIs" dxfId="2491" priority="77" operator="lessThan">
      <formula>0.8</formula>
    </cfRule>
  </conditionalFormatting>
  <conditionalFormatting sqref="AE67">
    <cfRule type="cellIs" dxfId="2490" priority="73" operator="lessThan">
      <formula>0</formula>
    </cfRule>
  </conditionalFormatting>
  <conditionalFormatting sqref="AF67">
    <cfRule type="cellIs" dxfId="2489" priority="71" operator="greaterThan">
      <formula>1</formula>
    </cfRule>
    <cfRule type="cellIs" dxfId="2488" priority="72" operator="lessThan">
      <formula>0.8</formula>
    </cfRule>
  </conditionalFormatting>
  <conditionalFormatting sqref="O16:O17">
    <cfRule type="cellIs" dxfId="2487" priority="66" operator="greaterThan">
      <formula>0</formula>
    </cfRule>
  </conditionalFormatting>
  <conditionalFormatting sqref="P16:P17">
    <cfRule type="cellIs" dxfId="2486" priority="69" operator="lessThan">
      <formula>0</formula>
    </cfRule>
  </conditionalFormatting>
  <conditionalFormatting sqref="Q16:Q17">
    <cfRule type="cellIs" dxfId="2485" priority="67" operator="greaterThan">
      <formula>1</formula>
    </cfRule>
    <cfRule type="cellIs" dxfId="2484" priority="68" operator="lessThan">
      <formula>0.8</formula>
    </cfRule>
  </conditionalFormatting>
  <conditionalFormatting sqref="R16:R17 AG16:AG17">
    <cfRule type="cellIs" dxfId="2483" priority="70" operator="lessThan">
      <formula>0.8</formula>
    </cfRule>
  </conditionalFormatting>
  <conditionalFormatting sqref="O12">
    <cfRule type="cellIs" dxfId="2482" priority="62" operator="greaterThan">
      <formula>0</formula>
    </cfRule>
  </conditionalFormatting>
  <conditionalFormatting sqref="P12">
    <cfRule type="cellIs" dxfId="2481" priority="65" operator="lessThan">
      <formula>0</formula>
    </cfRule>
  </conditionalFormatting>
  <conditionalFormatting sqref="Q12">
    <cfRule type="cellIs" dxfId="2480" priority="63" operator="greaterThan">
      <formula>1</formula>
    </cfRule>
    <cfRule type="cellIs" dxfId="2479" priority="64" operator="lessThan">
      <formula>0.8</formula>
    </cfRule>
  </conditionalFormatting>
  <conditionalFormatting sqref="O58">
    <cfRule type="cellIs" dxfId="2478" priority="57" operator="greaterThan">
      <formula>0</formula>
    </cfRule>
  </conditionalFormatting>
  <conditionalFormatting sqref="P58">
    <cfRule type="cellIs" dxfId="2477" priority="60" operator="lessThan">
      <formula>0</formula>
    </cfRule>
  </conditionalFormatting>
  <conditionalFormatting sqref="Q58">
    <cfRule type="cellIs" dxfId="2476" priority="58" operator="greaterThan">
      <formula>1</formula>
    </cfRule>
    <cfRule type="cellIs" dxfId="2475" priority="59" operator="lessThan">
      <formula>0.8</formula>
    </cfRule>
  </conditionalFormatting>
  <conditionalFormatting sqref="R58 AG58">
    <cfRule type="cellIs" dxfId="2474" priority="61" operator="lessThan">
      <formula>0.8</formula>
    </cfRule>
  </conditionalFormatting>
  <conditionalFormatting sqref="O64">
    <cfRule type="cellIs" dxfId="2473" priority="52" operator="greaterThan">
      <formula>0</formula>
    </cfRule>
  </conditionalFormatting>
  <conditionalFormatting sqref="P64 AE64">
    <cfRule type="cellIs" dxfId="2472" priority="55" operator="lessThan">
      <formula>0</formula>
    </cfRule>
  </conditionalFormatting>
  <conditionalFormatting sqref="Q64 AF64">
    <cfRule type="cellIs" dxfId="2471" priority="53" operator="greaterThan">
      <formula>1</formula>
    </cfRule>
    <cfRule type="cellIs" dxfId="2470" priority="54" operator="lessThan">
      <formula>0.8</formula>
    </cfRule>
  </conditionalFormatting>
  <conditionalFormatting sqref="R64 AG64">
    <cfRule type="cellIs" dxfId="2469" priority="56" operator="lessThan">
      <formula>0.8</formula>
    </cfRule>
  </conditionalFormatting>
  <conditionalFormatting sqref="O18:O19">
    <cfRule type="cellIs" dxfId="2468" priority="47" operator="greaterThan">
      <formula>0</formula>
    </cfRule>
  </conditionalFormatting>
  <conditionalFormatting sqref="P18:P19">
    <cfRule type="cellIs" dxfId="2467" priority="50" operator="lessThan">
      <formula>0</formula>
    </cfRule>
  </conditionalFormatting>
  <conditionalFormatting sqref="Q18:Q19">
    <cfRule type="cellIs" dxfId="2466" priority="48" operator="greaterThan">
      <formula>1</formula>
    </cfRule>
    <cfRule type="cellIs" dxfId="2465" priority="49" operator="lessThan">
      <formula>0.8</formula>
    </cfRule>
  </conditionalFormatting>
  <conditionalFormatting sqref="R18:R19 AG18:AG19">
    <cfRule type="cellIs" dxfId="2464" priority="51" operator="lessThan">
      <formula>0.8</formula>
    </cfRule>
  </conditionalFormatting>
  <conditionalFormatting sqref="O48">
    <cfRule type="cellIs" dxfId="2463" priority="41" operator="greaterThan">
      <formula>0</formula>
    </cfRule>
  </conditionalFormatting>
  <conditionalFormatting sqref="P48">
    <cfRule type="cellIs" dxfId="2462" priority="45" operator="lessThan">
      <formula>0</formula>
    </cfRule>
  </conditionalFormatting>
  <conditionalFormatting sqref="Q48">
    <cfRule type="cellIs" dxfId="2461" priority="42" operator="greaterThan">
      <formula>1</formula>
    </cfRule>
    <cfRule type="cellIs" dxfId="2460" priority="43" operator="lessThan">
      <formula>0.8</formula>
    </cfRule>
  </conditionalFormatting>
  <conditionalFormatting sqref="R48 AG48">
    <cfRule type="cellIs" dxfId="2459" priority="46" operator="lessThan">
      <formula>0.8</formula>
    </cfRule>
  </conditionalFormatting>
  <conditionalFormatting sqref="AG48">
    <cfRule type="cellIs" dxfId="2458" priority="44" operator="lessThan">
      <formula>0.8</formula>
    </cfRule>
  </conditionalFormatting>
  <conditionalFormatting sqref="O49">
    <cfRule type="cellIs" dxfId="2457" priority="35" operator="greaterThan">
      <formula>0</formula>
    </cfRule>
  </conditionalFormatting>
  <conditionalFormatting sqref="P49">
    <cfRule type="cellIs" dxfId="2456" priority="39" operator="lessThan">
      <formula>0</formula>
    </cfRule>
  </conditionalFormatting>
  <conditionalFormatting sqref="Q49">
    <cfRule type="cellIs" dxfId="2455" priority="36" operator="greaterThan">
      <formula>1</formula>
    </cfRule>
    <cfRule type="cellIs" dxfId="2454" priority="37" operator="lessThan">
      <formula>0.8</formula>
    </cfRule>
  </conditionalFormatting>
  <conditionalFormatting sqref="R49 AG49">
    <cfRule type="cellIs" dxfId="2453" priority="40" operator="lessThan">
      <formula>0.8</formula>
    </cfRule>
  </conditionalFormatting>
  <conditionalFormatting sqref="AG49">
    <cfRule type="cellIs" dxfId="2452" priority="38" operator="lessThan">
      <formula>0.8</formula>
    </cfRule>
  </conditionalFormatting>
  <conditionalFormatting sqref="O59">
    <cfRule type="cellIs" dxfId="2451" priority="30" operator="greaterThan">
      <formula>0</formula>
    </cfRule>
  </conditionalFormatting>
  <conditionalFormatting sqref="P59">
    <cfRule type="cellIs" dxfId="2450" priority="33" operator="lessThan">
      <formula>0</formula>
    </cfRule>
  </conditionalFormatting>
  <conditionalFormatting sqref="Q59">
    <cfRule type="cellIs" dxfId="2449" priority="31" operator="greaterThan">
      <formula>1</formula>
    </cfRule>
    <cfRule type="cellIs" dxfId="2448" priority="32" operator="lessThan">
      <formula>0.8</formula>
    </cfRule>
  </conditionalFormatting>
  <conditionalFormatting sqref="AG59 R59">
    <cfRule type="cellIs" dxfId="2447" priority="34" operator="lessThan">
      <formula>0.8</formula>
    </cfRule>
  </conditionalFormatting>
  <conditionalFormatting sqref="O50">
    <cfRule type="cellIs" dxfId="2446" priority="24" operator="greaterThan">
      <formula>0</formula>
    </cfRule>
  </conditionalFormatting>
  <conditionalFormatting sqref="P50">
    <cfRule type="cellIs" dxfId="2445" priority="28" operator="lessThan">
      <formula>0</formula>
    </cfRule>
  </conditionalFormatting>
  <conditionalFormatting sqref="Q50">
    <cfRule type="cellIs" dxfId="2444" priority="25" operator="greaterThan">
      <formula>1</formula>
    </cfRule>
    <cfRule type="cellIs" dxfId="2443" priority="26" operator="lessThan">
      <formula>0.8</formula>
    </cfRule>
  </conditionalFormatting>
  <conditionalFormatting sqref="R50 AG50">
    <cfRule type="cellIs" dxfId="2442" priority="29" operator="lessThan">
      <formula>0.8</formula>
    </cfRule>
  </conditionalFormatting>
  <conditionalFormatting sqref="AG50">
    <cfRule type="cellIs" dxfId="2441" priority="27" operator="lessThan">
      <formula>0.8</formula>
    </cfRule>
  </conditionalFormatting>
  <conditionalFormatting sqref="O63">
    <cfRule type="cellIs" dxfId="2440" priority="19" operator="greaterThan">
      <formula>0</formula>
    </cfRule>
  </conditionalFormatting>
  <conditionalFormatting sqref="P63 AE63">
    <cfRule type="cellIs" dxfId="2439" priority="22" operator="lessThan">
      <formula>0</formula>
    </cfRule>
  </conditionalFormatting>
  <conditionalFormatting sqref="Q63 AF63">
    <cfRule type="cellIs" dxfId="2438" priority="20" operator="greaterThan">
      <formula>1</formula>
    </cfRule>
    <cfRule type="cellIs" dxfId="2437" priority="21" operator="lessThan">
      <formula>0.8</formula>
    </cfRule>
  </conditionalFormatting>
  <conditionalFormatting sqref="R63 AG63">
    <cfRule type="cellIs" dxfId="2436" priority="23" operator="lessThan">
      <formula>0.8</formula>
    </cfRule>
  </conditionalFormatting>
  <conditionalFormatting sqref="O20">
    <cfRule type="cellIs" dxfId="2435" priority="14" operator="greaterThan">
      <formula>0</formula>
    </cfRule>
  </conditionalFormatting>
  <conditionalFormatting sqref="P20">
    <cfRule type="cellIs" dxfId="2434" priority="17" operator="lessThan">
      <formula>0</formula>
    </cfRule>
  </conditionalFormatting>
  <conditionalFormatting sqref="Q20">
    <cfRule type="cellIs" dxfId="2433" priority="15" operator="greaterThan">
      <formula>1</formula>
    </cfRule>
    <cfRule type="cellIs" dxfId="2432" priority="16" operator="lessThan">
      <formula>0.8</formula>
    </cfRule>
  </conditionalFormatting>
  <conditionalFormatting sqref="AG20 R20">
    <cfRule type="cellIs" dxfId="2431" priority="18" operator="lessThan">
      <formula>0.8</formula>
    </cfRule>
  </conditionalFormatting>
  <conditionalFormatting sqref="P10">
    <cfRule type="cellIs" dxfId="2430" priority="13" operator="lessThan">
      <formula>0</formula>
    </cfRule>
  </conditionalFormatting>
  <conditionalFormatting sqref="P21">
    <cfRule type="cellIs" dxfId="2429" priority="12" operator="lessThan">
      <formula>0</formula>
    </cfRule>
  </conditionalFormatting>
  <conditionalFormatting sqref="P28">
    <cfRule type="cellIs" dxfId="2428" priority="11" operator="lessThan">
      <formula>0</formula>
    </cfRule>
  </conditionalFormatting>
  <conditionalFormatting sqref="P34">
    <cfRule type="cellIs" dxfId="2427" priority="10" operator="lessThan">
      <formula>0</formula>
    </cfRule>
  </conditionalFormatting>
  <conditionalFormatting sqref="P51">
    <cfRule type="cellIs" dxfId="2426" priority="9" operator="lessThan">
      <formula>0</formula>
    </cfRule>
  </conditionalFormatting>
  <conditionalFormatting sqref="P61">
    <cfRule type="cellIs" dxfId="2425" priority="8" operator="lessThan">
      <formula>0</formula>
    </cfRule>
  </conditionalFormatting>
  <conditionalFormatting sqref="P67">
    <cfRule type="cellIs" dxfId="2424" priority="7" operator="lessThan">
      <formula>0</formula>
    </cfRule>
  </conditionalFormatting>
  <conditionalFormatting sqref="P73">
    <cfRule type="cellIs" dxfId="2423" priority="6" operator="lessThan">
      <formula>0</formula>
    </cfRule>
  </conditionalFormatting>
  <conditionalFormatting sqref="O60">
    <cfRule type="cellIs" dxfId="2422" priority="1" operator="greaterThan">
      <formula>0</formula>
    </cfRule>
  </conditionalFormatting>
  <conditionalFormatting sqref="P60">
    <cfRule type="cellIs" dxfId="2421" priority="4" operator="lessThan">
      <formula>0</formula>
    </cfRule>
  </conditionalFormatting>
  <conditionalFormatting sqref="Q60">
    <cfRule type="cellIs" dxfId="2420" priority="2" operator="greaterThan">
      <formula>1</formula>
    </cfRule>
    <cfRule type="cellIs" dxfId="2419" priority="3" operator="lessThan">
      <formula>0.8</formula>
    </cfRule>
  </conditionalFormatting>
  <conditionalFormatting sqref="AG60 R60">
    <cfRule type="cellIs" dxfId="2418" priority="5" operator="lessThan">
      <formula>0.8</formula>
    </cfRule>
  </conditionalFormatting>
  <dataValidations count="1">
    <dataValidation type="list" allowBlank="1" showInputMessage="1" showErrorMessage="1" sqref="AB10 AA5:AB9 AB66 AA10:AA66 AB12:AB62 AA67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13" sqref="C13:D13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2449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2450</v>
      </c>
      <c r="C3" s="478" t="str">
        <f>TEXT('0129 4度C'!A2,"yyyy.mm.ddaaaa")</f>
        <v>2026.01.29星期四</v>
      </c>
      <c r="D3" s="479"/>
      <c r="E3" s="56" t="s">
        <v>2451</v>
      </c>
      <c r="F3" s="480">
        <f>'0129 4度C'!D1</f>
        <v>142095</v>
      </c>
      <c r="G3" s="481"/>
      <c r="H3" s="56" t="s">
        <v>2452</v>
      </c>
      <c r="I3" s="482">
        <f>'0129 4度C'!F1</f>
        <v>4855613.620000001</v>
      </c>
      <c r="J3" s="483"/>
      <c r="K3" s="57"/>
      <c r="L3" s="58"/>
      <c r="M3" s="59"/>
      <c r="N3" s="59"/>
    </row>
    <row r="4" spans="2:17" ht="28.5" customHeight="1">
      <c r="B4" s="484" t="s">
        <v>2453</v>
      </c>
      <c r="C4" s="470" t="s">
        <v>2454</v>
      </c>
      <c r="D4" s="471"/>
      <c r="E4" s="487" t="s">
        <v>2455</v>
      </c>
      <c r="F4" s="488"/>
      <c r="G4" s="487" t="s">
        <v>2456</v>
      </c>
      <c r="H4" s="488"/>
      <c r="I4" s="487" t="s">
        <v>2457</v>
      </c>
      <c r="J4" s="488"/>
      <c r="K4" s="468" t="s">
        <v>2458</v>
      </c>
      <c r="L4" s="469"/>
      <c r="M4" s="469" t="s">
        <v>2459</v>
      </c>
      <c r="N4" s="469"/>
    </row>
    <row r="5" spans="2:17" ht="28.5" customHeight="1">
      <c r="B5" s="485"/>
      <c r="C5" s="470" t="s">
        <v>2460</v>
      </c>
      <c r="D5" s="471"/>
      <c r="E5" s="470" t="s">
        <v>2461</v>
      </c>
      <c r="F5" s="471"/>
      <c r="G5" s="472" t="s">
        <v>2462</v>
      </c>
      <c r="H5" s="473"/>
      <c r="I5" s="474" t="s">
        <v>2463</v>
      </c>
      <c r="J5" s="475"/>
      <c r="K5" s="60" t="s">
        <v>2464</v>
      </c>
      <c r="L5" s="61" t="s">
        <v>2465</v>
      </c>
      <c r="M5" s="60" t="s">
        <v>2466</v>
      </c>
      <c r="N5" s="61" t="s">
        <v>2467</v>
      </c>
    </row>
    <row r="6" spans="2:17" ht="28.5" customHeight="1">
      <c r="B6" s="485"/>
      <c r="C6" s="470" t="s">
        <v>144</v>
      </c>
      <c r="D6" s="471"/>
      <c r="E6" s="462">
        <f>AVERAGE(D13:M13)</f>
        <v>143.64366529417006</v>
      </c>
      <c r="F6" s="463">
        <f>AVERAGE(D31:O31,D13:J13)</f>
        <v>145.91424741861269</v>
      </c>
      <c r="G6" s="464">
        <f>AVERAGE(D13:J13)</f>
        <v>145.91424741861269</v>
      </c>
      <c r="H6" s="465"/>
      <c r="I6" s="464">
        <f>AVERAGE(K13:M13)</f>
        <v>138.3456403371373</v>
      </c>
      <c r="J6" s="465"/>
      <c r="K6" s="466">
        <f>'0129 4度C'!Y2</f>
        <v>0</v>
      </c>
      <c r="L6" s="451">
        <f>'0129 4度C'!Z2</f>
        <v>0</v>
      </c>
      <c r="M6" s="467">
        <f>'0129 4度C'!AC2</f>
        <v>33</v>
      </c>
      <c r="N6" s="451">
        <f>'0129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137.60153181088418</v>
      </c>
      <c r="F7" s="455">
        <f>AVERAGE(D32:O32,D14:J14)</f>
        <v>139.79505379684591</v>
      </c>
      <c r="G7" s="456">
        <f>AVERAGE(D14:J14)</f>
        <v>139.79505379684591</v>
      </c>
      <c r="H7" s="457"/>
      <c r="I7" s="456">
        <f>AVERAGE(K14:M14)</f>
        <v>132.48331384364019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0.95661007730577174</v>
      </c>
      <c r="F8" s="459">
        <f>AVERAGE(D15:J15,D33:O33)</f>
        <v>0.95619422363301276</v>
      </c>
      <c r="G8" s="460">
        <f>AVERAGE(D15:J15)</f>
        <v>0.95619422363301276</v>
      </c>
      <c r="H8" s="461"/>
      <c r="I8" s="460">
        <f>AVERAGE(K15:M15)</f>
        <v>0.95758040254220933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2468</v>
      </c>
      <c r="N9" s="59"/>
      <c r="O9" s="59"/>
      <c r="P9" s="59"/>
      <c r="Q9" s="59"/>
    </row>
    <row r="10" spans="2:17" ht="30" customHeight="1">
      <c r="B10" s="434" t="s">
        <v>2469</v>
      </c>
      <c r="C10" s="435"/>
      <c r="D10" s="436" t="s">
        <v>2470</v>
      </c>
      <c r="E10" s="437"/>
      <c r="F10" s="437"/>
      <c r="G10" s="437"/>
      <c r="H10" s="437"/>
      <c r="I10" s="437"/>
      <c r="J10" s="438"/>
      <c r="K10" s="439" t="s">
        <v>2471</v>
      </c>
      <c r="L10" s="440"/>
      <c r="M10" s="441"/>
      <c r="P10" s="65"/>
      <c r="Q10" s="65"/>
    </row>
    <row r="11" spans="2:17" ht="17.25" customHeight="1">
      <c r="B11" s="442" t="s">
        <v>2472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2473</v>
      </c>
      <c r="C13" s="72" t="s">
        <v>2474</v>
      </c>
      <c r="D13" s="73">
        <f>SUMIFS('0129 4度C'!$K:$K,'0129 4度C'!$A:$A,"新豐6線",'0129 4度C'!$B:$B,"平均")</f>
        <v>113.63636363636363</v>
      </c>
      <c r="E13" s="74">
        <f>SUMIFS('0129 4度C'!$K:$K,'0129 4度C'!$A:$A,"新豐2線",'0129 4度C'!$B:$B,"平均")</f>
        <v>83.333333333333329</v>
      </c>
      <c r="F13" s="75">
        <f>SUMIFS('0129 4度C'!$K:$K,'0129 4度C'!$A:$A,"新豐5線",'0129 4度C'!$B:$B,"平均")</f>
        <v>109.24369747899159</v>
      </c>
      <c r="G13" s="75">
        <f>SUMIFS('0129 4度C'!$K:$K,'0129 4度C'!$A:$A,"新豐7線",'0129 4度C'!$B:$B,"平均")</f>
        <v>122.3404255319149</v>
      </c>
      <c r="H13" s="75">
        <f>SUMIFS('0129 4度C'!$K:$K,'0129 4度C'!$A:$A,"新豐3線",'0129 4度C'!$B:$B,"平均")</f>
        <v>300</v>
      </c>
      <c r="I13" s="75">
        <f>SUMIFS('0129 4度C'!$K:$K,'0129 4度C'!$A:$A,"新豐1線",'0129 4度C'!$B:$B,"平均")</f>
        <v>104.16666666666666</v>
      </c>
      <c r="J13" s="76">
        <f>SUMIFS('0129 4度C'!$K:$K,'0129 4度C'!$A:$A,"新豐10線",'0129 4度C'!$B:$B,"平均")</f>
        <v>188.67924528301887</v>
      </c>
      <c r="K13" s="77">
        <f>SUMIFS('0129 4度C'!$K:$K,'0129 4度C'!$A:$A,"新豐8線",'0129 4度C'!$B:$B,"平均")</f>
        <v>132.11009174311926</v>
      </c>
      <c r="L13" s="78">
        <f>SUMIFS('0129 4度C'!$K:$K,'0129 4度C'!$A:$A,"新豐9線",'0129 4度C'!$B:$B,"平均")</f>
        <v>136.58536585365852</v>
      </c>
      <c r="M13" s="76">
        <f>SUMIFS('0129 4度C'!$K:$K,'0129 4度C'!$A:$A,"新豐4線",'0129 4度C'!$B:$B,"平均")</f>
        <v>146.34146341463415</v>
      </c>
    </row>
    <row r="14" spans="2:17" ht="39.6" customHeight="1">
      <c r="B14" s="447"/>
      <c r="C14" s="79" t="s">
        <v>2475</v>
      </c>
      <c r="D14" s="80">
        <f>SUMIFS('0129 4度C'!$N:$N,'0129 4度C'!$A:$A,"新豐6線",'0129 4度C'!$B:$B,"平均")</f>
        <v>109.65570258230139</v>
      </c>
      <c r="E14" s="81">
        <f>SUMIFS('0129 4度C'!$N:$N,'0129 4度C'!$A:$A,"新豐2線",'0129 4度C'!$B:$B,"平均")</f>
        <v>79.417690417690409</v>
      </c>
      <c r="F14" s="81">
        <f>SUMIFS('0129 4度C'!$N:$N,'0129 4度C'!$A:$A,"新豐5線",'0129 4度C'!$B:$B,"平均")</f>
        <v>105.28088199871982</v>
      </c>
      <c r="G14" s="81">
        <f>SUMIFS('0129 4度C'!$N:$N,'0129 4度C'!$A:$A,"新豐7線",'0129 4度C'!$B:$B,"平均")</f>
        <v>117.49972281164568</v>
      </c>
      <c r="H14" s="81">
        <f>SUMIFS('0129 4度C'!$N:$N,'0129 4度C'!$A:$A,"新豐3線",'0129 4度C'!$B:$B,"平均")</f>
        <v>288.3249042179844</v>
      </c>
      <c r="I14" s="81">
        <f>SUMIFS('0129 4度C'!$N:$N,'0129 4度C'!$A:$A,"新豐1線",'0129 4度C'!$B:$B,"平均")</f>
        <v>96.439129039332684</v>
      </c>
      <c r="J14" s="82">
        <f>SUMIFS('0129 4度C'!$N:$N,'0129 4度C'!$A:$A,"新豐10線",'0129 4度C'!$B:$B,"平均")</f>
        <v>181.94734551024678</v>
      </c>
      <c r="K14" s="83">
        <f>SUMIFS('0129 4度C'!$N:$N,'0129 4度C'!$A:$A,"新豐8線",'0129 4度C'!$B:$B,"平均")</f>
        <v>126.30936404197381</v>
      </c>
      <c r="L14" s="84">
        <f>SUMIFS('0129 4度C'!$N:$N,'0129 4度C'!$A:$A,"新豐9線",'0129 4度C'!$B:$B,"平均")</f>
        <v>130.82599980389259</v>
      </c>
      <c r="M14" s="82">
        <f>SUMIFS('0129 4度C'!$N:$N,'0129 4度C'!$A:$A,"新豐4線",'0129 4度C'!$B:$B,"平均")</f>
        <v>140.31457768505422</v>
      </c>
    </row>
    <row r="15" spans="2:17" ht="40.15" customHeight="1">
      <c r="B15" s="448"/>
      <c r="C15" s="85" t="s">
        <v>2476</v>
      </c>
      <c r="D15" s="86">
        <f t="shared" ref="D15:M15" si="0">D14/D13</f>
        <v>0.96497018272425228</v>
      </c>
      <c r="E15" s="87">
        <f t="shared" si="0"/>
        <v>0.95301228501228497</v>
      </c>
      <c r="F15" s="87">
        <f t="shared" si="0"/>
        <v>0.96372499675751222</v>
      </c>
      <c r="G15" s="87">
        <f t="shared" si="0"/>
        <v>0.96043251689519071</v>
      </c>
      <c r="H15" s="87">
        <f t="shared" si="0"/>
        <v>0.961083014059948</v>
      </c>
      <c r="I15" s="87">
        <f t="shared" si="0"/>
        <v>0.92581563877759387</v>
      </c>
      <c r="J15" s="88">
        <f t="shared" si="0"/>
        <v>0.96432093120430784</v>
      </c>
      <c r="K15" s="86">
        <f t="shared" si="0"/>
        <v>0.95609171392882963</v>
      </c>
      <c r="L15" s="87">
        <f t="shared" si="0"/>
        <v>0.95783321284992795</v>
      </c>
      <c r="M15" s="88">
        <f t="shared" si="0"/>
        <v>0.95881628084787052</v>
      </c>
    </row>
    <row r="16" spans="2:17" ht="17.25" customHeight="1">
      <c r="B16" s="449" t="s">
        <v>2477</v>
      </c>
      <c r="C16" s="89" t="s">
        <v>2478</v>
      </c>
      <c r="D16" s="90">
        <f>VLOOKUP("新豐6線",'0129 4度C'!$A:$T,19,0)</f>
        <v>0.70833333333333337</v>
      </c>
      <c r="E16" s="91">
        <f>VLOOKUP("新豐2線",'0129 4度C'!$A:$T,19,0)</f>
        <v>0.20833333333333334</v>
      </c>
      <c r="F16" s="91">
        <f>VLOOKUP("新豐5線",'0129 4度C'!$A:$T,19,0)</f>
        <v>0.20833333333333334</v>
      </c>
      <c r="G16" s="91">
        <f>VLOOKUP("新豐7線",'0129 4度C'!$A:$T,19,0)</f>
        <v>0.20833333333333334</v>
      </c>
      <c r="H16" s="91">
        <f>VLOOKUP("新豐3線",'0129 4度C'!$A:$T,19,0)</f>
        <v>0.20833333333333334</v>
      </c>
      <c r="I16" s="91">
        <f>VLOOKUP("新豐1線",'0129 4度C'!$A:$T,19,0)</f>
        <v>0.20833333333333334</v>
      </c>
      <c r="J16" s="92">
        <f>VLOOKUP("新豐10線",'0129 4度C'!$A:$T,19,0)</f>
        <v>0.20833333333333334</v>
      </c>
      <c r="K16" s="93">
        <f>VLOOKUP("新豐8線",'0129 4度C'!$A:$T,19,0)</f>
        <v>0.125</v>
      </c>
      <c r="L16" s="94">
        <f>VLOOKUP("新豐9線",'0129 4度C'!$A:$T,19,0)</f>
        <v>0.125</v>
      </c>
      <c r="M16" s="95">
        <f>VLOOKUP("新豐4線",'0129 4度C'!$A:$T,19,0)</f>
        <v>0.125</v>
      </c>
    </row>
    <row r="17" spans="2:13" ht="17.25" customHeight="1">
      <c r="B17" s="450"/>
      <c r="C17" s="89" t="s">
        <v>2479</v>
      </c>
      <c r="D17" s="93">
        <f>LOOKUP(2,1/(('0129 4度C'!$A:$A="新豐6線")*('0129 4度C'!$T:$T&lt;&gt;"")),'0129 4度C'!$T:$T)</f>
        <v>0.83333333333333337</v>
      </c>
      <c r="E17" s="91">
        <f>LOOKUP(2,1/(('0129 4度C'!$A:$A="新豐2線")*('0129 4度C'!$T:$T&lt;&gt;"")),'0129 4度C'!$T:$T)</f>
        <v>0.4243055555555556</v>
      </c>
      <c r="F17" s="91">
        <f>LOOKUP(2,1/(('0129 4度C'!$A:$A="新豐5線")*('0129 4度C'!$T:$T&lt;&gt;"")),'0129 4度C'!$T:$T)</f>
        <v>0.91597222222222219</v>
      </c>
      <c r="G17" s="91">
        <f>LOOKUP(2,1/(('0129 4度C'!$A:$A="新豐7線")*('0129 4度C'!$T:$T&lt;&gt;"")),'0129 4度C'!$T:$T)</f>
        <v>0.82708333333333339</v>
      </c>
      <c r="H17" s="91">
        <f>LOOKUP(2,1/(('0129 4度C'!$A:$A="新豐3線")*('0129 4度C'!$T:$T&lt;&gt;"")),'0129 4度C'!$T:$T)</f>
        <v>0.6513888888888888</v>
      </c>
      <c r="I17" s="91">
        <f>LOOKUP(2,1/(('0129 4度C'!$A:$A="新豐1線")*('0129 4度C'!$T:$T&lt;&gt;"")),'0129 4度C'!$T:$T)</f>
        <v>0.84375</v>
      </c>
      <c r="J17" s="92">
        <f>LOOKUP(2,1/(('0129 4度C'!$A:$A="新豐10線")*('0129 4度C'!$T:$T&lt;&gt;"")),'0129 4度C'!$T:$T)</f>
        <v>0.44652777777777775</v>
      </c>
      <c r="K17" s="90">
        <f>LOOKUP(2,1/(('0129 4度C'!$A:$A="新豐8線")*('0129 4度C'!$T:$T&lt;&gt;"")),'0129 4度C'!$T:$T)</f>
        <v>0.5756944444444444</v>
      </c>
      <c r="L17" s="91">
        <f>LOOKUP(2,1/(('0129 4度C'!$A:$A="新豐9線")*('0129 4度C'!$T:$T&lt;&gt;"")),'0129 4度C'!$T:$T)</f>
        <v>0.60624999999999984</v>
      </c>
      <c r="M17" s="92">
        <f>LOOKUP(2,1/(('0129 4度C'!$A:$A="新豐4線")*('0129 4度C'!$T:$T&lt;&gt;"")),'0129 4度C'!$T:$T)</f>
        <v>0.51319444444444451</v>
      </c>
    </row>
    <row r="18" spans="2:13" ht="17.25" customHeight="1">
      <c r="B18" s="428" t="s">
        <v>2480</v>
      </c>
      <c r="C18" s="96" t="s">
        <v>2481</v>
      </c>
      <c r="D18" s="97">
        <f>SUMIFS('0129 4度C'!$Y:$Y,'0129 4度C'!$A:$A,"新豐6線",'0129 4度C'!$B:$B,"平均")</f>
        <v>0</v>
      </c>
      <c r="E18" s="98">
        <f>SUMIFS('0129 4度C'!$Y:$Y,'0129 4度C'!$A:$A,"新豐2線",'0129 4度C'!$B:$B,"平均")</f>
        <v>0</v>
      </c>
      <c r="F18" s="98">
        <f>SUMIFS('0129 4度C'!$Y:$Y,'0129 4度C'!$A:$A,"新豐5線",'0129 4度C'!$B:$B,"平均")</f>
        <v>0</v>
      </c>
      <c r="G18" s="98">
        <f>SUMIFS('0129 4度C'!$Y:$Y,'0129 4度C'!$A:$A,"新豐7線",'0129 4度C'!$B:$B,"平均")</f>
        <v>0</v>
      </c>
      <c r="H18" s="98">
        <f>SUMIFS('0129 4度C'!$Y:$Y,'0129 4度C'!$A:$A,"新豐3線",'0129 4度C'!$B:$B,"平均")</f>
        <v>0</v>
      </c>
      <c r="I18" s="98">
        <f>SUMIFS('0129 4度C'!$Y:$Y,'0129 4度C'!$A:$A,"新豐1線",'0129 4度C'!$B:$B,"平均")</f>
        <v>0</v>
      </c>
      <c r="J18" s="99">
        <f>SUMIFS('0129 4度C'!$Y:$Y,'0129 4度C'!$A:$A,"新豐10線",'0129 4度C'!$B:$B,"平均")</f>
        <v>0</v>
      </c>
      <c r="K18" s="100">
        <f>SUMIFS('0129 4度C'!$Y:$Y,'0129 4度C'!$A:$A,"新豐8線",'0129 4度C'!$B:$B,"平均")</f>
        <v>0</v>
      </c>
      <c r="L18" s="98">
        <f>SUMIFS('0129 4度C'!$Y:$Y,'0129 4度C'!$A:$A,"新豐9線",'0129 4度C'!$B:$B,"平均")</f>
        <v>0</v>
      </c>
      <c r="M18" s="99">
        <f>SUMIFS('0129 4度C'!$Y:$Y,'0129 4度C'!$A:$A,"新豐4線",'0129 4度C'!$B:$B,"平均")</f>
        <v>0</v>
      </c>
    </row>
    <row r="19" spans="2:13" ht="17.25" customHeight="1">
      <c r="B19" s="429"/>
      <c r="C19" s="96" t="s">
        <v>2482</v>
      </c>
      <c r="D19" s="97">
        <f>SUMIFS('0129 4度C'!$Z:$Z,'0129 4度C'!$A:$A,"新豐6線",'0129 4度C'!$B:$B,"平均")</f>
        <v>0</v>
      </c>
      <c r="E19" s="98">
        <f>SUMIFS('0129 4度C'!$Z:$Z,'0129 4度C'!$A:$A,"新豐2線",'0129 4度C'!$B:$B,"平均")</f>
        <v>0</v>
      </c>
      <c r="F19" s="98">
        <f>SUMIFS('0129 4度C'!$Z:$Z,'0129 4度C'!$A:$A,"新豐5線",'0129 4度C'!$B:$B,"平均")</f>
        <v>0</v>
      </c>
      <c r="G19" s="98">
        <f>SUMIFS('0129 4度C'!$Z:$Z,'0129 4度C'!$A:$A,"新豐7線",'0129 4度C'!$B:$B,"平均")</f>
        <v>0</v>
      </c>
      <c r="H19" s="98">
        <f>SUMIFS('0129 4度C'!$Z:$Z,'0129 4度C'!$A:$A,"新豐3線",'0129 4度C'!$B:$B,"平均")</f>
        <v>0</v>
      </c>
      <c r="I19" s="98">
        <f>SUMIFS('0129 4度C'!$Z:$Z,'0129 4度C'!$A:$A,"新豐1線",'0129 4度C'!$B:$B,"平均")</f>
        <v>0</v>
      </c>
      <c r="J19" s="99">
        <f>SUMIFS('0129 4度C'!$Z:$Z,'0129 4度C'!$A:$A,"新豐10線",'0129 4度C'!$B:$B,"平均")</f>
        <v>0</v>
      </c>
      <c r="K19" s="100">
        <f>SUMIFS('0129 4度C'!$Z:$Z,'0129 4度C'!$A:$A,"新豐8線",'0129 4度C'!$B:$B,"平均")</f>
        <v>0</v>
      </c>
      <c r="L19" s="98">
        <f>SUMIFS('0129 4度C'!$Z:$Z,'0129 4度C'!$A:$A,"新豐9線",'0129 4度C'!$B:$B,"平均")</f>
        <v>0</v>
      </c>
      <c r="M19" s="99">
        <f>SUMIFS('0129 4度C'!$Z:$Z,'0129 4度C'!$A:$A,"新豐4線",'0129 4度C'!$B:$B,"平均")</f>
        <v>0</v>
      </c>
    </row>
    <row r="20" spans="2:13" ht="17.25" customHeight="1">
      <c r="B20" s="428" t="s">
        <v>2483</v>
      </c>
      <c r="C20" s="96" t="s">
        <v>2481</v>
      </c>
      <c r="D20" s="97">
        <f>SUMIFS('0129 4度C'!$AC:$AC,'0129 4度C'!$A:$A,"新豐6線",'0129 4度C'!$B:$B,"平均")</f>
        <v>1</v>
      </c>
      <c r="E20" s="98">
        <f>SUMIFS('0129 4度C'!$AC:$AC,'0129 4度C'!$A:$A,"新豐2線",'0129 4度C'!$B:$B,"平均")</f>
        <v>2</v>
      </c>
      <c r="F20" s="98">
        <f>SUMIFS('0129 4度C'!$AC:$AC,'0129 4度C'!$A:$A,"新豐5線",'0129 4度C'!$B:$B,"平均")</f>
        <v>3</v>
      </c>
      <c r="G20" s="98">
        <f>SUMIFS('0129 4度C'!$AC:$AC,'0129 4度C'!$A:$A,"新豐7線",'0129 4度C'!$B:$B,"平均")</f>
        <v>3</v>
      </c>
      <c r="H20" s="98">
        <f>SUMIFS('0129 4度C'!$AC:$AC,'0129 4度C'!$A:$A,"新豐3線",'0129 4度C'!$B:$B,"平均")</f>
        <v>0</v>
      </c>
      <c r="I20" s="98">
        <f>SUMIFS('0129 4度C'!$AC:$AC,'0129 4度C'!$A:$A,"新豐1線",'0129 4度C'!$B:$B,"平均")</f>
        <v>4</v>
      </c>
      <c r="J20" s="99">
        <f>SUMIFS('0129 4度C'!$AC:$AC,'0129 4度C'!$A:$A,"新豐10線",'0129 4度C'!$B:$B,"平均")</f>
        <v>1</v>
      </c>
      <c r="K20" s="100">
        <f>SUMIFS('0129 4度C'!$AC:$AC,'0129 4度C'!$A:$A,"新豐8線",'0129 4度C'!$B:$B,"平均")</f>
        <v>6</v>
      </c>
      <c r="L20" s="98">
        <f>SUMIFS('0129 4度C'!$AC:$AC,'0129 4度C'!$A:$A,"新豐9線",'0129 4度C'!$B:$B,"平均")</f>
        <v>7</v>
      </c>
      <c r="M20" s="99">
        <f>SUMIFS('0129 4度C'!$AC:$AC,'0129 4度C'!$A:$A,"新豐4線",'0129 4度C'!$B:$B,"平均")</f>
        <v>6</v>
      </c>
    </row>
    <row r="21" spans="2:13" ht="17.25" customHeight="1">
      <c r="B21" s="429"/>
      <c r="C21" s="96" t="s">
        <v>2484</v>
      </c>
      <c r="D21" s="97">
        <f>SUMIFS('0129 4度C'!$AD:$AD,'0129 4度C'!$A:$A,"新豐6線",'0129 4度C'!$B:$B,"平均")</f>
        <v>0</v>
      </c>
      <c r="E21" s="98">
        <f>SUMIFS('0129 4度C'!$AD:$AD,'0129 4度C'!$A:$A,"新豐2線",'0129 4度C'!$B:$B,"平均")</f>
        <v>0</v>
      </c>
      <c r="F21" s="98">
        <f>SUMIFS('0129 4度C'!$AD:$AD,'0129 4度C'!$A:$A,"新豐5線",'0129 4度C'!$B:$B,"平均")</f>
        <v>0</v>
      </c>
      <c r="G21" s="98">
        <f>SUMIFS('0129 4度C'!$AD:$AD,'0129 4度C'!$A:$A,"新豐7線",'0129 4度C'!$B:$B,"平均")</f>
        <v>0</v>
      </c>
      <c r="H21" s="98">
        <f>SUMIFS('0129 4度C'!$AD:$AD,'0129 4度C'!$A:$A,"新豐3線",'0129 4度C'!$B:$B,"平均")</f>
        <v>0</v>
      </c>
      <c r="I21" s="98">
        <f>SUMIFS('0129 4度C'!$AD:$AD,'0129 4度C'!$A:$A,"新豐1線",'0129 4度C'!$B:$B,"平均")</f>
        <v>0</v>
      </c>
      <c r="J21" s="99">
        <f>SUMIFS('0129 4度C'!$AD:$AD,'0129 4度C'!$A:$A,"新豐10線",'0129 4度C'!$B:$B,"平均")</f>
        <v>0</v>
      </c>
      <c r="K21" s="100">
        <f>SUMIFS('0129 4度C'!$AD:$AD,'0129 4度C'!$A:$A,"新豐8線",'0129 4度C'!$B:$B,"平均")</f>
        <v>0</v>
      </c>
      <c r="L21" s="98">
        <f>SUMIFS('0129 4度C'!$AD:$AD,'0129 4度C'!$A:$A,"新豐9線",'0129 4度C'!$B:$B,"平均")</f>
        <v>0</v>
      </c>
      <c r="M21" s="99">
        <f>SUMIFS('0129 4度C'!$AD:$AD,'0129 4度C'!$A:$A,"新豐4線",'0129 4度C'!$B:$B,"平均")</f>
        <v>0</v>
      </c>
    </row>
    <row r="22" spans="2:13" ht="17.25" customHeight="1">
      <c r="B22" s="430" t="s">
        <v>2400</v>
      </c>
      <c r="C22" s="431"/>
      <c r="D22" s="101">
        <f>SUMIFS('0129 4度C'!$I:$I,'0129 4度C'!$A:$A,"新豐6線",'0129 4度C'!$B:$B,"平均")</f>
        <v>17.600000000000001</v>
      </c>
      <c r="E22" s="102">
        <f>SUMIFS('0129 4度C'!$I:$I,'0129 4度C'!$A:$A,"新豐2線",'0129 4度C'!$B:$B,"平均")</f>
        <v>18</v>
      </c>
      <c r="F22" s="102">
        <f>SUMIFS('0129 4度C'!$I:$I,'0129 4度C'!$A:$A,"新豐5線",'0129 4度C'!$B:$B,"平均")</f>
        <v>17</v>
      </c>
      <c r="G22" s="102">
        <f>SUMIFS('0129 4度C'!$I:$I,'0129 4度C'!$A:$A,"新豐7線",'0129 4度C'!$B:$B,"平均")</f>
        <v>15.666666666666666</v>
      </c>
      <c r="H22" s="102">
        <f>SUMIFS('0129 4度C'!$I:$I,'0129 4度C'!$A:$A,"新豐3線",'0129 4度C'!$B:$B,"平均")</f>
        <v>10</v>
      </c>
      <c r="I22" s="102">
        <f>SUMIFS('0129 4度C'!$I:$I,'0129 4度C'!$A:$A,"新豐1線",'0129 4度C'!$B:$B,"平均")</f>
        <v>18.666666666666668</v>
      </c>
      <c r="J22" s="103">
        <f>SUMIFS('0129 4度C'!$I:$I,'0129 4度C'!$A:$A,"新豐10線",'0129 4度C'!$B:$B,"平均")</f>
        <v>10.6</v>
      </c>
      <c r="K22" s="101">
        <f>SUMIFS('0129 4度C'!$I:$I,'0129 4度C'!$A:$A,"新豐8線",'0129 4度C'!$B:$B,"平均")</f>
        <v>18.166666666666668</v>
      </c>
      <c r="L22" s="102">
        <f>SUMIFS('0129 4度C'!$I:$I,'0129 4度C'!$A:$A,"新豐9線",'0129 4度C'!$B:$B,"平均")</f>
        <v>17.571428571428573</v>
      </c>
      <c r="M22" s="103">
        <f>SUMIFS('0129 4度C'!$I:$I,'0129 4度C'!$A:$A,"新豐4線",'0129 4度C'!$B:$B,"平均")</f>
        <v>16.399999999999999</v>
      </c>
    </row>
    <row r="23" spans="2:13" ht="17.25" customHeight="1">
      <c r="B23" s="430" t="s">
        <v>2485</v>
      </c>
      <c r="C23" s="431"/>
      <c r="D23" s="104" t="s">
        <v>157</v>
      </c>
      <c r="E23" s="105" t="s">
        <v>158</v>
      </c>
      <c r="F23" s="105" t="s">
        <v>2486</v>
      </c>
      <c r="G23" s="105" t="s">
        <v>2487</v>
      </c>
      <c r="H23" s="105" t="s">
        <v>159</v>
      </c>
      <c r="I23" s="105" t="s">
        <v>157</v>
      </c>
      <c r="J23" s="106" t="s">
        <v>159</v>
      </c>
      <c r="K23" s="104" t="s">
        <v>2488</v>
      </c>
      <c r="L23" s="105" t="s">
        <v>2489</v>
      </c>
      <c r="M23" s="106" t="s">
        <v>2490</v>
      </c>
    </row>
    <row r="24" spans="2:13" ht="17.25" customHeight="1">
      <c r="B24" s="430" t="s">
        <v>2491</v>
      </c>
      <c r="C24" s="431"/>
      <c r="D24" s="104"/>
      <c r="E24" s="105"/>
      <c r="F24" s="105" t="s">
        <v>2492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2493</v>
      </c>
      <c r="C25" s="433"/>
      <c r="D25" s="107"/>
      <c r="E25" s="108" t="s">
        <v>2494</v>
      </c>
      <c r="F25" s="426" t="s">
        <v>2495</v>
      </c>
      <c r="G25" s="427"/>
      <c r="H25" s="108" t="s">
        <v>2496</v>
      </c>
      <c r="I25" s="108" t="s">
        <v>2497</v>
      </c>
      <c r="J25" s="109" t="s">
        <v>2496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41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topLeftCell="P1" zoomScale="80" zoomScaleNormal="80" workbookViewId="0">
      <pane ySplit="4" topLeftCell="A5" activePane="bottomLeft" state="frozen"/>
      <selection activeCell="J13" sqref="J13"/>
      <selection pane="bottomLeft" activeCell="AC18" sqref="AC1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SUM(F5:F76)</f>
        <v>142095</v>
      </c>
      <c r="E1" s="398" t="s">
        <v>258</v>
      </c>
      <c r="F1" s="1">
        <f>SUM(G5:G76)</f>
        <v>4855613.620000001</v>
      </c>
      <c r="G1" s="1" t="s">
        <v>3</v>
      </c>
      <c r="H1" s="5">
        <f>L10+L13+L54+L64+L21+L70+L35+L43+L28+L76</f>
        <v>159.67142857142858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268</v>
      </c>
      <c r="AF1" s="544"/>
      <c r="AG1" s="544"/>
    </row>
    <row r="2" spans="1:33" ht="26.25" customHeight="1">
      <c r="A2" s="49">
        <v>46051</v>
      </c>
      <c r="B2" s="50" t="s">
        <v>78</v>
      </c>
      <c r="C2" s="2" t="s">
        <v>13</v>
      </c>
      <c r="D2" s="10">
        <f>AVERAGE(N10,N13,N54,N64,N21,N70,N28,N35,N43,N76)</f>
        <v>137.60153181088418</v>
      </c>
      <c r="E2" s="11" t="s">
        <v>14</v>
      </c>
      <c r="F2" s="12">
        <f>F1/D1</f>
        <v>34.17160083043035</v>
      </c>
      <c r="G2" s="1" t="s">
        <v>15</v>
      </c>
      <c r="H2" s="410">
        <f>COUNT(H5:H76)</f>
        <v>6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SUM(Y10+Y13+Y21+Y28+Y35+Y43+Y54+Y64+Y70+Y76)</f>
        <v>0</v>
      </c>
      <c r="Z2" s="14">
        <f>SUM(Z10+Z13+Z21+Z28+Z35+Z43+Z54+Z64+Z70+Z76)</f>
        <v>0</v>
      </c>
      <c r="AA2" s="543"/>
      <c r="AB2" s="543"/>
      <c r="AC2" s="157">
        <v>33</v>
      </c>
      <c r="AD2" s="14">
        <f>SUM(AD10+AD13+AD21+AD28+AD35+AD43+AD54+AD64+AD70+AD76)</f>
        <v>0</v>
      </c>
      <c r="AE2" s="544"/>
      <c r="AF2" s="544"/>
      <c r="AG2" s="544"/>
    </row>
    <row r="3" spans="1:33" ht="40.5" customHeight="1">
      <c r="A3" s="491" t="s">
        <v>16</v>
      </c>
      <c r="B3" s="491" t="s">
        <v>272</v>
      </c>
      <c r="C3" s="491" t="s">
        <v>18</v>
      </c>
      <c r="D3" s="491"/>
      <c r="E3" s="540" t="s">
        <v>19</v>
      </c>
      <c r="F3" s="491" t="s">
        <v>275</v>
      </c>
      <c r="G3" s="540" t="s">
        <v>276</v>
      </c>
      <c r="H3" s="533" t="s">
        <v>22</v>
      </c>
      <c r="I3" s="531" t="s">
        <v>278</v>
      </c>
      <c r="J3" s="528" t="s">
        <v>24</v>
      </c>
      <c r="K3" s="538" t="s">
        <v>13</v>
      </c>
      <c r="L3" s="531" t="s">
        <v>278</v>
      </c>
      <c r="M3" s="528" t="s">
        <v>24</v>
      </c>
      <c r="N3" s="538" t="s">
        <v>13</v>
      </c>
      <c r="O3" s="531" t="s">
        <v>278</v>
      </c>
      <c r="P3" s="538" t="s">
        <v>13</v>
      </c>
      <c r="Q3" s="529" t="s">
        <v>25</v>
      </c>
      <c r="R3" s="507" t="s">
        <v>26</v>
      </c>
      <c r="S3" s="539" t="s">
        <v>27</v>
      </c>
      <c r="T3" s="539"/>
      <c r="U3" s="533" t="s">
        <v>28</v>
      </c>
      <c r="V3" s="533" t="s">
        <v>29</v>
      </c>
      <c r="W3" s="491" t="s">
        <v>30</v>
      </c>
      <c r="X3" s="491"/>
      <c r="Y3" s="534" t="s">
        <v>31</v>
      </c>
      <c r="Z3" s="495"/>
      <c r="AA3" s="535" t="s">
        <v>32</v>
      </c>
      <c r="AB3" s="536"/>
      <c r="AC3" s="534" t="s">
        <v>287</v>
      </c>
      <c r="AD3" s="495"/>
      <c r="AE3" s="528" t="s">
        <v>24</v>
      </c>
      <c r="AF3" s="529" t="s">
        <v>25</v>
      </c>
      <c r="AG3" s="507" t="s">
        <v>26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409" t="s">
        <v>37</v>
      </c>
      <c r="T4" s="409" t="s">
        <v>38</v>
      </c>
      <c r="U4" s="533"/>
      <c r="V4" s="533"/>
      <c r="W4" s="398" t="s">
        <v>39</v>
      </c>
      <c r="X4" s="398" t="s">
        <v>292</v>
      </c>
      <c r="Y4" s="400" t="s">
        <v>191</v>
      </c>
      <c r="Z4" s="400" t="s">
        <v>192</v>
      </c>
      <c r="AA4" s="537"/>
      <c r="AB4" s="536"/>
      <c r="AC4" s="400" t="s">
        <v>43</v>
      </c>
      <c r="AD4" s="400" t="s">
        <v>44</v>
      </c>
      <c r="AE4" s="528"/>
      <c r="AF4" s="529"/>
      <c r="AG4" s="507"/>
    </row>
    <row r="5" spans="1:33">
      <c r="A5" s="530" t="s">
        <v>45</v>
      </c>
      <c r="B5" s="42" t="s">
        <v>103</v>
      </c>
      <c r="C5" s="532" t="s">
        <v>120</v>
      </c>
      <c r="D5" s="532"/>
      <c r="E5" s="42">
        <v>50.67</v>
      </c>
      <c r="F5" s="409">
        <v>1038</v>
      </c>
      <c r="G5" s="398">
        <f t="shared" ref="G5:G9" si="0">E5*F5</f>
        <v>52595.46</v>
      </c>
      <c r="H5" s="411" t="s">
        <v>79</v>
      </c>
      <c r="I5" s="407">
        <v>17</v>
      </c>
      <c r="J5" s="37">
        <v>2000</v>
      </c>
      <c r="K5" s="17">
        <f t="shared" ref="K5:K68" si="1">J5/I5</f>
        <v>117.64705882352941</v>
      </c>
      <c r="L5" s="407">
        <v>17</v>
      </c>
      <c r="M5" s="18">
        <f t="shared" ref="M5:M9" si="2">F5/V5*60</f>
        <v>1946.2499999999975</v>
      </c>
      <c r="N5" s="17">
        <f t="shared" ref="N5:N68" si="3">M5/L5</f>
        <v>114.48529411764692</v>
      </c>
      <c r="O5" s="19">
        <f t="shared" ref="O5:O68" si="4">L5-I5</f>
        <v>0</v>
      </c>
      <c r="P5" s="20">
        <f t="shared" ref="P5:P68" si="5">N5-K5</f>
        <v>-3.16176470588249</v>
      </c>
      <c r="Q5" s="401">
        <f t="shared" ref="Q5:Q68" si="6">N5/K5</f>
        <v>0.9731249999999988</v>
      </c>
      <c r="R5" s="489">
        <f>Q10</f>
        <v>0.96497018272425228</v>
      </c>
      <c r="S5" s="40">
        <v>0.70833333333333337</v>
      </c>
      <c r="T5" s="40">
        <v>0.73055555555555562</v>
      </c>
      <c r="U5" s="398"/>
      <c r="V5" s="408">
        <f t="shared" ref="V5:V9" si="7">(T5-S5)*24*60</f>
        <v>32.000000000000043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3" si="8">M5-J5</f>
        <v>-53.750000000002501</v>
      </c>
      <c r="AF5" s="401">
        <f t="shared" ref="AF5:AF68" si="9">M5/J5</f>
        <v>0.9731249999999988</v>
      </c>
      <c r="AG5" s="489">
        <f>AF10</f>
        <v>0.96497018272425228</v>
      </c>
    </row>
    <row r="6" spans="1:33">
      <c r="A6" s="531" t="s">
        <v>45</v>
      </c>
      <c r="B6" s="42" t="s">
        <v>103</v>
      </c>
      <c r="C6" s="532" t="s">
        <v>121</v>
      </c>
      <c r="D6" s="532"/>
      <c r="E6" s="42">
        <v>54.09</v>
      </c>
      <c r="F6" s="409">
        <v>1016</v>
      </c>
      <c r="G6" s="398">
        <f t="shared" si="0"/>
        <v>54955.44</v>
      </c>
      <c r="H6" s="411" t="s">
        <v>79</v>
      </c>
      <c r="I6" s="407">
        <v>19</v>
      </c>
      <c r="J6" s="37">
        <v>2000</v>
      </c>
      <c r="K6" s="17">
        <f t="shared" si="1"/>
        <v>105.26315789473684</v>
      </c>
      <c r="L6" s="407">
        <v>19</v>
      </c>
      <c r="M6" s="18">
        <f t="shared" si="2"/>
        <v>1904.9999999999975</v>
      </c>
      <c r="N6" s="17">
        <f t="shared" si="3"/>
        <v>100.26315789473671</v>
      </c>
      <c r="O6" s="19">
        <f t="shared" si="4"/>
        <v>0</v>
      </c>
      <c r="P6" s="20">
        <f t="shared" si="5"/>
        <v>-5.0000000000001279</v>
      </c>
      <c r="Q6" s="401">
        <f t="shared" si="6"/>
        <v>0.95249999999999879</v>
      </c>
      <c r="R6" s="489"/>
      <c r="S6" s="40">
        <v>0.73402777777777783</v>
      </c>
      <c r="T6" s="40">
        <v>0.75625000000000009</v>
      </c>
      <c r="U6" s="398">
        <f t="shared" ref="U6:U9" si="10">IF(S6=TIME(17,0,0),"",(S6-T5)*24*60)</f>
        <v>4.9999999999999822</v>
      </c>
      <c r="V6" s="408">
        <f t="shared" si="7"/>
        <v>32.000000000000043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-95.000000000002501</v>
      </c>
      <c r="AF6" s="401">
        <f t="shared" si="9"/>
        <v>0.95249999999999879</v>
      </c>
      <c r="AG6" s="489"/>
    </row>
    <row r="7" spans="1:33">
      <c r="A7" s="531" t="s">
        <v>45</v>
      </c>
      <c r="B7" s="42" t="s">
        <v>103</v>
      </c>
      <c r="C7" s="523" t="s">
        <v>122</v>
      </c>
      <c r="D7" s="524"/>
      <c r="E7" s="42">
        <v>50.29</v>
      </c>
      <c r="F7" s="409">
        <v>643</v>
      </c>
      <c r="G7" s="398">
        <f t="shared" si="0"/>
        <v>32336.47</v>
      </c>
      <c r="H7" s="411" t="s">
        <v>79</v>
      </c>
      <c r="I7" s="407">
        <v>16</v>
      </c>
      <c r="J7" s="37">
        <v>2000</v>
      </c>
      <c r="K7" s="17">
        <f t="shared" si="1"/>
        <v>125</v>
      </c>
      <c r="L7" s="407">
        <v>16</v>
      </c>
      <c r="M7" s="18">
        <f t="shared" si="2"/>
        <v>1929.0000000000068</v>
      </c>
      <c r="N7" s="17">
        <f t="shared" si="3"/>
        <v>120.56250000000043</v>
      </c>
      <c r="O7" s="19">
        <f t="shared" si="4"/>
        <v>0</v>
      </c>
      <c r="P7" s="20">
        <f t="shared" si="5"/>
        <v>-4.4374999999995737</v>
      </c>
      <c r="Q7" s="401">
        <f t="shared" si="6"/>
        <v>0.96450000000000347</v>
      </c>
      <c r="R7" s="489"/>
      <c r="S7" s="40">
        <v>0.76180555555555562</v>
      </c>
      <c r="T7" s="40">
        <v>0.77569444444444446</v>
      </c>
      <c r="U7" s="398">
        <f t="shared" si="10"/>
        <v>7.9999999999999716</v>
      </c>
      <c r="V7" s="408">
        <f t="shared" si="7"/>
        <v>19.999999999999929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-70.999999999993179</v>
      </c>
      <c r="AF7" s="401">
        <f t="shared" si="9"/>
        <v>0.96450000000000347</v>
      </c>
      <c r="AG7" s="489"/>
    </row>
    <row r="8" spans="1:33">
      <c r="A8" s="531" t="s">
        <v>45</v>
      </c>
      <c r="B8" s="42" t="s">
        <v>103</v>
      </c>
      <c r="C8" s="523" t="s">
        <v>1708</v>
      </c>
      <c r="D8" s="524"/>
      <c r="E8" s="42">
        <v>57.3</v>
      </c>
      <c r="F8" s="409">
        <v>1371</v>
      </c>
      <c r="G8" s="398">
        <f t="shared" si="0"/>
        <v>78558.3</v>
      </c>
      <c r="H8" s="411" t="s">
        <v>79</v>
      </c>
      <c r="I8" s="407">
        <v>15</v>
      </c>
      <c r="J8" s="37">
        <v>2000</v>
      </c>
      <c r="K8" s="17">
        <f t="shared" si="1"/>
        <v>133.33333333333334</v>
      </c>
      <c r="L8" s="407">
        <v>15</v>
      </c>
      <c r="M8" s="18">
        <f t="shared" si="2"/>
        <v>1913.0232558139533</v>
      </c>
      <c r="N8" s="17">
        <f t="shared" si="3"/>
        <v>127.53488372093021</v>
      </c>
      <c r="O8" s="19">
        <f t="shared" si="4"/>
        <v>0</v>
      </c>
      <c r="P8" s="20">
        <f t="shared" si="5"/>
        <v>-5.7984496124031324</v>
      </c>
      <c r="Q8" s="401">
        <f t="shared" si="6"/>
        <v>0.95651162790697652</v>
      </c>
      <c r="R8" s="489"/>
      <c r="S8" s="40">
        <v>0.78055555555555556</v>
      </c>
      <c r="T8" s="40">
        <v>0.81041666666666667</v>
      </c>
      <c r="U8" s="398">
        <f t="shared" si="10"/>
        <v>6.9999999999999751</v>
      </c>
      <c r="V8" s="408">
        <f t="shared" si="7"/>
        <v>43.000000000000007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-86.976744186046744</v>
      </c>
      <c r="AF8" s="401">
        <f t="shared" si="9"/>
        <v>0.95651162790697664</v>
      </c>
      <c r="AG8" s="489"/>
    </row>
    <row r="9" spans="1:33">
      <c r="A9" s="531" t="s">
        <v>45</v>
      </c>
      <c r="B9" s="42" t="s">
        <v>103</v>
      </c>
      <c r="C9" s="523" t="s">
        <v>515</v>
      </c>
      <c r="D9" s="524"/>
      <c r="E9" s="42">
        <v>50.67</v>
      </c>
      <c r="F9" s="409">
        <v>913</v>
      </c>
      <c r="G9" s="398">
        <f t="shared" si="0"/>
        <v>46261.71</v>
      </c>
      <c r="H9" s="411" t="s">
        <v>79</v>
      </c>
      <c r="I9" s="407">
        <v>21</v>
      </c>
      <c r="J9" s="37">
        <v>2000</v>
      </c>
      <c r="K9" s="17">
        <f t="shared" si="1"/>
        <v>95.238095238095241</v>
      </c>
      <c r="L9" s="407">
        <v>21</v>
      </c>
      <c r="M9" s="18">
        <f t="shared" si="2"/>
        <v>1956.4285714285675</v>
      </c>
      <c r="N9" s="17">
        <f t="shared" si="3"/>
        <v>93.163265306122256</v>
      </c>
      <c r="O9" s="19">
        <f t="shared" si="4"/>
        <v>0</v>
      </c>
      <c r="P9" s="20">
        <f t="shared" si="5"/>
        <v>-2.0748299319729853</v>
      </c>
      <c r="Q9" s="401">
        <f t="shared" si="6"/>
        <v>0.9782142857142837</v>
      </c>
      <c r="R9" s="489"/>
      <c r="S9" s="40">
        <v>0.81388888888888888</v>
      </c>
      <c r="T9" s="40">
        <v>0.83333333333333337</v>
      </c>
      <c r="U9" s="398">
        <f t="shared" si="10"/>
        <v>4.9999999999999822</v>
      </c>
      <c r="V9" s="408">
        <f t="shared" si="7"/>
        <v>28.00000000000006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-43.571428571432534</v>
      </c>
      <c r="AF9" s="401">
        <f t="shared" si="9"/>
        <v>0.9782142857142837</v>
      </c>
      <c r="AG9" s="489"/>
    </row>
    <row r="10" spans="1:33">
      <c r="A10" s="531" t="s">
        <v>2429</v>
      </c>
      <c r="B10" s="42" t="s">
        <v>71</v>
      </c>
      <c r="C10" s="494"/>
      <c r="D10" s="494"/>
      <c r="E10" s="402"/>
      <c r="F10" s="44"/>
      <c r="G10" s="17"/>
      <c r="H10" s="409"/>
      <c r="I10" s="30">
        <v>17.600000000000001</v>
      </c>
      <c r="J10" s="37">
        <v>2000</v>
      </c>
      <c r="K10" s="17">
        <f t="shared" si="1"/>
        <v>113.63636363636363</v>
      </c>
      <c r="L10" s="30">
        <v>17.600000000000001</v>
      </c>
      <c r="M10" s="18">
        <f>AVERAGE(M5:M9)</f>
        <v>1929.9403654485045</v>
      </c>
      <c r="N10" s="17">
        <f t="shared" si="3"/>
        <v>109.65570258230139</v>
      </c>
      <c r="O10" s="19">
        <f t="shared" si="4"/>
        <v>0</v>
      </c>
      <c r="P10" s="20">
        <f t="shared" si="5"/>
        <v>-3.9806610540622387</v>
      </c>
      <c r="Q10" s="401">
        <f t="shared" si="6"/>
        <v>0.96497018272425228</v>
      </c>
      <c r="R10" s="489"/>
      <c r="S10" s="40"/>
      <c r="T10" s="40"/>
      <c r="U10" s="398"/>
      <c r="V10" s="408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-70.059634551495492</v>
      </c>
      <c r="AF10" s="401">
        <f t="shared" si="9"/>
        <v>0.96497018272425228</v>
      </c>
      <c r="AG10" s="489"/>
    </row>
    <row r="11" spans="1:33" ht="15.75" customHeight="1">
      <c r="A11" s="527" t="s">
        <v>50</v>
      </c>
      <c r="B11" s="42" t="s">
        <v>100</v>
      </c>
      <c r="C11" s="523" t="s">
        <v>124</v>
      </c>
      <c r="D11" s="524"/>
      <c r="E11" s="42">
        <v>39.619999999999997</v>
      </c>
      <c r="F11" s="409">
        <v>2882</v>
      </c>
      <c r="G11" s="398">
        <f t="shared" ref="G11:G12" si="11">E11*F11</f>
        <v>114184.84</v>
      </c>
      <c r="H11" s="411" t="s">
        <v>79</v>
      </c>
      <c r="I11" s="407">
        <v>19</v>
      </c>
      <c r="J11" s="37">
        <v>1500</v>
      </c>
      <c r="K11" s="17">
        <f t="shared" si="1"/>
        <v>78.94736842105263</v>
      </c>
      <c r="L11" s="407">
        <v>19</v>
      </c>
      <c r="M11" s="18">
        <f t="shared" ref="M11:M12" si="12">F11/V11*60</f>
        <v>1429.090909090909</v>
      </c>
      <c r="N11" s="17">
        <f t="shared" si="3"/>
        <v>75.215311004784681</v>
      </c>
      <c r="O11" s="19">
        <f t="shared" si="4"/>
        <v>0</v>
      </c>
      <c r="P11" s="20">
        <f t="shared" si="5"/>
        <v>-3.7320574162679492</v>
      </c>
      <c r="Q11" s="401">
        <f t="shared" si="6"/>
        <v>0.95272727272727264</v>
      </c>
      <c r="R11" s="489">
        <f>Q13</f>
        <v>0.95301228501228497</v>
      </c>
      <c r="S11" s="40">
        <v>0.20833333333333334</v>
      </c>
      <c r="T11" s="40">
        <v>0.29236111111111113</v>
      </c>
      <c r="U11" s="398"/>
      <c r="V11" s="408">
        <f t="shared" ref="V11:V12" si="13">(T11-S11)*24*60</f>
        <v>121</v>
      </c>
      <c r="W11" s="23"/>
      <c r="X11" s="23"/>
      <c r="Y11" s="23"/>
      <c r="Z11" s="23"/>
      <c r="AA11" s="491"/>
      <c r="AB11" s="491"/>
      <c r="AC11" s="154">
        <v>2</v>
      </c>
      <c r="AD11" s="25"/>
      <c r="AE11" s="19">
        <f t="shared" si="8"/>
        <v>-70.909090909090992</v>
      </c>
      <c r="AF11" s="401">
        <f t="shared" si="9"/>
        <v>0.95272727272727264</v>
      </c>
      <c r="AG11" s="489">
        <f>AF13</f>
        <v>0.95301228501228497</v>
      </c>
    </row>
    <row r="12" spans="1:33" ht="15.75" customHeight="1">
      <c r="A12" s="527" t="s">
        <v>50</v>
      </c>
      <c r="B12" s="42" t="s">
        <v>100</v>
      </c>
      <c r="C12" s="523" t="s">
        <v>125</v>
      </c>
      <c r="D12" s="524"/>
      <c r="E12" s="42">
        <v>39.799999999999997</v>
      </c>
      <c r="F12" s="409">
        <v>4409</v>
      </c>
      <c r="G12" s="398">
        <f t="shared" si="11"/>
        <v>175478.19999999998</v>
      </c>
      <c r="H12" s="411" t="s">
        <v>79</v>
      </c>
      <c r="I12" s="407">
        <v>17</v>
      </c>
      <c r="J12" s="37">
        <v>1500</v>
      </c>
      <c r="K12" s="17">
        <f t="shared" si="1"/>
        <v>88.235294117647058</v>
      </c>
      <c r="L12" s="407">
        <v>17</v>
      </c>
      <c r="M12" s="18">
        <f t="shared" si="12"/>
        <v>1429.9459459459456</v>
      </c>
      <c r="N12" s="17">
        <f t="shared" si="3"/>
        <v>84.114467408585028</v>
      </c>
      <c r="O12" s="19">
        <f t="shared" si="4"/>
        <v>0</v>
      </c>
      <c r="P12" s="20">
        <f t="shared" si="5"/>
        <v>-4.1208267090620296</v>
      </c>
      <c r="Q12" s="401">
        <f t="shared" si="6"/>
        <v>0.95329729729729695</v>
      </c>
      <c r="R12" s="489"/>
      <c r="S12" s="40">
        <v>0.29583333333333334</v>
      </c>
      <c r="T12" s="40">
        <v>0.4243055555555556</v>
      </c>
      <c r="U12" s="398">
        <f t="shared" ref="U12" si="14">IF(S12=TIME(17,0,0),"",(S12-T11)*24*60)</f>
        <v>4.9999999999999822</v>
      </c>
      <c r="V12" s="408">
        <f t="shared" si="13"/>
        <v>185.00000000000006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-70.054054054054404</v>
      </c>
      <c r="AF12" s="401">
        <f t="shared" si="9"/>
        <v>0.95329729729729706</v>
      </c>
      <c r="AG12" s="489"/>
    </row>
    <row r="13" spans="1:33" ht="16.5" customHeight="1">
      <c r="A13" s="527" t="s">
        <v>2363</v>
      </c>
      <c r="B13" s="42" t="s">
        <v>71</v>
      </c>
      <c r="C13" s="494"/>
      <c r="D13" s="494"/>
      <c r="E13" s="402"/>
      <c r="F13" s="37"/>
      <c r="G13" s="18"/>
      <c r="H13" s="409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1429.5184275184274</v>
      </c>
      <c r="N13" s="17">
        <f t="shared" si="3"/>
        <v>79.417690417690409</v>
      </c>
      <c r="O13" s="19">
        <f t="shared" si="4"/>
        <v>0</v>
      </c>
      <c r="P13" s="20">
        <f t="shared" si="5"/>
        <v>-3.9156429156429198</v>
      </c>
      <c r="Q13" s="401">
        <f t="shared" si="6"/>
        <v>0.95301228501228497</v>
      </c>
      <c r="R13" s="489"/>
      <c r="S13" s="40"/>
      <c r="T13" s="40"/>
      <c r="U13" s="17"/>
      <c r="V13" s="408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-70.481572481572584</v>
      </c>
      <c r="AF13" s="401">
        <f t="shared" si="9"/>
        <v>0.95301228501228497</v>
      </c>
      <c r="AG13" s="489"/>
    </row>
    <row r="14" spans="1:33" ht="16.5" customHeight="1">
      <c r="A14" s="525" t="s">
        <v>52</v>
      </c>
      <c r="B14" s="409" t="s">
        <v>126</v>
      </c>
      <c r="C14" s="515" t="s">
        <v>127</v>
      </c>
      <c r="D14" s="515"/>
      <c r="E14" s="42">
        <v>41</v>
      </c>
      <c r="F14" s="409">
        <v>2146</v>
      </c>
      <c r="G14" s="398">
        <f t="shared" ref="G14:G20" si="15">E14*F14</f>
        <v>87986</v>
      </c>
      <c r="H14" s="411" t="s">
        <v>79</v>
      </c>
      <c r="I14" s="407">
        <v>26</v>
      </c>
      <c r="J14" s="37">
        <v>1500</v>
      </c>
      <c r="K14" s="17">
        <f t="shared" si="1"/>
        <v>57.692307692307693</v>
      </c>
      <c r="L14" s="407">
        <v>26</v>
      </c>
      <c r="M14" s="18">
        <f t="shared" ref="M14:M20" si="16">F14/V14*60</f>
        <v>1430.6666666666661</v>
      </c>
      <c r="N14" s="17">
        <f t="shared" si="3"/>
        <v>55.025641025641001</v>
      </c>
      <c r="O14" s="19">
        <f t="shared" si="4"/>
        <v>0</v>
      </c>
      <c r="P14" s="20">
        <f t="shared" si="5"/>
        <v>-2.6666666666666927</v>
      </c>
      <c r="Q14" s="401">
        <f t="shared" si="6"/>
        <v>0.95377777777777728</v>
      </c>
      <c r="R14" s="489">
        <f>Q21</f>
        <v>0.96372499675751222</v>
      </c>
      <c r="S14" s="40">
        <v>0.20833333333333334</v>
      </c>
      <c r="T14" s="40">
        <v>0.27083333333333337</v>
      </c>
      <c r="U14" s="398"/>
      <c r="V14" s="408">
        <f t="shared" ref="V14:V20" si="17">(T14-S14)*24*60</f>
        <v>90.000000000000043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-69.33333333333394</v>
      </c>
      <c r="AF14" s="401">
        <f t="shared" si="9"/>
        <v>0.95377777777777739</v>
      </c>
      <c r="AG14" s="489">
        <f>AF21</f>
        <v>0.96372499675751222</v>
      </c>
    </row>
    <row r="15" spans="1:33" ht="16.5" customHeight="1">
      <c r="A15" s="526" t="s">
        <v>2498</v>
      </c>
      <c r="B15" s="409" t="s">
        <v>128</v>
      </c>
      <c r="C15" s="515" t="s">
        <v>129</v>
      </c>
      <c r="D15" s="515"/>
      <c r="E15" s="42">
        <v>72.400000000000006</v>
      </c>
      <c r="F15" s="409">
        <v>934</v>
      </c>
      <c r="G15" s="398">
        <f t="shared" si="15"/>
        <v>67621.600000000006</v>
      </c>
      <c r="H15" s="411" t="s">
        <v>79</v>
      </c>
      <c r="I15" s="407">
        <v>18</v>
      </c>
      <c r="J15" s="37">
        <v>1500</v>
      </c>
      <c r="K15" s="17">
        <f t="shared" si="1"/>
        <v>83.333333333333329</v>
      </c>
      <c r="L15" s="407">
        <v>18</v>
      </c>
      <c r="M15" s="18">
        <f t="shared" si="16"/>
        <v>1436.923076923076</v>
      </c>
      <c r="N15" s="17">
        <f t="shared" si="3"/>
        <v>79.829059829059773</v>
      </c>
      <c r="O15" s="19">
        <f t="shared" si="4"/>
        <v>0</v>
      </c>
      <c r="P15" s="20">
        <f t="shared" si="5"/>
        <v>-3.5042735042735558</v>
      </c>
      <c r="Q15" s="401">
        <f t="shared" si="6"/>
        <v>0.95794871794871728</v>
      </c>
      <c r="R15" s="489"/>
      <c r="S15" s="40">
        <v>0.27638888888888891</v>
      </c>
      <c r="T15" s="40">
        <v>0.30347222222222225</v>
      </c>
      <c r="U15" s="398">
        <f t="shared" ref="U15:U20" si="18">IF(S15=TIME(17,0,0),"",(S15-T14)*24*60)</f>
        <v>7.9999999999999716</v>
      </c>
      <c r="V15" s="408">
        <f t="shared" si="17"/>
        <v>39.000000000000021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-63.076923076924004</v>
      </c>
      <c r="AF15" s="401">
        <f t="shared" si="9"/>
        <v>0.95794871794871728</v>
      </c>
      <c r="AG15" s="489"/>
    </row>
    <row r="16" spans="1:33" ht="16.5" customHeight="1">
      <c r="A16" s="526" t="s">
        <v>2498</v>
      </c>
      <c r="B16" s="409" t="s">
        <v>103</v>
      </c>
      <c r="C16" s="515" t="s">
        <v>123</v>
      </c>
      <c r="D16" s="515"/>
      <c r="E16" s="42">
        <v>50.98</v>
      </c>
      <c r="F16" s="409">
        <v>1000</v>
      </c>
      <c r="G16" s="398">
        <f t="shared" si="15"/>
        <v>50980</v>
      </c>
      <c r="H16" s="411">
        <v>2</v>
      </c>
      <c r="I16" s="407">
        <v>16</v>
      </c>
      <c r="J16" s="37">
        <v>2000</v>
      </c>
      <c r="K16" s="17">
        <f t="shared" si="1"/>
        <v>125</v>
      </c>
      <c r="L16" s="407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401">
        <f t="shared" si="6"/>
        <v>0.96774193548386944</v>
      </c>
      <c r="R16" s="489"/>
      <c r="S16" s="40">
        <v>0.70833333333333337</v>
      </c>
      <c r="T16" s="40">
        <v>0.72986111111111118</v>
      </c>
      <c r="U16" s="398" t="str">
        <f t="shared" si="18"/>
        <v/>
      </c>
      <c r="V16" s="408">
        <f t="shared" si="17"/>
        <v>31.00000000000005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-64.516129032261006</v>
      </c>
      <c r="AF16" s="401">
        <f t="shared" si="9"/>
        <v>0.96774193548386944</v>
      </c>
      <c r="AG16" s="489"/>
    </row>
    <row r="17" spans="1:33" ht="16.5" customHeight="1">
      <c r="A17" s="526" t="s">
        <v>2498</v>
      </c>
      <c r="B17" s="409" t="s">
        <v>103</v>
      </c>
      <c r="C17" s="515" t="s">
        <v>132</v>
      </c>
      <c r="D17" s="515"/>
      <c r="E17" s="42">
        <v>50.92</v>
      </c>
      <c r="F17" s="409">
        <v>1963</v>
      </c>
      <c r="G17" s="398">
        <f t="shared" si="15"/>
        <v>99955.96</v>
      </c>
      <c r="H17" s="411" t="s">
        <v>79</v>
      </c>
      <c r="I17" s="407">
        <v>15</v>
      </c>
      <c r="J17" s="37">
        <v>2000</v>
      </c>
      <c r="K17" s="17">
        <f t="shared" si="1"/>
        <v>133.33333333333334</v>
      </c>
      <c r="L17" s="407">
        <v>15</v>
      </c>
      <c r="M17" s="18">
        <f t="shared" si="16"/>
        <v>1930.8196721311492</v>
      </c>
      <c r="N17" s="17">
        <f t="shared" si="3"/>
        <v>128.72131147540995</v>
      </c>
      <c r="O17" s="19">
        <f t="shared" si="4"/>
        <v>0</v>
      </c>
      <c r="P17" s="20">
        <f t="shared" si="5"/>
        <v>-4.6120218579233949</v>
      </c>
      <c r="Q17" s="401">
        <f t="shared" si="6"/>
        <v>0.96540983606557451</v>
      </c>
      <c r="R17" s="489"/>
      <c r="S17" s="40">
        <v>0.73472222222222228</v>
      </c>
      <c r="T17" s="40">
        <v>0.77708333333333335</v>
      </c>
      <c r="U17" s="398">
        <f t="shared" si="18"/>
        <v>6.9999999999999751</v>
      </c>
      <c r="V17" s="408">
        <f t="shared" si="17"/>
        <v>60.999999999999943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-69.180327868850782</v>
      </c>
      <c r="AF17" s="401">
        <f t="shared" si="9"/>
        <v>0.96540983606557462</v>
      </c>
      <c r="AG17" s="489"/>
    </row>
    <row r="18" spans="1:33" ht="16.5" customHeight="1">
      <c r="A18" s="526" t="s">
        <v>2498</v>
      </c>
      <c r="B18" s="409" t="s">
        <v>103</v>
      </c>
      <c r="C18" s="515" t="s">
        <v>133</v>
      </c>
      <c r="D18" s="515"/>
      <c r="E18" s="42">
        <v>50.67</v>
      </c>
      <c r="F18" s="409">
        <v>1360</v>
      </c>
      <c r="G18" s="398">
        <f t="shared" si="15"/>
        <v>68911.199999999997</v>
      </c>
      <c r="H18" s="411" t="s">
        <v>79</v>
      </c>
      <c r="I18" s="407">
        <v>15</v>
      </c>
      <c r="J18" s="37">
        <v>2000</v>
      </c>
      <c r="K18" s="17">
        <f t="shared" si="1"/>
        <v>133.33333333333334</v>
      </c>
      <c r="L18" s="407">
        <v>15</v>
      </c>
      <c r="M18" s="18">
        <f t="shared" si="16"/>
        <v>1942.8571428571424</v>
      </c>
      <c r="N18" s="17">
        <f t="shared" si="3"/>
        <v>129.52380952380949</v>
      </c>
      <c r="O18" s="19">
        <f t="shared" si="4"/>
        <v>0</v>
      </c>
      <c r="P18" s="20">
        <f t="shared" si="5"/>
        <v>-3.8095238095238528</v>
      </c>
      <c r="Q18" s="401">
        <f t="shared" si="6"/>
        <v>0.97142857142857109</v>
      </c>
      <c r="R18" s="489"/>
      <c r="S18" s="40">
        <v>0.78194444444444444</v>
      </c>
      <c r="T18" s="40">
        <v>0.81111111111111112</v>
      </c>
      <c r="U18" s="398">
        <f t="shared" si="18"/>
        <v>6.9999999999999751</v>
      </c>
      <c r="V18" s="408">
        <f t="shared" si="17"/>
        <v>42.000000000000014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-57.142857142857565</v>
      </c>
      <c r="AF18" s="401">
        <f t="shared" si="9"/>
        <v>0.9714285714285712</v>
      </c>
      <c r="AG18" s="489"/>
    </row>
    <row r="19" spans="1:33" ht="16.5" customHeight="1">
      <c r="A19" s="526" t="s">
        <v>2498</v>
      </c>
      <c r="B19" s="409" t="s">
        <v>103</v>
      </c>
      <c r="C19" s="521" t="s">
        <v>134</v>
      </c>
      <c r="D19" s="522"/>
      <c r="E19" s="42">
        <v>57.3</v>
      </c>
      <c r="F19" s="409">
        <v>1703</v>
      </c>
      <c r="G19" s="398">
        <f t="shared" si="15"/>
        <v>97581.9</v>
      </c>
      <c r="H19" s="411" t="s">
        <v>79</v>
      </c>
      <c r="I19" s="407">
        <v>13</v>
      </c>
      <c r="J19" s="37">
        <v>2000</v>
      </c>
      <c r="K19" s="17">
        <f t="shared" si="1"/>
        <v>153.84615384615384</v>
      </c>
      <c r="L19" s="407">
        <v>13</v>
      </c>
      <c r="M19" s="18">
        <f t="shared" si="16"/>
        <v>1927.9245283018877</v>
      </c>
      <c r="N19" s="17">
        <f t="shared" si="3"/>
        <v>148.3018867924529</v>
      </c>
      <c r="O19" s="19">
        <f t="shared" si="4"/>
        <v>0</v>
      </c>
      <c r="P19" s="20">
        <f t="shared" si="5"/>
        <v>-5.5442670537009349</v>
      </c>
      <c r="Q19" s="401">
        <f t="shared" si="6"/>
        <v>0.96396226415094388</v>
      </c>
      <c r="R19" s="489"/>
      <c r="S19" s="40">
        <v>0.81666666666666665</v>
      </c>
      <c r="T19" s="40">
        <v>0.85347222222222219</v>
      </c>
      <c r="U19" s="398">
        <f t="shared" si="18"/>
        <v>7.9999999999999716</v>
      </c>
      <c r="V19" s="408">
        <f t="shared" si="17"/>
        <v>52.999999999999972</v>
      </c>
      <c r="W19" s="23">
        <f>T19</f>
        <v>0.85347222222222219</v>
      </c>
      <c r="X19" s="23">
        <f>S20</f>
        <v>0.89374999999999993</v>
      </c>
      <c r="Y19" s="26"/>
      <c r="Z19" s="26"/>
      <c r="AA19" s="503"/>
      <c r="AB19" s="504"/>
      <c r="AC19" s="154"/>
      <c r="AD19" s="25"/>
      <c r="AE19" s="19">
        <f t="shared" si="8"/>
        <v>-72.075471698112324</v>
      </c>
      <c r="AF19" s="401">
        <f t="shared" si="9"/>
        <v>0.96396226415094388</v>
      </c>
      <c r="AG19" s="489"/>
    </row>
    <row r="20" spans="1:33" ht="16.5" customHeight="1">
      <c r="A20" s="526" t="s">
        <v>2499</v>
      </c>
      <c r="B20" s="409" t="s">
        <v>103</v>
      </c>
      <c r="C20" s="405" t="s">
        <v>123</v>
      </c>
      <c r="D20" s="406"/>
      <c r="E20" s="42">
        <v>50.98</v>
      </c>
      <c r="F20" s="409">
        <v>1026</v>
      </c>
      <c r="G20" s="398">
        <f t="shared" si="15"/>
        <v>52305.479999999996</v>
      </c>
      <c r="H20" s="411" t="s">
        <v>79</v>
      </c>
      <c r="I20" s="407">
        <v>16</v>
      </c>
      <c r="J20" s="37">
        <v>2000</v>
      </c>
      <c r="K20" s="17">
        <f t="shared" si="1"/>
        <v>125</v>
      </c>
      <c r="L20" s="407">
        <v>16</v>
      </c>
      <c r="M20" s="18">
        <f t="shared" si="16"/>
        <v>1923.7499999999975</v>
      </c>
      <c r="N20" s="17">
        <f t="shared" si="3"/>
        <v>120.23437499999984</v>
      </c>
      <c r="O20" s="19">
        <f t="shared" si="4"/>
        <v>0</v>
      </c>
      <c r="P20" s="20">
        <f t="shared" si="5"/>
        <v>-4.7656250000001563</v>
      </c>
      <c r="Q20" s="401">
        <f t="shared" si="6"/>
        <v>0.9618749999999987</v>
      </c>
      <c r="R20" s="489"/>
      <c r="S20" s="40">
        <v>0.89374999999999993</v>
      </c>
      <c r="T20" s="40">
        <v>0.91597222222222219</v>
      </c>
      <c r="U20" s="398">
        <f t="shared" si="18"/>
        <v>57.999999999999957</v>
      </c>
      <c r="V20" s="408">
        <f t="shared" si="17"/>
        <v>32.000000000000043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-76.250000000002501</v>
      </c>
      <c r="AF20" s="401">
        <f t="shared" si="9"/>
        <v>0.9618749999999987</v>
      </c>
      <c r="AG20" s="489"/>
    </row>
    <row r="21" spans="1:33" ht="16.5" customHeight="1">
      <c r="A21" s="526" t="s">
        <v>52</v>
      </c>
      <c r="B21" s="42" t="s">
        <v>71</v>
      </c>
      <c r="C21" s="494"/>
      <c r="D21" s="494"/>
      <c r="E21" s="402"/>
      <c r="F21" s="44"/>
      <c r="G21" s="17"/>
      <c r="H21" s="409"/>
      <c r="I21" s="30">
        <v>17</v>
      </c>
      <c r="J21" s="37">
        <v>1857.1428571428571</v>
      </c>
      <c r="K21" s="17">
        <f t="shared" si="1"/>
        <v>109.24369747899159</v>
      </c>
      <c r="L21" s="30">
        <v>17</v>
      </c>
      <c r="M21" s="18">
        <f>AVERAGE(M14:M20)</f>
        <v>1789.774993978237</v>
      </c>
      <c r="N21" s="17">
        <f t="shared" si="3"/>
        <v>105.28088199871982</v>
      </c>
      <c r="O21" s="19">
        <f t="shared" si="4"/>
        <v>0</v>
      </c>
      <c r="P21" s="20">
        <f t="shared" si="5"/>
        <v>-3.9628154802717717</v>
      </c>
      <c r="Q21" s="401">
        <f t="shared" si="6"/>
        <v>0.96372499675751222</v>
      </c>
      <c r="R21" s="489"/>
      <c r="S21" s="40"/>
      <c r="T21" s="40"/>
      <c r="U21" s="398"/>
      <c r="V21" s="408"/>
      <c r="W21" s="17"/>
      <c r="X21" s="17"/>
      <c r="Y21" s="31">
        <f>SUM(Y14:Y20)</f>
        <v>0</v>
      </c>
      <c r="Z21" s="31">
        <f>SUM(Z14:Z20)</f>
        <v>0</v>
      </c>
      <c r="AA21" s="495"/>
      <c r="AB21" s="495"/>
      <c r="AC21" s="31">
        <v>3</v>
      </c>
      <c r="AD21" s="31">
        <f>SUM(AD14:AD20)</f>
        <v>0</v>
      </c>
      <c r="AE21" s="19">
        <f t="shared" si="8"/>
        <v>-67.367863164620076</v>
      </c>
      <c r="AF21" s="401">
        <f t="shared" si="9"/>
        <v>0.96372499675751222</v>
      </c>
      <c r="AG21" s="489"/>
    </row>
    <row r="22" spans="1:33" ht="15.75" customHeight="1">
      <c r="A22" s="519" t="s">
        <v>2500</v>
      </c>
      <c r="B22" s="42" t="s">
        <v>126</v>
      </c>
      <c r="C22" s="515" t="s">
        <v>135</v>
      </c>
      <c r="D22" s="515"/>
      <c r="E22" s="42">
        <v>43.14</v>
      </c>
      <c r="F22" s="409">
        <v>1040</v>
      </c>
      <c r="G22" s="398">
        <f t="shared" ref="G22:G27" si="19">E22*F22</f>
        <v>44865.599999999999</v>
      </c>
      <c r="H22" s="411" t="s">
        <v>79</v>
      </c>
      <c r="I22" s="407">
        <v>17</v>
      </c>
      <c r="J22" s="37">
        <v>2000</v>
      </c>
      <c r="K22" s="17">
        <f t="shared" si="1"/>
        <v>117.64705882352941</v>
      </c>
      <c r="L22" s="407">
        <v>17</v>
      </c>
      <c r="M22" s="18">
        <f t="shared" ref="M22:M27" si="20">F22/V22*60</f>
        <v>1949.9999999999995</v>
      </c>
      <c r="N22" s="17">
        <f t="shared" si="3"/>
        <v>114.70588235294115</v>
      </c>
      <c r="O22" s="19">
        <f t="shared" si="4"/>
        <v>0</v>
      </c>
      <c r="P22" s="20">
        <f t="shared" si="5"/>
        <v>-2.9411764705882604</v>
      </c>
      <c r="Q22" s="401">
        <f t="shared" si="6"/>
        <v>0.97499999999999976</v>
      </c>
      <c r="R22" s="489">
        <f>Q28</f>
        <v>0.96043251689519071</v>
      </c>
      <c r="S22" s="40">
        <v>0.20833333333333334</v>
      </c>
      <c r="T22" s="40">
        <v>0.23055555555555557</v>
      </c>
      <c r="U22" s="398"/>
      <c r="V22" s="408">
        <f t="shared" ref="V22:V27" si="21">(T22-S22)*24*60</f>
        <v>32.000000000000007</v>
      </c>
      <c r="W22" s="28"/>
      <c r="X22" s="28"/>
      <c r="Y22" s="28"/>
      <c r="Z22" s="28"/>
      <c r="AA22" s="491"/>
      <c r="AB22" s="491"/>
      <c r="AC22" s="154">
        <v>3</v>
      </c>
      <c r="AD22" s="25"/>
      <c r="AE22" s="19">
        <f t="shared" si="8"/>
        <v>-50.000000000000455</v>
      </c>
      <c r="AF22" s="401">
        <f t="shared" si="9"/>
        <v>0.97499999999999976</v>
      </c>
      <c r="AG22" s="489">
        <f>AF28</f>
        <v>0.96043251689519071</v>
      </c>
    </row>
    <row r="23" spans="1:33" ht="15.75" customHeight="1">
      <c r="A23" s="520" t="s">
        <v>56</v>
      </c>
      <c r="B23" s="42" t="s">
        <v>103</v>
      </c>
      <c r="C23" s="515" t="s">
        <v>137</v>
      </c>
      <c r="D23" s="515"/>
      <c r="E23" s="42">
        <v>57.73</v>
      </c>
      <c r="F23" s="409">
        <v>2236</v>
      </c>
      <c r="G23" s="398">
        <f t="shared" si="19"/>
        <v>129084.28</v>
      </c>
      <c r="H23" s="411" t="s">
        <v>79</v>
      </c>
      <c r="I23" s="407">
        <v>14</v>
      </c>
      <c r="J23" s="37">
        <v>2000</v>
      </c>
      <c r="K23" s="17">
        <f t="shared" si="1"/>
        <v>142.85714285714286</v>
      </c>
      <c r="L23" s="407">
        <v>14</v>
      </c>
      <c r="M23" s="18">
        <f t="shared" si="20"/>
        <v>1916.5714285714278</v>
      </c>
      <c r="N23" s="17">
        <f t="shared" si="3"/>
        <v>136.89795918367341</v>
      </c>
      <c r="O23" s="19">
        <f t="shared" si="4"/>
        <v>0</v>
      </c>
      <c r="P23" s="20">
        <f t="shared" si="5"/>
        <v>-5.9591836734694539</v>
      </c>
      <c r="Q23" s="401">
        <f t="shared" si="6"/>
        <v>0.95828571428571385</v>
      </c>
      <c r="R23" s="489"/>
      <c r="S23" s="40">
        <v>0.23611111111111113</v>
      </c>
      <c r="T23" s="40">
        <v>0.28472222222222227</v>
      </c>
      <c r="U23" s="398">
        <f t="shared" ref="U23:U27" si="22">IF(S23=TIME(17,0,0),"",(S23-T22)*24*60)</f>
        <v>8.0000000000000107</v>
      </c>
      <c r="V23" s="408">
        <f t="shared" si="21"/>
        <v>70.000000000000028</v>
      </c>
      <c r="W23" s="23"/>
      <c r="X23" s="398"/>
      <c r="Y23" s="398"/>
      <c r="Z23" s="398"/>
      <c r="AA23" s="491"/>
      <c r="AB23" s="491"/>
      <c r="AC23" s="154"/>
      <c r="AD23" s="25"/>
      <c r="AE23" s="19">
        <f t="shared" si="8"/>
        <v>-83.428571428572241</v>
      </c>
      <c r="AF23" s="401">
        <f t="shared" si="9"/>
        <v>0.95828571428571385</v>
      </c>
      <c r="AG23" s="489"/>
    </row>
    <row r="24" spans="1:33" ht="15.75" customHeight="1">
      <c r="A24" s="520" t="s">
        <v>2500</v>
      </c>
      <c r="B24" s="42" t="s">
        <v>103</v>
      </c>
      <c r="C24" s="515" t="s">
        <v>138</v>
      </c>
      <c r="D24" s="515"/>
      <c r="E24" s="42">
        <v>53.68</v>
      </c>
      <c r="F24" s="409">
        <v>1433</v>
      </c>
      <c r="G24" s="398">
        <f t="shared" si="19"/>
        <v>76923.44</v>
      </c>
      <c r="H24" s="411" t="s">
        <v>79</v>
      </c>
      <c r="I24" s="407">
        <v>16</v>
      </c>
      <c r="J24" s="37">
        <v>2000</v>
      </c>
      <c r="K24" s="17">
        <f t="shared" si="1"/>
        <v>125</v>
      </c>
      <c r="L24" s="407">
        <v>16</v>
      </c>
      <c r="M24" s="18">
        <f t="shared" si="20"/>
        <v>1910.6666666666667</v>
      </c>
      <c r="N24" s="17">
        <f t="shared" si="3"/>
        <v>119.41666666666667</v>
      </c>
      <c r="O24" s="19">
        <f t="shared" si="4"/>
        <v>0</v>
      </c>
      <c r="P24" s="20">
        <f t="shared" si="5"/>
        <v>-5.5833333333333286</v>
      </c>
      <c r="Q24" s="401">
        <f t="shared" si="6"/>
        <v>0.95533333333333337</v>
      </c>
      <c r="R24" s="489"/>
      <c r="S24" s="40">
        <v>0.2902777777777778</v>
      </c>
      <c r="T24" s="40">
        <v>0.3215277777777778</v>
      </c>
      <c r="U24" s="398">
        <f t="shared" si="22"/>
        <v>7.9999999999999716</v>
      </c>
      <c r="V24" s="408">
        <f t="shared" si="21"/>
        <v>45</v>
      </c>
      <c r="W24" s="23"/>
      <c r="X24" s="398"/>
      <c r="Y24" s="398"/>
      <c r="Z24" s="398"/>
      <c r="AA24" s="491"/>
      <c r="AB24" s="491"/>
      <c r="AC24" s="154"/>
      <c r="AD24" s="25"/>
      <c r="AE24" s="19">
        <f t="shared" si="8"/>
        <v>-89.333333333333258</v>
      </c>
      <c r="AF24" s="401">
        <f t="shared" si="9"/>
        <v>0.95533333333333337</v>
      </c>
      <c r="AG24" s="489"/>
    </row>
    <row r="25" spans="1:33" ht="15.75" customHeight="1">
      <c r="A25" s="520" t="s">
        <v>2501</v>
      </c>
      <c r="B25" s="42" t="s">
        <v>103</v>
      </c>
      <c r="C25" s="515" t="s">
        <v>140</v>
      </c>
      <c r="D25" s="515"/>
      <c r="E25" s="42">
        <v>50.49</v>
      </c>
      <c r="F25" s="409">
        <v>1694</v>
      </c>
      <c r="G25" s="398">
        <f t="shared" si="19"/>
        <v>85530.06</v>
      </c>
      <c r="H25" s="411" t="s">
        <v>79</v>
      </c>
      <c r="I25" s="407">
        <v>15</v>
      </c>
      <c r="J25" s="37">
        <v>2000</v>
      </c>
      <c r="K25" s="17">
        <f t="shared" si="1"/>
        <v>133.33333333333334</v>
      </c>
      <c r="L25" s="407">
        <v>15</v>
      </c>
      <c r="M25" s="18">
        <f t="shared" si="20"/>
        <v>1917.7358490566048</v>
      </c>
      <c r="N25" s="17">
        <f t="shared" si="3"/>
        <v>127.84905660377366</v>
      </c>
      <c r="O25" s="19">
        <f t="shared" si="4"/>
        <v>0</v>
      </c>
      <c r="P25" s="20">
        <f t="shared" si="5"/>
        <v>-5.4842767295596815</v>
      </c>
      <c r="Q25" s="401">
        <f t="shared" si="6"/>
        <v>0.95886792452830238</v>
      </c>
      <c r="R25" s="489"/>
      <c r="S25" s="40">
        <v>0.70833333333333337</v>
      </c>
      <c r="T25" s="40">
        <v>0.74513888888888891</v>
      </c>
      <c r="U25" s="398" t="str">
        <f t="shared" si="22"/>
        <v/>
      </c>
      <c r="V25" s="408">
        <f t="shared" si="21"/>
        <v>52.999999999999972</v>
      </c>
      <c r="W25" s="23"/>
      <c r="X25" s="398"/>
      <c r="Y25" s="398"/>
      <c r="Z25" s="398"/>
      <c r="AA25" s="491"/>
      <c r="AB25" s="491"/>
      <c r="AC25" s="154"/>
      <c r="AD25" s="25"/>
      <c r="AE25" s="19">
        <f t="shared" si="8"/>
        <v>-82.26415094339518</v>
      </c>
      <c r="AF25" s="401">
        <f t="shared" si="9"/>
        <v>0.95886792452830238</v>
      </c>
      <c r="AG25" s="489"/>
    </row>
    <row r="26" spans="1:33" ht="15.75" customHeight="1">
      <c r="A26" s="520" t="s">
        <v>2502</v>
      </c>
      <c r="B26" s="42" t="s">
        <v>103</v>
      </c>
      <c r="C26" s="515" t="s">
        <v>516</v>
      </c>
      <c r="D26" s="515"/>
      <c r="E26" s="42">
        <v>50.67</v>
      </c>
      <c r="F26" s="409">
        <v>992</v>
      </c>
      <c r="G26" s="398">
        <f t="shared" si="19"/>
        <v>50264.639999999999</v>
      </c>
      <c r="H26" s="411" t="s">
        <v>79</v>
      </c>
      <c r="I26" s="407">
        <v>16</v>
      </c>
      <c r="J26" s="37">
        <v>2000</v>
      </c>
      <c r="K26" s="17">
        <f t="shared" si="1"/>
        <v>125</v>
      </c>
      <c r="L26" s="407">
        <v>16</v>
      </c>
      <c r="M26" s="18">
        <f t="shared" si="20"/>
        <v>1919.999999999997</v>
      </c>
      <c r="N26" s="17">
        <f t="shared" si="3"/>
        <v>119.99999999999982</v>
      </c>
      <c r="O26" s="19">
        <f t="shared" si="4"/>
        <v>0</v>
      </c>
      <c r="P26" s="20">
        <f t="shared" si="5"/>
        <v>-5.0000000000001847</v>
      </c>
      <c r="Q26" s="401">
        <f t="shared" si="6"/>
        <v>0.95999999999999852</v>
      </c>
      <c r="R26" s="489"/>
      <c r="S26" s="40">
        <v>0.75</v>
      </c>
      <c r="T26" s="40">
        <v>0.77152777777777781</v>
      </c>
      <c r="U26" s="398">
        <f t="shared" si="22"/>
        <v>6.9999999999999751</v>
      </c>
      <c r="V26" s="408">
        <f t="shared" si="21"/>
        <v>31.00000000000005</v>
      </c>
      <c r="W26" s="23"/>
      <c r="X26" s="398"/>
      <c r="Y26" s="398"/>
      <c r="Z26" s="398"/>
      <c r="AA26" s="491"/>
      <c r="AB26" s="491"/>
      <c r="AC26" s="154"/>
      <c r="AD26" s="25"/>
      <c r="AE26" s="19">
        <f t="shared" si="8"/>
        <v>-80.000000000002956</v>
      </c>
      <c r="AF26" s="401">
        <f t="shared" si="9"/>
        <v>0.95999999999999852</v>
      </c>
      <c r="AG26" s="489"/>
    </row>
    <row r="27" spans="1:33" ht="15.75" customHeight="1">
      <c r="A27" s="520" t="s">
        <v>56</v>
      </c>
      <c r="B27" s="42" t="s">
        <v>103</v>
      </c>
      <c r="C27" s="515" t="s">
        <v>142</v>
      </c>
      <c r="D27" s="515"/>
      <c r="E27" s="42">
        <v>53.68</v>
      </c>
      <c r="F27" s="409">
        <v>1716</v>
      </c>
      <c r="G27" s="398">
        <f t="shared" si="19"/>
        <v>92114.880000000005</v>
      </c>
      <c r="H27" s="411" t="s">
        <v>79</v>
      </c>
      <c r="I27" s="407">
        <v>16</v>
      </c>
      <c r="J27" s="37">
        <v>1500</v>
      </c>
      <c r="K27" s="17">
        <f t="shared" si="1"/>
        <v>93.75</v>
      </c>
      <c r="L27" s="407">
        <v>16</v>
      </c>
      <c r="M27" s="18">
        <f t="shared" si="20"/>
        <v>1429.9999999999989</v>
      </c>
      <c r="N27" s="17">
        <f t="shared" si="3"/>
        <v>89.374999999999929</v>
      </c>
      <c r="O27" s="19">
        <f t="shared" si="4"/>
        <v>0</v>
      </c>
      <c r="P27" s="20">
        <f t="shared" si="5"/>
        <v>-4.3750000000000711</v>
      </c>
      <c r="Q27" s="401">
        <f t="shared" si="6"/>
        <v>0.95333333333333259</v>
      </c>
      <c r="R27" s="489"/>
      <c r="S27" s="40">
        <v>0.77708333333333335</v>
      </c>
      <c r="T27" s="40">
        <v>0.82708333333333339</v>
      </c>
      <c r="U27" s="398">
        <f t="shared" si="22"/>
        <v>7.9999999999999716</v>
      </c>
      <c r="V27" s="408">
        <f t="shared" si="21"/>
        <v>72.000000000000057</v>
      </c>
      <c r="W27" s="23"/>
      <c r="X27" s="28"/>
      <c r="Y27" s="28"/>
      <c r="Z27" s="28"/>
      <c r="AA27" s="491"/>
      <c r="AB27" s="491"/>
      <c r="AC27" s="154"/>
      <c r="AD27" s="25"/>
      <c r="AE27" s="19">
        <f t="shared" si="8"/>
        <v>-70.000000000001137</v>
      </c>
      <c r="AF27" s="401">
        <f t="shared" si="9"/>
        <v>0.95333333333333259</v>
      </c>
      <c r="AG27" s="489"/>
    </row>
    <row r="28" spans="1:33" ht="15.75" customHeight="1">
      <c r="A28" s="520" t="s">
        <v>56</v>
      </c>
      <c r="B28" s="42" t="s">
        <v>71</v>
      </c>
      <c r="C28" s="494"/>
      <c r="D28" s="494"/>
      <c r="E28" s="402"/>
      <c r="F28" s="409"/>
      <c r="G28" s="398"/>
      <c r="H28" s="409"/>
      <c r="I28" s="30">
        <v>15.666666666666666</v>
      </c>
      <c r="J28" s="37">
        <v>1916.6666666666667</v>
      </c>
      <c r="K28" s="17">
        <f t="shared" si="1"/>
        <v>122.3404255319149</v>
      </c>
      <c r="L28" s="30">
        <v>15.666666666666666</v>
      </c>
      <c r="M28" s="18">
        <f>AVERAGE(M22:M27)</f>
        <v>1840.8289907157823</v>
      </c>
      <c r="N28" s="17">
        <f t="shared" si="3"/>
        <v>117.49972281164568</v>
      </c>
      <c r="O28" s="19">
        <f t="shared" si="4"/>
        <v>0</v>
      </c>
      <c r="P28" s="20">
        <f t="shared" si="5"/>
        <v>-4.8407027202692205</v>
      </c>
      <c r="Q28" s="401">
        <f t="shared" si="6"/>
        <v>0.96043251689519071</v>
      </c>
      <c r="R28" s="489"/>
      <c r="S28" s="40"/>
      <c r="T28" s="40"/>
      <c r="U28" s="17"/>
      <c r="V28" s="408"/>
      <c r="W28" s="17"/>
      <c r="X28" s="17"/>
      <c r="Y28" s="31">
        <f>SUM(Y22:Y27)</f>
        <v>0</v>
      </c>
      <c r="Z28" s="31">
        <f>SUM(Z22:Z27)</f>
        <v>0</v>
      </c>
      <c r="AA28" s="495"/>
      <c r="AB28" s="495"/>
      <c r="AC28" s="31">
        <v>3</v>
      </c>
      <c r="AD28" s="31">
        <f>SUM(AD22:AD27)</f>
        <v>0</v>
      </c>
      <c r="AE28" s="19">
        <f t="shared" si="8"/>
        <v>-75.837675950884432</v>
      </c>
      <c r="AF28" s="401">
        <f t="shared" si="9"/>
        <v>0.96043251689519071</v>
      </c>
      <c r="AG28" s="489"/>
    </row>
    <row r="29" spans="1:33" ht="15.75" customHeight="1">
      <c r="A29" s="518" t="s">
        <v>2503</v>
      </c>
      <c r="B29" s="42" t="s">
        <v>80</v>
      </c>
      <c r="C29" s="515" t="s">
        <v>81</v>
      </c>
      <c r="D29" s="515"/>
      <c r="E29" s="42">
        <v>31.29</v>
      </c>
      <c r="F29" s="409">
        <v>4100</v>
      </c>
      <c r="G29" s="398">
        <f t="shared" ref="G29:G34" si="23">E29*F29</f>
        <v>128289</v>
      </c>
      <c r="H29" s="411">
        <v>2</v>
      </c>
      <c r="I29" s="407">
        <v>18</v>
      </c>
      <c r="J29" s="37">
        <v>2400</v>
      </c>
      <c r="K29" s="17">
        <f t="shared" si="1"/>
        <v>133.33333333333334</v>
      </c>
      <c r="L29" s="407">
        <v>18</v>
      </c>
      <c r="M29" s="18">
        <f t="shared" ref="M29:M34" si="24">F29/V29*60</f>
        <v>2299.0654205607475</v>
      </c>
      <c r="N29" s="17">
        <f t="shared" si="3"/>
        <v>127.72585669781931</v>
      </c>
      <c r="O29" s="19">
        <f t="shared" si="4"/>
        <v>0</v>
      </c>
      <c r="P29" s="20">
        <f t="shared" si="5"/>
        <v>-5.6074766355140326</v>
      </c>
      <c r="Q29" s="401">
        <f t="shared" si="6"/>
        <v>0.9579439252336448</v>
      </c>
      <c r="R29" s="489">
        <f>Q35</f>
        <v>0.95609171392882963</v>
      </c>
      <c r="S29" s="40">
        <v>0.125</v>
      </c>
      <c r="T29" s="40">
        <v>0.19930555555555557</v>
      </c>
      <c r="U29" s="398"/>
      <c r="V29" s="408">
        <f t="shared" ref="V29:V34" si="25">(T29-S29)*24*60</f>
        <v>107.00000000000001</v>
      </c>
      <c r="W29" s="23">
        <f>T29</f>
        <v>0.19930555555555557</v>
      </c>
      <c r="X29" s="23">
        <f>S30</f>
        <v>0.21736111111111112</v>
      </c>
      <c r="Y29" s="23"/>
      <c r="Z29" s="23"/>
      <c r="AA29" s="491"/>
      <c r="AB29" s="491"/>
      <c r="AC29" s="154">
        <v>6</v>
      </c>
      <c r="AD29" s="25"/>
      <c r="AE29" s="19">
        <f t="shared" si="8"/>
        <v>-100.9345794392525</v>
      </c>
      <c r="AF29" s="401">
        <f t="shared" si="9"/>
        <v>0.9579439252336448</v>
      </c>
      <c r="AG29" s="489">
        <f>AF35</f>
        <v>0.95609171392882952</v>
      </c>
    </row>
    <row r="30" spans="1:33" ht="15.75" customHeight="1">
      <c r="A30" s="518" t="s">
        <v>2504</v>
      </c>
      <c r="B30" s="42" t="s">
        <v>80</v>
      </c>
      <c r="C30" s="515" t="s">
        <v>82</v>
      </c>
      <c r="D30" s="515"/>
      <c r="E30" s="42">
        <v>26.2</v>
      </c>
      <c r="F30" s="409">
        <v>4018</v>
      </c>
      <c r="G30" s="398">
        <f t="shared" si="23"/>
        <v>105271.59999999999</v>
      </c>
      <c r="H30" s="411" t="s">
        <v>79</v>
      </c>
      <c r="I30" s="407">
        <v>20</v>
      </c>
      <c r="J30" s="37">
        <v>2400</v>
      </c>
      <c r="K30" s="17">
        <f t="shared" si="1"/>
        <v>120</v>
      </c>
      <c r="L30" s="407">
        <v>20</v>
      </c>
      <c r="M30" s="18">
        <f t="shared" si="24"/>
        <v>2295.9999999999995</v>
      </c>
      <c r="N30" s="17">
        <f t="shared" si="3"/>
        <v>114.79999999999998</v>
      </c>
      <c r="O30" s="19">
        <f t="shared" si="4"/>
        <v>0</v>
      </c>
      <c r="P30" s="20">
        <f t="shared" si="5"/>
        <v>-5.2000000000000171</v>
      </c>
      <c r="Q30" s="401">
        <f t="shared" si="6"/>
        <v>0.95666666666666655</v>
      </c>
      <c r="R30" s="489"/>
      <c r="S30" s="40">
        <v>0.21736111111111112</v>
      </c>
      <c r="T30" s="40">
        <v>0.2902777777777778</v>
      </c>
      <c r="U30" s="398">
        <f t="shared" ref="U30:U34" si="26">(S30-T29)*24*60</f>
        <v>25.999999999999986</v>
      </c>
      <c r="V30" s="408">
        <f t="shared" si="25"/>
        <v>105.00000000000003</v>
      </c>
      <c r="W30" s="23"/>
      <c r="X30" s="23"/>
      <c r="Y30" s="23"/>
      <c r="Z30" s="23"/>
      <c r="AA30" s="491"/>
      <c r="AB30" s="491"/>
      <c r="AC30" s="154"/>
      <c r="AD30" s="25"/>
      <c r="AE30" s="19">
        <f t="shared" si="8"/>
        <v>-104.00000000000045</v>
      </c>
      <c r="AF30" s="401">
        <f t="shared" si="9"/>
        <v>0.95666666666666644</v>
      </c>
      <c r="AG30" s="489"/>
    </row>
    <row r="31" spans="1:33" ht="15.75" customHeight="1">
      <c r="A31" s="518" t="s">
        <v>59</v>
      </c>
      <c r="B31" s="42" t="s">
        <v>80</v>
      </c>
      <c r="C31" s="515" t="s">
        <v>83</v>
      </c>
      <c r="D31" s="515"/>
      <c r="E31" s="42">
        <v>25.99</v>
      </c>
      <c r="F31" s="409">
        <v>3567</v>
      </c>
      <c r="G31" s="398">
        <f t="shared" si="23"/>
        <v>92706.329999999987</v>
      </c>
      <c r="H31" s="411" t="s">
        <v>79</v>
      </c>
      <c r="I31" s="407">
        <v>14</v>
      </c>
      <c r="J31" s="37">
        <v>2400</v>
      </c>
      <c r="K31" s="17">
        <f t="shared" si="1"/>
        <v>171.42857142857142</v>
      </c>
      <c r="L31" s="407">
        <v>14</v>
      </c>
      <c r="M31" s="18">
        <f t="shared" si="24"/>
        <v>2301.2903225806454</v>
      </c>
      <c r="N31" s="17">
        <f t="shared" si="3"/>
        <v>164.37788018433181</v>
      </c>
      <c r="O31" s="19">
        <f t="shared" si="4"/>
        <v>0</v>
      </c>
      <c r="P31" s="20">
        <f t="shared" si="5"/>
        <v>-7.0506912442396015</v>
      </c>
      <c r="Q31" s="401">
        <f t="shared" si="6"/>
        <v>0.9588709677419357</v>
      </c>
      <c r="R31" s="489"/>
      <c r="S31" s="40">
        <v>0.2951388888888889</v>
      </c>
      <c r="T31" s="40">
        <v>0.35972222222222222</v>
      </c>
      <c r="U31" s="398">
        <f t="shared" si="26"/>
        <v>6.9999999999999751</v>
      </c>
      <c r="V31" s="408">
        <f t="shared" si="25"/>
        <v>92.999999999999986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-98.709677419354648</v>
      </c>
      <c r="AF31" s="401">
        <f t="shared" si="9"/>
        <v>0.95887096774193559</v>
      </c>
      <c r="AG31" s="489"/>
    </row>
    <row r="32" spans="1:33" ht="15.75" customHeight="1">
      <c r="A32" s="518" t="s">
        <v>2505</v>
      </c>
      <c r="B32" s="42" t="s">
        <v>80</v>
      </c>
      <c r="C32" s="515" t="s">
        <v>84</v>
      </c>
      <c r="D32" s="515"/>
      <c r="E32" s="42">
        <v>20.52</v>
      </c>
      <c r="F32" s="409">
        <v>3466</v>
      </c>
      <c r="G32" s="398">
        <f t="shared" si="23"/>
        <v>71122.319999999992</v>
      </c>
      <c r="H32" s="411" t="s">
        <v>79</v>
      </c>
      <c r="I32" s="407">
        <v>18</v>
      </c>
      <c r="J32" s="37">
        <v>2400</v>
      </c>
      <c r="K32" s="17">
        <f t="shared" si="1"/>
        <v>133.33333333333334</v>
      </c>
      <c r="L32" s="407">
        <v>18</v>
      </c>
      <c r="M32" s="18">
        <f t="shared" si="24"/>
        <v>2285.2747252747254</v>
      </c>
      <c r="N32" s="17">
        <f t="shared" si="3"/>
        <v>126.95970695970696</v>
      </c>
      <c r="O32" s="19">
        <f t="shared" si="4"/>
        <v>0</v>
      </c>
      <c r="P32" s="20">
        <f t="shared" si="5"/>
        <v>-6.3736263736263794</v>
      </c>
      <c r="Q32" s="401">
        <f t="shared" si="6"/>
        <v>0.95219780219780215</v>
      </c>
      <c r="R32" s="489"/>
      <c r="S32" s="40">
        <v>0.36388888888888887</v>
      </c>
      <c r="T32" s="40">
        <v>0.42708333333333331</v>
      </c>
      <c r="U32" s="398">
        <f t="shared" si="26"/>
        <v>5.9999999999999787</v>
      </c>
      <c r="V32" s="408">
        <f t="shared" si="25"/>
        <v>91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-114.72527472527463</v>
      </c>
      <c r="AF32" s="401">
        <f t="shared" si="9"/>
        <v>0.95219780219780226</v>
      </c>
      <c r="AG32" s="489"/>
    </row>
    <row r="33" spans="1:33" ht="15.75" customHeight="1">
      <c r="A33" s="518" t="s">
        <v>2505</v>
      </c>
      <c r="B33" s="42" t="s">
        <v>80</v>
      </c>
      <c r="C33" s="515" t="s">
        <v>85</v>
      </c>
      <c r="D33" s="515"/>
      <c r="E33" s="42">
        <v>25.98</v>
      </c>
      <c r="F33" s="409">
        <v>2710</v>
      </c>
      <c r="G33" s="398">
        <f t="shared" si="23"/>
        <v>70405.8</v>
      </c>
      <c r="H33" s="411" t="s">
        <v>79</v>
      </c>
      <c r="I33" s="407">
        <v>21</v>
      </c>
      <c r="J33" s="37">
        <v>2400</v>
      </c>
      <c r="K33" s="17">
        <f t="shared" si="1"/>
        <v>114.28571428571429</v>
      </c>
      <c r="L33" s="407">
        <v>21</v>
      </c>
      <c r="M33" s="18">
        <f t="shared" si="24"/>
        <v>2290.140845070423</v>
      </c>
      <c r="N33" s="17">
        <f t="shared" si="3"/>
        <v>109.05432595573443</v>
      </c>
      <c r="O33" s="19">
        <f t="shared" si="4"/>
        <v>0</v>
      </c>
      <c r="P33" s="20">
        <f t="shared" si="5"/>
        <v>-5.2313883299798647</v>
      </c>
      <c r="Q33" s="401">
        <f t="shared" si="6"/>
        <v>0.95422535211267623</v>
      </c>
      <c r="R33" s="489"/>
      <c r="S33" s="40">
        <v>0.43055555555555552</v>
      </c>
      <c r="T33" s="40">
        <v>0.47986111111111107</v>
      </c>
      <c r="U33" s="398">
        <f t="shared" si="26"/>
        <v>4.9999999999999822</v>
      </c>
      <c r="V33" s="408">
        <f t="shared" si="25"/>
        <v>70.999999999999986</v>
      </c>
      <c r="W33" s="23">
        <f>T33</f>
        <v>0.47986111111111107</v>
      </c>
      <c r="X33" s="23">
        <f>S34</f>
        <v>0.52083333333333326</v>
      </c>
      <c r="Y33" s="23"/>
      <c r="Z33" s="23"/>
      <c r="AA33" s="491"/>
      <c r="AB33" s="491"/>
      <c r="AC33" s="154"/>
      <c r="AD33" s="25"/>
      <c r="AE33" s="19">
        <f t="shared" si="8"/>
        <v>-109.85915492957702</v>
      </c>
      <c r="AF33" s="401">
        <f t="shared" si="9"/>
        <v>0.95422535211267623</v>
      </c>
      <c r="AG33" s="489"/>
    </row>
    <row r="34" spans="1:33" ht="15.75" customHeight="1">
      <c r="A34" s="518" t="s">
        <v>59</v>
      </c>
      <c r="B34" s="42" t="s">
        <v>80</v>
      </c>
      <c r="C34" s="515" t="s">
        <v>81</v>
      </c>
      <c r="D34" s="515"/>
      <c r="E34" s="42">
        <v>31.29</v>
      </c>
      <c r="F34" s="409">
        <v>3023</v>
      </c>
      <c r="G34" s="398">
        <f t="shared" si="23"/>
        <v>94589.67</v>
      </c>
      <c r="H34" s="411" t="s">
        <v>79</v>
      </c>
      <c r="I34" s="407">
        <v>18</v>
      </c>
      <c r="J34" s="37">
        <v>2400</v>
      </c>
      <c r="K34" s="17">
        <f t="shared" si="1"/>
        <v>133.33333333333334</v>
      </c>
      <c r="L34" s="407">
        <v>18</v>
      </c>
      <c r="M34" s="18">
        <f t="shared" si="24"/>
        <v>2295.9493670886063</v>
      </c>
      <c r="N34" s="17">
        <f t="shared" si="3"/>
        <v>127.55274261603368</v>
      </c>
      <c r="O34" s="19">
        <f t="shared" si="4"/>
        <v>0</v>
      </c>
      <c r="P34" s="20">
        <f t="shared" si="5"/>
        <v>-5.7805907172996598</v>
      </c>
      <c r="Q34" s="401">
        <f t="shared" si="6"/>
        <v>0.9566455696202526</v>
      </c>
      <c r="R34" s="489"/>
      <c r="S34" s="40">
        <v>0.52083333333333326</v>
      </c>
      <c r="T34" s="40">
        <v>0.5756944444444444</v>
      </c>
      <c r="U34" s="398">
        <f t="shared" si="26"/>
        <v>58.99999999999995</v>
      </c>
      <c r="V34" s="408">
        <f t="shared" si="25"/>
        <v>79.000000000000043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-104.05063291139368</v>
      </c>
      <c r="AF34" s="401">
        <f t="shared" si="9"/>
        <v>0.9566455696202526</v>
      </c>
      <c r="AG34" s="489"/>
    </row>
    <row r="35" spans="1:33" ht="15.75" customHeight="1">
      <c r="A35" s="518" t="s">
        <v>2504</v>
      </c>
      <c r="B35" s="42" t="s">
        <v>2444</v>
      </c>
      <c r="C35" s="494"/>
      <c r="D35" s="494"/>
      <c r="E35" s="402"/>
      <c r="F35" s="409"/>
      <c r="G35" s="398"/>
      <c r="H35" s="409"/>
      <c r="I35" s="30">
        <v>18.166666666666668</v>
      </c>
      <c r="J35" s="37">
        <v>2400</v>
      </c>
      <c r="K35" s="17">
        <f t="shared" si="1"/>
        <v>132.11009174311926</v>
      </c>
      <c r="L35" s="30">
        <v>18.166666666666668</v>
      </c>
      <c r="M35" s="18">
        <f>AVERAGE(M29:M34)</f>
        <v>2294.620113429191</v>
      </c>
      <c r="N35" s="17">
        <f t="shared" si="3"/>
        <v>126.30936404197381</v>
      </c>
      <c r="O35" s="19">
        <f t="shared" si="4"/>
        <v>0</v>
      </c>
      <c r="P35" s="20">
        <f t="shared" si="5"/>
        <v>-5.8007277011454477</v>
      </c>
      <c r="Q35" s="401">
        <f t="shared" si="6"/>
        <v>0.95609171392882963</v>
      </c>
      <c r="R35" s="489"/>
      <c r="S35" s="40"/>
      <c r="T35" s="40"/>
      <c r="U35" s="398"/>
      <c r="V35" s="408"/>
      <c r="W35" s="398"/>
      <c r="X35" s="398"/>
      <c r="Y35" s="31">
        <f>SUM(Y29:Y34)</f>
        <v>0</v>
      </c>
      <c r="Z35" s="31">
        <f>SUM(Z29:Z34)</f>
        <v>0</v>
      </c>
      <c r="AA35" s="495"/>
      <c r="AB35" s="495"/>
      <c r="AC35" s="31">
        <v>6</v>
      </c>
      <c r="AD35" s="31">
        <f>SUM(AD29:AD34)</f>
        <v>0</v>
      </c>
      <c r="AE35" s="19">
        <f t="shared" si="8"/>
        <v>-105.37988657080905</v>
      </c>
      <c r="AF35" s="401">
        <f t="shared" si="9"/>
        <v>0.95609171392882952</v>
      </c>
      <c r="AG35" s="489"/>
    </row>
    <row r="36" spans="1:33" ht="15.75" customHeight="1">
      <c r="A36" s="516" t="s">
        <v>61</v>
      </c>
      <c r="B36" s="42" t="s">
        <v>80</v>
      </c>
      <c r="C36" s="490" t="s">
        <v>87</v>
      </c>
      <c r="D36" s="490"/>
      <c r="E36" s="42">
        <v>26.2</v>
      </c>
      <c r="F36" s="409">
        <v>5211</v>
      </c>
      <c r="G36" s="398">
        <f t="shared" ref="G36:G42" si="27">E36*F36</f>
        <v>136528.19999999998</v>
      </c>
      <c r="H36" s="411" t="s">
        <v>79</v>
      </c>
      <c r="I36" s="407">
        <v>18</v>
      </c>
      <c r="J36" s="37">
        <v>2400</v>
      </c>
      <c r="K36" s="17">
        <f t="shared" si="1"/>
        <v>133.33333333333334</v>
      </c>
      <c r="L36" s="407">
        <v>18</v>
      </c>
      <c r="M36" s="18">
        <f t="shared" ref="M36:M42" si="28">F36/V36*60</f>
        <v>2282.1897810218979</v>
      </c>
      <c r="N36" s="17">
        <f t="shared" si="3"/>
        <v>126.78832116788323</v>
      </c>
      <c r="O36" s="19">
        <f t="shared" si="4"/>
        <v>0</v>
      </c>
      <c r="P36" s="20">
        <f t="shared" si="5"/>
        <v>-6.5450121654501174</v>
      </c>
      <c r="Q36" s="401">
        <f t="shared" si="6"/>
        <v>0.95091240875912408</v>
      </c>
      <c r="R36" s="489">
        <f>Q43</f>
        <v>0.95783321284992795</v>
      </c>
      <c r="S36" s="40">
        <v>0.125</v>
      </c>
      <c r="T36" s="40">
        <v>0.22013888888888888</v>
      </c>
      <c r="U36" s="398"/>
      <c r="V36" s="408">
        <f t="shared" ref="V36:V42" si="29">(T36-S36)*24*60</f>
        <v>137</v>
      </c>
      <c r="W36" s="28">
        <f>T36</f>
        <v>0.22013888888888888</v>
      </c>
      <c r="X36" s="28">
        <f>S37</f>
        <v>0.23819444444444443</v>
      </c>
      <c r="Y36" s="28"/>
      <c r="Z36" s="28"/>
      <c r="AA36" s="491"/>
      <c r="AB36" s="491"/>
      <c r="AC36" s="154">
        <v>7</v>
      </c>
      <c r="AD36" s="25"/>
      <c r="AE36" s="19">
        <f t="shared" si="8"/>
        <v>-117.81021897810206</v>
      </c>
      <c r="AF36" s="401">
        <f t="shared" si="9"/>
        <v>0.95091240875912419</v>
      </c>
      <c r="AG36" s="489">
        <f>AF43</f>
        <v>0.95783321284992795</v>
      </c>
    </row>
    <row r="37" spans="1:33" ht="15.75" customHeight="1">
      <c r="A37" s="516" t="s">
        <v>2506</v>
      </c>
      <c r="B37" s="42" t="s">
        <v>80</v>
      </c>
      <c r="C37" s="490" t="s">
        <v>88</v>
      </c>
      <c r="D37" s="490"/>
      <c r="E37" s="42">
        <v>26.18</v>
      </c>
      <c r="F37" s="409">
        <v>1903</v>
      </c>
      <c r="G37" s="398">
        <f t="shared" si="27"/>
        <v>49820.54</v>
      </c>
      <c r="H37" s="411" t="s">
        <v>79</v>
      </c>
      <c r="I37" s="407">
        <v>19</v>
      </c>
      <c r="J37" s="37">
        <v>2400</v>
      </c>
      <c r="K37" s="17">
        <f t="shared" si="1"/>
        <v>126.31578947368421</v>
      </c>
      <c r="L37" s="407">
        <v>19</v>
      </c>
      <c r="M37" s="18">
        <f t="shared" si="28"/>
        <v>2330.2040816326535</v>
      </c>
      <c r="N37" s="17">
        <f t="shared" si="3"/>
        <v>122.64232008592913</v>
      </c>
      <c r="O37" s="19">
        <f t="shared" si="4"/>
        <v>0</v>
      </c>
      <c r="P37" s="20">
        <f t="shared" si="5"/>
        <v>-3.6734693877550768</v>
      </c>
      <c r="Q37" s="401">
        <f t="shared" si="6"/>
        <v>0.97091836734693893</v>
      </c>
      <c r="R37" s="489"/>
      <c r="S37" s="40">
        <v>0.23819444444444443</v>
      </c>
      <c r="T37" s="40">
        <v>0.2722222222222222</v>
      </c>
      <c r="U37" s="398">
        <f t="shared" ref="U37:U42" si="30">(S37-T36)*24*60</f>
        <v>25.999999999999986</v>
      </c>
      <c r="V37" s="408">
        <f t="shared" si="29"/>
        <v>48.999999999999986</v>
      </c>
      <c r="W37" s="398"/>
      <c r="X37" s="398"/>
      <c r="Y37" s="398"/>
      <c r="Z37" s="398"/>
      <c r="AA37" s="491"/>
      <c r="AB37" s="491"/>
      <c r="AC37" s="154"/>
      <c r="AD37" s="25"/>
      <c r="AE37" s="19">
        <f t="shared" si="8"/>
        <v>-69.79591836734653</v>
      </c>
      <c r="AF37" s="401">
        <f t="shared" si="9"/>
        <v>0.97091836734693893</v>
      </c>
      <c r="AG37" s="489"/>
    </row>
    <row r="38" spans="1:33">
      <c r="A38" s="517" t="s">
        <v>2506</v>
      </c>
      <c r="B38" s="42" t="s">
        <v>80</v>
      </c>
      <c r="C38" s="490" t="s">
        <v>89</v>
      </c>
      <c r="D38" s="490"/>
      <c r="E38" s="42">
        <v>26.39</v>
      </c>
      <c r="F38" s="409">
        <v>4958</v>
      </c>
      <c r="G38" s="398">
        <f t="shared" si="27"/>
        <v>130841.62000000001</v>
      </c>
      <c r="H38" s="411" t="s">
        <v>79</v>
      </c>
      <c r="I38" s="407">
        <v>19</v>
      </c>
      <c r="J38" s="37">
        <v>2400</v>
      </c>
      <c r="K38" s="17">
        <f t="shared" si="1"/>
        <v>126.31578947368421</v>
      </c>
      <c r="L38" s="407">
        <v>19</v>
      </c>
      <c r="M38" s="18">
        <f t="shared" si="28"/>
        <v>2288.3076923076915</v>
      </c>
      <c r="N38" s="17">
        <f t="shared" si="3"/>
        <v>120.43724696356271</v>
      </c>
      <c r="O38" s="19">
        <f t="shared" si="4"/>
        <v>0</v>
      </c>
      <c r="P38" s="20">
        <f t="shared" si="5"/>
        <v>-5.8785425101214912</v>
      </c>
      <c r="Q38" s="401">
        <f t="shared" si="6"/>
        <v>0.95346153846153814</v>
      </c>
      <c r="R38" s="489"/>
      <c r="S38" s="40">
        <v>0.27777777777777773</v>
      </c>
      <c r="T38" s="40">
        <v>0.36805555555555552</v>
      </c>
      <c r="U38" s="398">
        <f t="shared" si="30"/>
        <v>7.9999999999999716</v>
      </c>
      <c r="V38" s="408">
        <f t="shared" si="29"/>
        <v>130.00000000000003</v>
      </c>
      <c r="W38" s="398"/>
      <c r="X38" s="398"/>
      <c r="Y38" s="398"/>
      <c r="Z38" s="398"/>
      <c r="AA38" s="491"/>
      <c r="AB38" s="491"/>
      <c r="AC38" s="154"/>
      <c r="AD38" s="25"/>
      <c r="AE38" s="19">
        <f t="shared" si="8"/>
        <v>-111.69230769230853</v>
      </c>
      <c r="AF38" s="401">
        <f t="shared" si="9"/>
        <v>0.95346153846153814</v>
      </c>
      <c r="AG38" s="489"/>
    </row>
    <row r="39" spans="1:33">
      <c r="A39" s="517" t="s">
        <v>2507</v>
      </c>
      <c r="B39" s="42" t="s">
        <v>80</v>
      </c>
      <c r="C39" s="490" t="s">
        <v>90</v>
      </c>
      <c r="D39" s="490"/>
      <c r="E39" s="42">
        <v>22.69</v>
      </c>
      <c r="F39" s="409">
        <v>1300</v>
      </c>
      <c r="G39" s="398">
        <f t="shared" si="27"/>
        <v>29497</v>
      </c>
      <c r="H39" s="411" t="s">
        <v>79</v>
      </c>
      <c r="I39" s="407">
        <v>15</v>
      </c>
      <c r="J39" s="37">
        <v>2400</v>
      </c>
      <c r="K39" s="17">
        <f t="shared" si="1"/>
        <v>160</v>
      </c>
      <c r="L39" s="407">
        <v>15</v>
      </c>
      <c r="M39" s="18">
        <f t="shared" si="28"/>
        <v>2294.1176470588266</v>
      </c>
      <c r="N39" s="17">
        <f t="shared" si="3"/>
        <v>152.94117647058843</v>
      </c>
      <c r="O39" s="19">
        <f t="shared" si="4"/>
        <v>0</v>
      </c>
      <c r="P39" s="20">
        <f t="shared" si="5"/>
        <v>-7.0588235294115691</v>
      </c>
      <c r="Q39" s="401">
        <f t="shared" si="6"/>
        <v>0.95588235294117774</v>
      </c>
      <c r="R39" s="489"/>
      <c r="S39" s="40">
        <v>0.37361111111111106</v>
      </c>
      <c r="T39" s="40">
        <v>0.39722222222222214</v>
      </c>
      <c r="U39" s="398">
        <f t="shared" si="30"/>
        <v>7.9999999999999716</v>
      </c>
      <c r="V39" s="408">
        <f t="shared" si="29"/>
        <v>33.999999999999957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-105.88235294117339</v>
      </c>
      <c r="AF39" s="401">
        <f t="shared" si="9"/>
        <v>0.95588235294117774</v>
      </c>
      <c r="AG39" s="489"/>
    </row>
    <row r="40" spans="1:33">
      <c r="A40" s="517" t="s">
        <v>61</v>
      </c>
      <c r="B40" s="42" t="s">
        <v>80</v>
      </c>
      <c r="C40" s="490" t="s">
        <v>91</v>
      </c>
      <c r="D40" s="490"/>
      <c r="E40" s="42">
        <v>24.45</v>
      </c>
      <c r="F40" s="409">
        <v>2141</v>
      </c>
      <c r="G40" s="398">
        <f t="shared" si="27"/>
        <v>52347.45</v>
      </c>
      <c r="H40" s="411" t="s">
        <v>79</v>
      </c>
      <c r="I40" s="407">
        <v>20</v>
      </c>
      <c r="J40" s="37">
        <v>2400</v>
      </c>
      <c r="K40" s="17">
        <f t="shared" si="1"/>
        <v>120</v>
      </c>
      <c r="L40" s="407">
        <v>20</v>
      </c>
      <c r="M40" s="18">
        <f t="shared" si="28"/>
        <v>2293.9285714285734</v>
      </c>
      <c r="N40" s="17">
        <f t="shared" si="3"/>
        <v>114.69642857142867</v>
      </c>
      <c r="O40" s="19">
        <f t="shared" si="4"/>
        <v>0</v>
      </c>
      <c r="P40" s="20">
        <f t="shared" si="5"/>
        <v>-5.3035714285713311</v>
      </c>
      <c r="Q40" s="401">
        <f t="shared" si="6"/>
        <v>0.9558035714285722</v>
      </c>
      <c r="R40" s="489"/>
      <c r="S40" s="40">
        <v>0.40069444444444435</v>
      </c>
      <c r="T40" s="40">
        <v>0.43958333333333321</v>
      </c>
      <c r="U40" s="398">
        <f t="shared" si="30"/>
        <v>4.9999999999999822</v>
      </c>
      <c r="V40" s="408">
        <f t="shared" si="29"/>
        <v>55.999999999999957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-106.07142857142662</v>
      </c>
      <c r="AF40" s="401">
        <f t="shared" si="9"/>
        <v>0.9558035714285722</v>
      </c>
      <c r="AG40" s="489"/>
    </row>
    <row r="41" spans="1:33">
      <c r="A41" s="517" t="s">
        <v>2506</v>
      </c>
      <c r="B41" s="42" t="s">
        <v>80</v>
      </c>
      <c r="C41" s="490" t="s">
        <v>1224</v>
      </c>
      <c r="D41" s="490"/>
      <c r="E41" s="42">
        <v>22.69</v>
      </c>
      <c r="F41" s="409">
        <v>3000</v>
      </c>
      <c r="G41" s="398">
        <f t="shared" si="27"/>
        <v>68070</v>
      </c>
      <c r="H41" s="411">
        <v>2</v>
      </c>
      <c r="I41" s="407">
        <v>16</v>
      </c>
      <c r="J41" s="37">
        <v>2400</v>
      </c>
      <c r="K41" s="17">
        <f t="shared" si="1"/>
        <v>150</v>
      </c>
      <c r="L41" s="407">
        <v>16</v>
      </c>
      <c r="M41" s="18">
        <f t="shared" si="28"/>
        <v>2307.6923076923063</v>
      </c>
      <c r="N41" s="17">
        <f t="shared" si="3"/>
        <v>144.23076923076914</v>
      </c>
      <c r="O41" s="19">
        <f t="shared" si="4"/>
        <v>0</v>
      </c>
      <c r="P41" s="20">
        <f t="shared" si="5"/>
        <v>-5.7692307692308589</v>
      </c>
      <c r="Q41" s="401">
        <f t="shared" si="6"/>
        <v>0.9615384615384609</v>
      </c>
      <c r="R41" s="489"/>
      <c r="S41" s="40">
        <v>0.44513888888888875</v>
      </c>
      <c r="T41" s="40">
        <v>0.49930555555555545</v>
      </c>
      <c r="U41" s="398">
        <f t="shared" si="30"/>
        <v>7.9999999999999716</v>
      </c>
      <c r="V41" s="408">
        <f t="shared" si="29"/>
        <v>78.000000000000043</v>
      </c>
      <c r="W41" s="23">
        <f>T41</f>
        <v>0.49930555555555545</v>
      </c>
      <c r="X41" s="23">
        <f>S42</f>
        <v>0.54027777777777763</v>
      </c>
      <c r="Y41" s="23"/>
      <c r="Z41" s="23"/>
      <c r="AA41" s="491"/>
      <c r="AB41" s="491"/>
      <c r="AC41" s="154"/>
      <c r="AD41" s="25"/>
      <c r="AE41" s="19">
        <f t="shared" si="8"/>
        <v>-92.307692307693742</v>
      </c>
      <c r="AF41" s="401">
        <f t="shared" si="9"/>
        <v>0.9615384615384609</v>
      </c>
      <c r="AG41" s="489"/>
    </row>
    <row r="42" spans="1:33">
      <c r="A42" s="517" t="s">
        <v>2441</v>
      </c>
      <c r="B42" s="42" t="s">
        <v>80</v>
      </c>
      <c r="C42" s="490" t="s">
        <v>1224</v>
      </c>
      <c r="D42" s="490"/>
      <c r="E42" s="42">
        <v>22.69</v>
      </c>
      <c r="F42" s="409">
        <v>3634</v>
      </c>
      <c r="G42" s="398">
        <f t="shared" si="27"/>
        <v>82455.460000000006</v>
      </c>
      <c r="H42" s="411" t="s">
        <v>79</v>
      </c>
      <c r="I42" s="407">
        <v>16</v>
      </c>
      <c r="J42" s="37">
        <v>2400</v>
      </c>
      <c r="K42" s="17">
        <f t="shared" si="1"/>
        <v>150</v>
      </c>
      <c r="L42" s="407">
        <v>16</v>
      </c>
      <c r="M42" s="18">
        <f t="shared" si="28"/>
        <v>2295.1578947368425</v>
      </c>
      <c r="N42" s="17">
        <f t="shared" si="3"/>
        <v>143.44736842105266</v>
      </c>
      <c r="O42" s="19">
        <f t="shared" si="4"/>
        <v>0</v>
      </c>
      <c r="P42" s="20">
        <f t="shared" si="5"/>
        <v>-6.5526315789473415</v>
      </c>
      <c r="Q42" s="401">
        <f t="shared" si="6"/>
        <v>0.95631578947368434</v>
      </c>
      <c r="R42" s="489"/>
      <c r="S42" s="40">
        <v>0.54027777777777763</v>
      </c>
      <c r="T42" s="40">
        <v>0.60624999999999984</v>
      </c>
      <c r="U42" s="398">
        <f t="shared" si="30"/>
        <v>58.99999999999995</v>
      </c>
      <c r="V42" s="408">
        <f t="shared" si="29"/>
        <v>94.999999999999986</v>
      </c>
      <c r="W42" s="23"/>
      <c r="X42" s="23"/>
      <c r="Y42" s="26"/>
      <c r="Z42" s="26"/>
      <c r="AA42" s="503"/>
      <c r="AB42" s="504"/>
      <c r="AC42" s="154"/>
      <c r="AD42" s="25"/>
      <c r="AE42" s="19">
        <f t="shared" si="8"/>
        <v>-104.84210526315746</v>
      </c>
      <c r="AF42" s="401">
        <f t="shared" si="9"/>
        <v>0.95631578947368434</v>
      </c>
      <c r="AG42" s="489"/>
    </row>
    <row r="43" spans="1:33">
      <c r="A43" s="517" t="s">
        <v>2441</v>
      </c>
      <c r="B43" s="44" t="s">
        <v>2508</v>
      </c>
      <c r="C43" s="494"/>
      <c r="D43" s="494"/>
      <c r="E43" s="402"/>
      <c r="F43" s="44"/>
      <c r="G43" s="17"/>
      <c r="H43" s="409"/>
      <c r="I43" s="30">
        <v>17.571428571428573</v>
      </c>
      <c r="J43" s="37">
        <v>2400</v>
      </c>
      <c r="K43" s="17">
        <f t="shared" si="1"/>
        <v>136.58536585365852</v>
      </c>
      <c r="L43" s="30">
        <v>17.571428571428573</v>
      </c>
      <c r="M43" s="18">
        <f>AVERAGE(M36:M42)</f>
        <v>2298.7997108398272</v>
      </c>
      <c r="N43" s="17">
        <f t="shared" si="3"/>
        <v>130.82599980389259</v>
      </c>
      <c r="O43" s="19">
        <f t="shared" si="4"/>
        <v>0</v>
      </c>
      <c r="P43" s="20">
        <f t="shared" si="5"/>
        <v>-5.75936604976593</v>
      </c>
      <c r="Q43" s="401">
        <f t="shared" si="6"/>
        <v>0.95783321284992795</v>
      </c>
      <c r="R43" s="489"/>
      <c r="S43" s="40"/>
      <c r="T43" s="40"/>
      <c r="U43" s="17"/>
      <c r="V43" s="408"/>
      <c r="W43" s="17"/>
      <c r="X43" s="17"/>
      <c r="Y43" s="31">
        <f>SUM(Y36:Y42)</f>
        <v>0</v>
      </c>
      <c r="Z43" s="31">
        <f>SUM(Z36:Z42)</f>
        <v>0</v>
      </c>
      <c r="AA43" s="495"/>
      <c r="AB43" s="495"/>
      <c r="AC43" s="31">
        <v>7</v>
      </c>
      <c r="AD43" s="31">
        <f>SUM(AD36:AD42)</f>
        <v>0</v>
      </c>
      <c r="AE43" s="19">
        <f t="shared" si="8"/>
        <v>-101.20028916017282</v>
      </c>
      <c r="AF43" s="401">
        <f t="shared" si="9"/>
        <v>0.95783321284992795</v>
      </c>
      <c r="AG43" s="489"/>
    </row>
    <row r="44" spans="1:33" ht="15.75" customHeight="1">
      <c r="A44" s="512" t="s">
        <v>2509</v>
      </c>
      <c r="B44" s="42" t="s">
        <v>93</v>
      </c>
      <c r="C44" s="501" t="s">
        <v>94</v>
      </c>
      <c r="D44" s="502"/>
      <c r="E44" s="42">
        <v>21.13</v>
      </c>
      <c r="F44" s="409">
        <v>2600</v>
      </c>
      <c r="G44" s="398">
        <f t="shared" ref="G44:G53" si="31">E44*F44</f>
        <v>54938</v>
      </c>
      <c r="H44" s="411">
        <v>2</v>
      </c>
      <c r="I44" s="407">
        <v>10</v>
      </c>
      <c r="J44" s="37">
        <v>3000</v>
      </c>
      <c r="K44" s="17">
        <f t="shared" si="1"/>
        <v>300</v>
      </c>
      <c r="L44" s="407">
        <v>10</v>
      </c>
      <c r="M44" s="18">
        <f t="shared" ref="M44:M53" si="32">F44/V44*60</f>
        <v>2888.8888888888887</v>
      </c>
      <c r="N44" s="18">
        <f t="shared" si="3"/>
        <v>288.88888888888886</v>
      </c>
      <c r="O44" s="19">
        <f t="shared" si="4"/>
        <v>0</v>
      </c>
      <c r="P44" s="20">
        <f t="shared" si="5"/>
        <v>-11.111111111111143</v>
      </c>
      <c r="Q44" s="401">
        <f t="shared" si="6"/>
        <v>0.96296296296296291</v>
      </c>
      <c r="R44" s="509">
        <f>Q54</f>
        <v>0.961083014059948</v>
      </c>
      <c r="S44" s="40">
        <v>0.20833333333333334</v>
      </c>
      <c r="T44" s="40">
        <v>0.24583333333333335</v>
      </c>
      <c r="U44" s="28"/>
      <c r="V44" s="408">
        <f t="shared" ref="V44:V53" si="33">(T44-S44)*24*60</f>
        <v>54.000000000000007</v>
      </c>
      <c r="W44" s="23"/>
      <c r="X44" s="23"/>
      <c r="Y44" s="26"/>
      <c r="Z44" s="26"/>
      <c r="AA44" s="503"/>
      <c r="AB44" s="504"/>
      <c r="AC44" s="154" t="s">
        <v>79</v>
      </c>
      <c r="AD44" s="25"/>
      <c r="AE44" s="19">
        <f t="shared" si="8"/>
        <v>-111.11111111111131</v>
      </c>
      <c r="AF44" s="401">
        <f t="shared" si="9"/>
        <v>0.96296296296296291</v>
      </c>
      <c r="AG44" s="509">
        <f>AF54</f>
        <v>0.961083014059948</v>
      </c>
    </row>
    <row r="45" spans="1:33" ht="15.75" customHeight="1">
      <c r="A45" s="513" t="s">
        <v>2446</v>
      </c>
      <c r="B45" s="42" t="s">
        <v>93</v>
      </c>
      <c r="C45" s="501" t="s">
        <v>95</v>
      </c>
      <c r="D45" s="502"/>
      <c r="E45" s="42">
        <v>27.17</v>
      </c>
      <c r="F45" s="409">
        <v>3500</v>
      </c>
      <c r="G45" s="398">
        <f t="shared" si="31"/>
        <v>95095</v>
      </c>
      <c r="H45" s="411">
        <v>2</v>
      </c>
      <c r="I45" s="407">
        <v>10</v>
      </c>
      <c r="J45" s="37">
        <v>3000</v>
      </c>
      <c r="K45" s="17">
        <f t="shared" si="1"/>
        <v>300</v>
      </c>
      <c r="L45" s="407">
        <v>10</v>
      </c>
      <c r="M45" s="18">
        <f t="shared" si="32"/>
        <v>2876.7123287671238</v>
      </c>
      <c r="N45" s="18">
        <f t="shared" si="3"/>
        <v>287.67123287671239</v>
      </c>
      <c r="O45" s="19">
        <f t="shared" si="4"/>
        <v>0</v>
      </c>
      <c r="P45" s="20">
        <f t="shared" si="5"/>
        <v>-12.328767123287605</v>
      </c>
      <c r="Q45" s="401">
        <f t="shared" si="6"/>
        <v>0.95890410958904126</v>
      </c>
      <c r="R45" s="510"/>
      <c r="S45" s="40">
        <v>0.25</v>
      </c>
      <c r="T45" s="40">
        <v>0.30069444444444443</v>
      </c>
      <c r="U45" s="398">
        <f t="shared" ref="U45:U53" si="34">(S45-T44)*24*60</f>
        <v>5.9999999999999787</v>
      </c>
      <c r="V45" s="408">
        <f t="shared" si="33"/>
        <v>72.999999999999986</v>
      </c>
      <c r="W45" s="23"/>
      <c r="X45" s="23"/>
      <c r="Y45" s="26"/>
      <c r="Z45" s="26"/>
      <c r="AA45" s="503"/>
      <c r="AB45" s="504"/>
      <c r="AC45" s="154" t="s">
        <v>79</v>
      </c>
      <c r="AD45" s="25"/>
      <c r="AE45" s="19">
        <f t="shared" si="8"/>
        <v>-123.28767123287616</v>
      </c>
      <c r="AF45" s="401">
        <f t="shared" si="9"/>
        <v>0.95890410958904126</v>
      </c>
      <c r="AG45" s="510"/>
    </row>
    <row r="46" spans="1:33" ht="15.75" customHeight="1">
      <c r="A46" s="513" t="s">
        <v>65</v>
      </c>
      <c r="B46" s="42" t="s">
        <v>93</v>
      </c>
      <c r="C46" s="501" t="s">
        <v>96</v>
      </c>
      <c r="D46" s="502"/>
      <c r="E46" s="42">
        <v>35.119999999999997</v>
      </c>
      <c r="F46" s="409">
        <v>2700</v>
      </c>
      <c r="G46" s="398">
        <f t="shared" si="31"/>
        <v>94824</v>
      </c>
      <c r="H46" s="411">
        <v>2</v>
      </c>
      <c r="I46" s="407">
        <v>10</v>
      </c>
      <c r="J46" s="37">
        <v>3000</v>
      </c>
      <c r="K46" s="17">
        <f t="shared" si="1"/>
        <v>300</v>
      </c>
      <c r="L46" s="407">
        <v>10</v>
      </c>
      <c r="M46" s="18">
        <f t="shared" si="32"/>
        <v>2892.8571428571408</v>
      </c>
      <c r="N46" s="18">
        <f t="shared" si="3"/>
        <v>289.28571428571411</v>
      </c>
      <c r="O46" s="19">
        <f t="shared" si="4"/>
        <v>0</v>
      </c>
      <c r="P46" s="20">
        <f t="shared" si="5"/>
        <v>-10.714285714285893</v>
      </c>
      <c r="Q46" s="401">
        <f t="shared" si="6"/>
        <v>0.96428571428571364</v>
      </c>
      <c r="R46" s="510"/>
      <c r="S46" s="40">
        <v>0.30555555555555552</v>
      </c>
      <c r="T46" s="40">
        <v>0.34444444444444444</v>
      </c>
      <c r="U46" s="398">
        <f t="shared" si="34"/>
        <v>6.9999999999999751</v>
      </c>
      <c r="V46" s="408">
        <f t="shared" si="33"/>
        <v>56.000000000000043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-107.14285714285916</v>
      </c>
      <c r="AF46" s="401">
        <f t="shared" si="9"/>
        <v>0.96428571428571364</v>
      </c>
      <c r="AG46" s="510"/>
    </row>
    <row r="47" spans="1:33" ht="15.75" customHeight="1">
      <c r="A47" s="513" t="s">
        <v>2510</v>
      </c>
      <c r="B47" s="42" t="s">
        <v>93</v>
      </c>
      <c r="C47" s="501" t="s">
        <v>110</v>
      </c>
      <c r="D47" s="502"/>
      <c r="E47" s="42">
        <v>26.78</v>
      </c>
      <c r="F47" s="409">
        <v>2475</v>
      </c>
      <c r="G47" s="398">
        <f t="shared" si="31"/>
        <v>66280.5</v>
      </c>
      <c r="H47" s="411" t="s">
        <v>79</v>
      </c>
      <c r="I47" s="407">
        <v>10</v>
      </c>
      <c r="J47" s="37">
        <v>3000</v>
      </c>
      <c r="K47" s="17">
        <f t="shared" si="1"/>
        <v>300</v>
      </c>
      <c r="L47" s="407">
        <v>10</v>
      </c>
      <c r="M47" s="18">
        <f t="shared" si="32"/>
        <v>2855.7692307692323</v>
      </c>
      <c r="N47" s="18">
        <f t="shared" si="3"/>
        <v>285.57692307692321</v>
      </c>
      <c r="O47" s="19">
        <f t="shared" si="4"/>
        <v>0</v>
      </c>
      <c r="P47" s="20">
        <f t="shared" si="5"/>
        <v>-14.423076923076792</v>
      </c>
      <c r="Q47" s="401">
        <f t="shared" si="6"/>
        <v>0.95192307692307732</v>
      </c>
      <c r="R47" s="510"/>
      <c r="S47" s="40">
        <v>0.35</v>
      </c>
      <c r="T47" s="40">
        <v>0.38611111111111107</v>
      </c>
      <c r="U47" s="398">
        <f t="shared" si="34"/>
        <v>7.9999999999999716</v>
      </c>
      <c r="V47" s="408">
        <f t="shared" si="33"/>
        <v>51.999999999999972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-144.23076923076769</v>
      </c>
      <c r="AF47" s="401">
        <f t="shared" si="9"/>
        <v>0.95192307692307743</v>
      </c>
      <c r="AG47" s="510"/>
    </row>
    <row r="48" spans="1:33" ht="15.75" customHeight="1">
      <c r="A48" s="513" t="s">
        <v>2446</v>
      </c>
      <c r="B48" s="42" t="s">
        <v>93</v>
      </c>
      <c r="C48" s="501" t="s">
        <v>99</v>
      </c>
      <c r="D48" s="502"/>
      <c r="E48" s="42">
        <v>32.020000000000003</v>
      </c>
      <c r="F48" s="409">
        <v>1880</v>
      </c>
      <c r="G48" s="398">
        <f t="shared" si="31"/>
        <v>60197.600000000006</v>
      </c>
      <c r="H48" s="411" t="s">
        <v>79</v>
      </c>
      <c r="I48" s="407">
        <v>11</v>
      </c>
      <c r="J48" s="37">
        <v>3000</v>
      </c>
      <c r="K48" s="17">
        <f t="shared" si="1"/>
        <v>272.72727272727275</v>
      </c>
      <c r="L48" s="407">
        <v>11</v>
      </c>
      <c r="M48" s="18">
        <f t="shared" si="32"/>
        <v>2892.3076923076906</v>
      </c>
      <c r="N48" s="18">
        <f t="shared" si="3"/>
        <v>262.93706293706276</v>
      </c>
      <c r="O48" s="19">
        <f t="shared" si="4"/>
        <v>0</v>
      </c>
      <c r="P48" s="20">
        <f t="shared" si="5"/>
        <v>-9.7902097902099854</v>
      </c>
      <c r="Q48" s="401">
        <f t="shared" si="6"/>
        <v>0.96410256410256334</v>
      </c>
      <c r="R48" s="510"/>
      <c r="S48" s="40">
        <v>0.39166666666666661</v>
      </c>
      <c r="T48" s="40">
        <v>0.41874999999999996</v>
      </c>
      <c r="U48" s="398">
        <f t="shared" si="34"/>
        <v>7.9999999999999716</v>
      </c>
      <c r="V48" s="408">
        <f t="shared" si="33"/>
        <v>39.000000000000021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-107.69230769230944</v>
      </c>
      <c r="AF48" s="401">
        <f t="shared" si="9"/>
        <v>0.96410256410256356</v>
      </c>
      <c r="AG48" s="510"/>
    </row>
    <row r="49" spans="1:33" ht="15.75" customHeight="1">
      <c r="A49" s="513" t="s">
        <v>2446</v>
      </c>
      <c r="B49" s="42" t="s">
        <v>93</v>
      </c>
      <c r="C49" s="501" t="s">
        <v>112</v>
      </c>
      <c r="D49" s="502"/>
      <c r="E49" s="42">
        <v>35.869999999999997</v>
      </c>
      <c r="F49" s="409">
        <v>3134</v>
      </c>
      <c r="G49" s="398">
        <f t="shared" si="31"/>
        <v>112416.57999999999</v>
      </c>
      <c r="H49" s="411" t="s">
        <v>79</v>
      </c>
      <c r="I49" s="407">
        <v>9</v>
      </c>
      <c r="J49" s="37">
        <v>3000</v>
      </c>
      <c r="K49" s="17">
        <f t="shared" si="1"/>
        <v>333.33333333333331</v>
      </c>
      <c r="L49" s="407">
        <v>9</v>
      </c>
      <c r="M49" s="18">
        <f t="shared" si="32"/>
        <v>2892.9230769230762</v>
      </c>
      <c r="N49" s="18">
        <f t="shared" si="3"/>
        <v>321.43589743589735</v>
      </c>
      <c r="O49" s="19">
        <f t="shared" si="4"/>
        <v>0</v>
      </c>
      <c r="P49" s="20">
        <f t="shared" si="5"/>
        <v>-11.897435897435969</v>
      </c>
      <c r="Q49" s="401">
        <f t="shared" si="6"/>
        <v>0.96430769230769209</v>
      </c>
      <c r="R49" s="510"/>
      <c r="S49" s="40">
        <v>0.42291666666666661</v>
      </c>
      <c r="T49" s="40">
        <v>0.4680555555555555</v>
      </c>
      <c r="U49" s="398">
        <f t="shared" si="34"/>
        <v>5.9999999999999787</v>
      </c>
      <c r="V49" s="408">
        <f t="shared" si="33"/>
        <v>65.000000000000014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-107.07692307692378</v>
      </c>
      <c r="AF49" s="401">
        <f t="shared" si="9"/>
        <v>0.96430769230769209</v>
      </c>
      <c r="AG49" s="510"/>
    </row>
    <row r="50" spans="1:33" ht="15.75" customHeight="1">
      <c r="A50" s="513" t="s">
        <v>2510</v>
      </c>
      <c r="B50" s="42" t="s">
        <v>93</v>
      </c>
      <c r="C50" s="501" t="s">
        <v>1778</v>
      </c>
      <c r="D50" s="502"/>
      <c r="E50" s="42">
        <v>44.03</v>
      </c>
      <c r="F50" s="409">
        <v>2684</v>
      </c>
      <c r="G50" s="398">
        <f t="shared" si="31"/>
        <v>118176.52</v>
      </c>
      <c r="H50" s="411" t="s">
        <v>79</v>
      </c>
      <c r="I50" s="407">
        <v>10</v>
      </c>
      <c r="J50" s="37">
        <v>3000</v>
      </c>
      <c r="K50" s="17">
        <f t="shared" si="1"/>
        <v>300</v>
      </c>
      <c r="L50" s="407">
        <v>10</v>
      </c>
      <c r="M50" s="18">
        <f t="shared" si="32"/>
        <v>2875.7142857142835</v>
      </c>
      <c r="N50" s="18">
        <f t="shared" si="3"/>
        <v>287.57142857142833</v>
      </c>
      <c r="O50" s="19">
        <f t="shared" si="4"/>
        <v>0</v>
      </c>
      <c r="P50" s="20">
        <f t="shared" si="5"/>
        <v>-12.428571428571672</v>
      </c>
      <c r="Q50" s="401">
        <f t="shared" si="6"/>
        <v>0.95857142857142774</v>
      </c>
      <c r="R50" s="510"/>
      <c r="S50" s="40">
        <v>0.47222222222222215</v>
      </c>
      <c r="T50" s="40">
        <v>0.51111111111111107</v>
      </c>
      <c r="U50" s="398">
        <f t="shared" si="34"/>
        <v>5.9999999999999787</v>
      </c>
      <c r="V50" s="408">
        <f t="shared" si="33"/>
        <v>56.000000000000043</v>
      </c>
      <c r="W50" s="23">
        <f>T50</f>
        <v>0.51111111111111107</v>
      </c>
      <c r="X50" s="23">
        <f>S51</f>
        <v>0.55138888888888882</v>
      </c>
      <c r="Y50" s="26"/>
      <c r="Z50" s="26"/>
      <c r="AA50" s="503"/>
      <c r="AB50" s="504"/>
      <c r="AC50" s="154" t="s">
        <v>79</v>
      </c>
      <c r="AD50" s="25"/>
      <c r="AE50" s="19">
        <f t="shared" si="8"/>
        <v>-124.28571428571649</v>
      </c>
      <c r="AF50" s="401">
        <f t="shared" si="9"/>
        <v>0.95857142857142785</v>
      </c>
      <c r="AG50" s="510"/>
    </row>
    <row r="51" spans="1:33" ht="15.75" customHeight="1">
      <c r="A51" s="513" t="s">
        <v>2511</v>
      </c>
      <c r="B51" s="42" t="s">
        <v>93</v>
      </c>
      <c r="C51" s="501" t="s">
        <v>94</v>
      </c>
      <c r="D51" s="502"/>
      <c r="E51" s="42">
        <v>21.13</v>
      </c>
      <c r="F51" s="409">
        <v>1918</v>
      </c>
      <c r="G51" s="398">
        <f t="shared" si="31"/>
        <v>40527.339999999997</v>
      </c>
      <c r="H51" s="411" t="s">
        <v>79</v>
      </c>
      <c r="I51" s="407">
        <v>10</v>
      </c>
      <c r="J51" s="37">
        <v>3000</v>
      </c>
      <c r="K51" s="17">
        <f t="shared" si="1"/>
        <v>300</v>
      </c>
      <c r="L51" s="407">
        <v>10</v>
      </c>
      <c r="M51" s="18">
        <f t="shared" si="32"/>
        <v>2876.9999999999991</v>
      </c>
      <c r="N51" s="18">
        <f t="shared" si="3"/>
        <v>287.69999999999993</v>
      </c>
      <c r="O51" s="19">
        <f t="shared" si="4"/>
        <v>0</v>
      </c>
      <c r="P51" s="20">
        <f t="shared" si="5"/>
        <v>-12.300000000000068</v>
      </c>
      <c r="Q51" s="401">
        <f t="shared" si="6"/>
        <v>0.95899999999999974</v>
      </c>
      <c r="R51" s="510"/>
      <c r="S51" s="40">
        <v>0.55138888888888882</v>
      </c>
      <c r="T51" s="40">
        <v>0.57916666666666661</v>
      </c>
      <c r="U51" s="398">
        <f t="shared" si="34"/>
        <v>57.999999999999957</v>
      </c>
      <c r="V51" s="408">
        <f t="shared" si="33"/>
        <v>40.000000000000014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-123.00000000000091</v>
      </c>
      <c r="AF51" s="401">
        <f t="shared" si="9"/>
        <v>0.95899999999999974</v>
      </c>
      <c r="AG51" s="510"/>
    </row>
    <row r="52" spans="1:33" ht="15.75" customHeight="1">
      <c r="A52" s="513" t="s">
        <v>2511</v>
      </c>
      <c r="B52" s="42" t="s">
        <v>93</v>
      </c>
      <c r="C52" s="501" t="s">
        <v>95</v>
      </c>
      <c r="D52" s="502"/>
      <c r="E52" s="42">
        <v>27.17</v>
      </c>
      <c r="F52" s="409">
        <v>2548</v>
      </c>
      <c r="G52" s="398">
        <f t="shared" si="31"/>
        <v>69229.16</v>
      </c>
      <c r="H52" s="411" t="s">
        <v>79</v>
      </c>
      <c r="I52" s="407">
        <v>10</v>
      </c>
      <c r="J52" s="37">
        <v>3000</v>
      </c>
      <c r="K52" s="17">
        <f t="shared" si="1"/>
        <v>300</v>
      </c>
      <c r="L52" s="407">
        <v>10</v>
      </c>
      <c r="M52" s="18">
        <f t="shared" si="32"/>
        <v>2884.528301886794</v>
      </c>
      <c r="N52" s="18">
        <f t="shared" si="3"/>
        <v>288.4528301886794</v>
      </c>
      <c r="O52" s="19">
        <f t="shared" si="4"/>
        <v>0</v>
      </c>
      <c r="P52" s="20">
        <f t="shared" si="5"/>
        <v>-11.5471698113206</v>
      </c>
      <c r="Q52" s="401">
        <f t="shared" si="6"/>
        <v>0.96150943396226463</v>
      </c>
      <c r="R52" s="510"/>
      <c r="S52" s="40">
        <v>0.58333333333333326</v>
      </c>
      <c r="T52" s="40">
        <v>0.6201388888888888</v>
      </c>
      <c r="U52" s="398">
        <f t="shared" si="34"/>
        <v>5.9999999999999787</v>
      </c>
      <c r="V52" s="408">
        <f t="shared" si="33"/>
        <v>52.999999999999972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-115.471698113206</v>
      </c>
      <c r="AF52" s="401">
        <f t="shared" si="9"/>
        <v>0.96150943396226463</v>
      </c>
      <c r="AG52" s="510"/>
    </row>
    <row r="53" spans="1:33" ht="15.75" customHeight="1">
      <c r="A53" s="513" t="s">
        <v>65</v>
      </c>
      <c r="B53" s="42" t="s">
        <v>93</v>
      </c>
      <c r="C53" s="501" t="s">
        <v>96</v>
      </c>
      <c r="D53" s="502"/>
      <c r="E53" s="42">
        <v>35.119999999999997</v>
      </c>
      <c r="F53" s="409">
        <v>1834</v>
      </c>
      <c r="G53" s="398">
        <f t="shared" si="31"/>
        <v>64410.079999999994</v>
      </c>
      <c r="H53" s="411" t="s">
        <v>79</v>
      </c>
      <c r="I53" s="407">
        <v>10</v>
      </c>
      <c r="J53" s="37">
        <v>3000</v>
      </c>
      <c r="K53" s="17">
        <f t="shared" si="1"/>
        <v>300</v>
      </c>
      <c r="L53" s="407">
        <v>10</v>
      </c>
      <c r="M53" s="18">
        <f t="shared" si="32"/>
        <v>2895.7894736842086</v>
      </c>
      <c r="N53" s="18">
        <f t="shared" si="3"/>
        <v>289.57894736842087</v>
      </c>
      <c r="O53" s="19">
        <f t="shared" si="4"/>
        <v>0</v>
      </c>
      <c r="P53" s="20">
        <f t="shared" si="5"/>
        <v>-10.42105263157913</v>
      </c>
      <c r="Q53" s="401">
        <f t="shared" si="6"/>
        <v>0.96526315789473627</v>
      </c>
      <c r="R53" s="510"/>
      <c r="S53" s="40">
        <v>0.62499999999999989</v>
      </c>
      <c r="T53" s="40">
        <v>0.6513888888888888</v>
      </c>
      <c r="U53" s="398">
        <f t="shared" si="34"/>
        <v>6.9999999999999751</v>
      </c>
      <c r="V53" s="408">
        <f t="shared" si="33"/>
        <v>38.000000000000028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-104.21052631579141</v>
      </c>
      <c r="AF53" s="401">
        <f t="shared" si="9"/>
        <v>0.96526315789473616</v>
      </c>
      <c r="AG53" s="510"/>
    </row>
    <row r="54" spans="1:33" ht="15.75" customHeight="1">
      <c r="A54" s="514" t="s">
        <v>65</v>
      </c>
      <c r="B54" s="42" t="s">
        <v>2512</v>
      </c>
      <c r="C54" s="492"/>
      <c r="D54" s="493"/>
      <c r="E54" s="399"/>
      <c r="F54" s="409"/>
      <c r="G54" s="398"/>
      <c r="H54" s="409"/>
      <c r="I54" s="30">
        <v>10</v>
      </c>
      <c r="J54" s="37">
        <v>3000</v>
      </c>
      <c r="K54" s="17">
        <f t="shared" si="1"/>
        <v>300</v>
      </c>
      <c r="L54" s="30">
        <v>10</v>
      </c>
      <c r="M54" s="18">
        <f>AVERAGE(M44:M53)</f>
        <v>2883.2490421798439</v>
      </c>
      <c r="N54" s="17">
        <f t="shared" si="3"/>
        <v>288.3249042179844</v>
      </c>
      <c r="O54" s="19">
        <f t="shared" si="4"/>
        <v>0</v>
      </c>
      <c r="P54" s="20">
        <f t="shared" si="5"/>
        <v>-11.675095782015603</v>
      </c>
      <c r="Q54" s="401">
        <f t="shared" si="6"/>
        <v>0.961083014059948</v>
      </c>
      <c r="R54" s="511"/>
      <c r="S54" s="40"/>
      <c r="T54" s="40"/>
      <c r="U54" s="398"/>
      <c r="V54" s="408"/>
      <c r="W54" s="23"/>
      <c r="X54" s="23"/>
      <c r="Y54" s="31">
        <f>SUM(Y44:Y53)</f>
        <v>0</v>
      </c>
      <c r="Z54" s="31">
        <f>SUM(Z44:Z53)</f>
        <v>0</v>
      </c>
      <c r="AA54" s="505"/>
      <c r="AB54" s="506"/>
      <c r="AC54" s="31">
        <v>0</v>
      </c>
      <c r="AD54" s="31">
        <f>SUM(AD44:AD53)</f>
        <v>0</v>
      </c>
      <c r="AE54" s="19">
        <f t="shared" si="8"/>
        <v>-116.75095782015615</v>
      </c>
      <c r="AF54" s="401">
        <f t="shared" si="9"/>
        <v>0.961083014059948</v>
      </c>
      <c r="AG54" s="511"/>
    </row>
    <row r="55" spans="1:33" ht="15.75" customHeight="1">
      <c r="A55" s="507" t="s">
        <v>67</v>
      </c>
      <c r="B55" s="42" t="s">
        <v>100</v>
      </c>
      <c r="C55" s="490" t="s">
        <v>101</v>
      </c>
      <c r="D55" s="490"/>
      <c r="E55" s="42">
        <v>46</v>
      </c>
      <c r="F55" s="46">
        <v>1433</v>
      </c>
      <c r="G55" s="398">
        <f t="shared" ref="G55:G63" si="35">E55*F55</f>
        <v>65918</v>
      </c>
      <c r="H55" s="411" t="s">
        <v>79</v>
      </c>
      <c r="I55" s="407">
        <v>17</v>
      </c>
      <c r="J55" s="37">
        <v>2000</v>
      </c>
      <c r="K55" s="17">
        <f t="shared" si="1"/>
        <v>117.64705882352941</v>
      </c>
      <c r="L55" s="407">
        <v>17</v>
      </c>
      <c r="M55" s="18">
        <f t="shared" ref="M55:M63" si="36">F55/V55*60</f>
        <v>1910.6666666666667</v>
      </c>
      <c r="N55" s="18">
        <f t="shared" si="3"/>
        <v>112.3921568627451</v>
      </c>
      <c r="O55" s="19">
        <f t="shared" si="4"/>
        <v>0</v>
      </c>
      <c r="P55" s="20">
        <f t="shared" si="5"/>
        <v>-5.2549019607843093</v>
      </c>
      <c r="Q55" s="401">
        <f t="shared" si="6"/>
        <v>0.95533333333333337</v>
      </c>
      <c r="R55" s="489">
        <f>Q64</f>
        <v>0.92581563877759387</v>
      </c>
      <c r="S55" s="40">
        <v>0.20833333333333334</v>
      </c>
      <c r="T55" s="40">
        <v>0.23958333333333334</v>
      </c>
      <c r="U55" s="28"/>
      <c r="V55" s="408">
        <f t="shared" ref="V55:V63" si="37">(T55-S55)*24*60</f>
        <v>45</v>
      </c>
      <c r="W55" s="28"/>
      <c r="X55" s="28"/>
      <c r="Y55" s="28"/>
      <c r="Z55" s="28"/>
      <c r="AA55" s="491"/>
      <c r="AB55" s="491"/>
      <c r="AC55" s="154">
        <v>4</v>
      </c>
      <c r="AD55" s="25"/>
      <c r="AE55" s="19">
        <f t="shared" si="8"/>
        <v>-89.333333333333258</v>
      </c>
      <c r="AF55" s="401">
        <f t="shared" si="9"/>
        <v>0.95533333333333337</v>
      </c>
      <c r="AG55" s="489">
        <f>AF64</f>
        <v>0.92581563877759387</v>
      </c>
    </row>
    <row r="56" spans="1:33" ht="15.75" customHeight="1">
      <c r="A56" s="507" t="s">
        <v>2447</v>
      </c>
      <c r="B56" s="42" t="s">
        <v>100</v>
      </c>
      <c r="C56" s="490" t="s">
        <v>102</v>
      </c>
      <c r="D56" s="490"/>
      <c r="E56" s="42">
        <v>46</v>
      </c>
      <c r="F56" s="46">
        <v>1490</v>
      </c>
      <c r="G56" s="398">
        <f t="shared" si="35"/>
        <v>68540</v>
      </c>
      <c r="H56" s="411" t="s">
        <v>79</v>
      </c>
      <c r="I56" s="407">
        <v>17</v>
      </c>
      <c r="J56" s="37">
        <v>2000</v>
      </c>
      <c r="K56" s="17">
        <f t="shared" si="1"/>
        <v>117.64705882352941</v>
      </c>
      <c r="L56" s="407">
        <v>17</v>
      </c>
      <c r="M56" s="18">
        <f t="shared" si="36"/>
        <v>1902.1276595744666</v>
      </c>
      <c r="N56" s="18">
        <f t="shared" si="3"/>
        <v>111.8898623279098</v>
      </c>
      <c r="O56" s="19">
        <f t="shared" si="4"/>
        <v>0</v>
      </c>
      <c r="P56" s="20">
        <f t="shared" si="5"/>
        <v>-5.7571964956196098</v>
      </c>
      <c r="Q56" s="401">
        <f t="shared" si="6"/>
        <v>0.95106382978723336</v>
      </c>
      <c r="R56" s="489"/>
      <c r="S56" s="40">
        <v>0.24305555555555555</v>
      </c>
      <c r="T56" s="40">
        <v>0.27569444444444446</v>
      </c>
      <c r="U56" s="398">
        <f t="shared" ref="U56:U63" si="38">IF(S56=TIME(17,0,0),"",(S56-T55)*24*60)</f>
        <v>4.9999999999999822</v>
      </c>
      <c r="V56" s="408">
        <f t="shared" si="37"/>
        <v>47.000000000000036</v>
      </c>
      <c r="W56" s="23"/>
      <c r="X56" s="23"/>
      <c r="Y56" s="23"/>
      <c r="Z56" s="23"/>
      <c r="AA56" s="491"/>
      <c r="AB56" s="491"/>
      <c r="AC56" s="154"/>
      <c r="AD56" s="25"/>
      <c r="AE56" s="19">
        <f t="shared" si="8"/>
        <v>-97.872340425533366</v>
      </c>
      <c r="AF56" s="401">
        <f t="shared" si="9"/>
        <v>0.95106382978723336</v>
      </c>
      <c r="AG56" s="489"/>
    </row>
    <row r="57" spans="1:33" ht="15.75" customHeight="1">
      <c r="A57" s="507" t="s">
        <v>67</v>
      </c>
      <c r="B57" s="42" t="s">
        <v>103</v>
      </c>
      <c r="C57" s="501" t="s">
        <v>105</v>
      </c>
      <c r="D57" s="502"/>
      <c r="E57" s="42">
        <v>56.43</v>
      </c>
      <c r="F57" s="46">
        <v>1717</v>
      </c>
      <c r="G57" s="398">
        <f t="shared" si="35"/>
        <v>96890.31</v>
      </c>
      <c r="H57" s="411" t="s">
        <v>79</v>
      </c>
      <c r="I57" s="407">
        <v>22</v>
      </c>
      <c r="J57" s="37">
        <v>2000</v>
      </c>
      <c r="K57" s="17">
        <f t="shared" si="1"/>
        <v>90.909090909090907</v>
      </c>
      <c r="L57" s="407">
        <v>22</v>
      </c>
      <c r="M57" s="18">
        <f t="shared" si="36"/>
        <v>1716.9999999999991</v>
      </c>
      <c r="N57" s="18">
        <f t="shared" si="3"/>
        <v>78.045454545454504</v>
      </c>
      <c r="O57" s="19">
        <f t="shared" si="4"/>
        <v>0</v>
      </c>
      <c r="P57" s="20">
        <f t="shared" si="5"/>
        <v>-12.863636363636402</v>
      </c>
      <c r="Q57" s="401">
        <f t="shared" si="6"/>
        <v>0.8584999999999996</v>
      </c>
      <c r="R57" s="489"/>
      <c r="S57" s="40">
        <v>0.28055555555555556</v>
      </c>
      <c r="T57" s="40">
        <v>0.32222222222222224</v>
      </c>
      <c r="U57" s="398">
        <f t="shared" si="38"/>
        <v>6.9999999999999751</v>
      </c>
      <c r="V57" s="408">
        <f t="shared" si="37"/>
        <v>60.000000000000028</v>
      </c>
      <c r="W57" s="23"/>
      <c r="X57" s="23"/>
      <c r="Y57" s="26"/>
      <c r="Z57" s="26"/>
      <c r="AA57" s="491"/>
      <c r="AB57" s="491"/>
      <c r="AC57" s="154"/>
      <c r="AD57" s="25"/>
      <c r="AE57" s="19">
        <f t="shared" si="8"/>
        <v>-283.00000000000091</v>
      </c>
      <c r="AF57" s="401">
        <f t="shared" si="9"/>
        <v>0.8584999999999996</v>
      </c>
      <c r="AG57" s="489"/>
    </row>
    <row r="58" spans="1:33" ht="15.75" customHeight="1">
      <c r="A58" s="507" t="s">
        <v>2513</v>
      </c>
      <c r="B58" s="42" t="s">
        <v>103</v>
      </c>
      <c r="C58" s="403" t="s">
        <v>518</v>
      </c>
      <c r="D58" s="404"/>
      <c r="E58" s="42">
        <v>51.75</v>
      </c>
      <c r="F58" s="46">
        <v>1676</v>
      </c>
      <c r="G58" s="398">
        <f t="shared" si="35"/>
        <v>86733</v>
      </c>
      <c r="H58" s="411" t="s">
        <v>79</v>
      </c>
      <c r="I58" s="407">
        <v>25</v>
      </c>
      <c r="J58" s="37">
        <v>2000</v>
      </c>
      <c r="K58" s="17">
        <f t="shared" si="1"/>
        <v>80</v>
      </c>
      <c r="L58" s="407">
        <v>25</v>
      </c>
      <c r="M58" s="18">
        <f t="shared" si="36"/>
        <v>1704.4067796610161</v>
      </c>
      <c r="N58" s="18">
        <f t="shared" si="3"/>
        <v>68.176271186440644</v>
      </c>
      <c r="O58" s="19">
        <f t="shared" si="4"/>
        <v>0</v>
      </c>
      <c r="P58" s="20">
        <f t="shared" si="5"/>
        <v>-11.823728813559356</v>
      </c>
      <c r="Q58" s="401">
        <f t="shared" si="6"/>
        <v>0.85220338983050803</v>
      </c>
      <c r="R58" s="489"/>
      <c r="S58" s="40">
        <v>0.32777777777777778</v>
      </c>
      <c r="T58" s="40">
        <v>0.36875000000000002</v>
      </c>
      <c r="U58" s="398">
        <f t="shared" si="38"/>
        <v>7.9999999999999716</v>
      </c>
      <c r="V58" s="408">
        <f t="shared" si="37"/>
        <v>59.000000000000028</v>
      </c>
      <c r="W58" s="23"/>
      <c r="X58" s="23"/>
      <c r="Y58" s="26"/>
      <c r="Z58" s="26"/>
      <c r="AA58" s="491"/>
      <c r="AB58" s="491"/>
      <c r="AC58" s="154"/>
      <c r="AD58" s="25"/>
      <c r="AE58" s="19">
        <f t="shared" si="8"/>
        <v>-295.59322033898388</v>
      </c>
      <c r="AF58" s="401">
        <f t="shared" si="9"/>
        <v>0.85220338983050803</v>
      </c>
      <c r="AG58" s="489"/>
    </row>
    <row r="59" spans="1:33" ht="15.75" customHeight="1">
      <c r="A59" s="507" t="s">
        <v>2513</v>
      </c>
      <c r="B59" s="42" t="s">
        <v>103</v>
      </c>
      <c r="C59" s="403" t="s">
        <v>1781</v>
      </c>
      <c r="D59" s="404"/>
      <c r="E59" s="42">
        <v>54.09</v>
      </c>
      <c r="F59" s="46">
        <v>1732</v>
      </c>
      <c r="G59" s="398">
        <f t="shared" si="35"/>
        <v>93683.88</v>
      </c>
      <c r="H59" s="411" t="s">
        <v>79</v>
      </c>
      <c r="I59" s="407">
        <v>19</v>
      </c>
      <c r="J59" s="37">
        <v>2000</v>
      </c>
      <c r="K59" s="17">
        <f t="shared" si="1"/>
        <v>105.26315789473684</v>
      </c>
      <c r="L59" s="407">
        <v>19</v>
      </c>
      <c r="M59" s="18">
        <f t="shared" si="36"/>
        <v>1761.3559322033889</v>
      </c>
      <c r="N59" s="18">
        <f t="shared" si="3"/>
        <v>92.70294380017836</v>
      </c>
      <c r="O59" s="19">
        <f t="shared" si="4"/>
        <v>0</v>
      </c>
      <c r="P59" s="20">
        <f t="shared" si="5"/>
        <v>-12.560214094558475</v>
      </c>
      <c r="Q59" s="401">
        <f t="shared" si="6"/>
        <v>0.88067796610169446</v>
      </c>
      <c r="R59" s="489"/>
      <c r="S59" s="40">
        <v>0.37222222222222223</v>
      </c>
      <c r="T59" s="40">
        <v>0.41319444444444448</v>
      </c>
      <c r="U59" s="398">
        <f t="shared" si="38"/>
        <v>4.9999999999999822</v>
      </c>
      <c r="V59" s="408">
        <f t="shared" si="37"/>
        <v>59.000000000000028</v>
      </c>
      <c r="W59" s="23"/>
      <c r="X59" s="23"/>
      <c r="Y59" s="26"/>
      <c r="Z59" s="26"/>
      <c r="AA59" s="491"/>
      <c r="AB59" s="491"/>
      <c r="AC59" s="154"/>
      <c r="AD59" s="25"/>
      <c r="AE59" s="19">
        <f t="shared" si="8"/>
        <v>-238.64406779661113</v>
      </c>
      <c r="AF59" s="401">
        <f t="shared" si="9"/>
        <v>0.88067796610169446</v>
      </c>
      <c r="AG59" s="489"/>
    </row>
    <row r="60" spans="1:33" ht="15.75" customHeight="1">
      <c r="A60" s="507" t="s">
        <v>2513</v>
      </c>
      <c r="B60" s="42" t="s">
        <v>103</v>
      </c>
      <c r="C60" s="501" t="s">
        <v>106</v>
      </c>
      <c r="D60" s="502"/>
      <c r="E60" s="42">
        <v>55.56</v>
      </c>
      <c r="F60" s="46">
        <v>1558</v>
      </c>
      <c r="G60" s="398">
        <f t="shared" si="35"/>
        <v>86562.48000000001</v>
      </c>
      <c r="H60" s="411" t="s">
        <v>79</v>
      </c>
      <c r="I60" s="407">
        <v>17</v>
      </c>
      <c r="J60" s="37">
        <v>2000</v>
      </c>
      <c r="K60" s="17">
        <f t="shared" si="1"/>
        <v>117.64705882352941</v>
      </c>
      <c r="L60" s="407">
        <v>17</v>
      </c>
      <c r="M60" s="18">
        <f t="shared" si="36"/>
        <v>1907.7551020408171</v>
      </c>
      <c r="N60" s="18">
        <f t="shared" si="3"/>
        <v>112.22088835534218</v>
      </c>
      <c r="O60" s="19">
        <f t="shared" si="4"/>
        <v>0</v>
      </c>
      <c r="P60" s="20">
        <f t="shared" si="5"/>
        <v>-5.4261704681872232</v>
      </c>
      <c r="Q60" s="401">
        <f t="shared" si="6"/>
        <v>0.95387755102040861</v>
      </c>
      <c r="R60" s="489"/>
      <c r="S60" s="40">
        <v>0.70833333333333337</v>
      </c>
      <c r="T60" s="40">
        <v>0.74236111111111114</v>
      </c>
      <c r="U60" s="398" t="str">
        <f t="shared" si="38"/>
        <v/>
      </c>
      <c r="V60" s="408">
        <f t="shared" si="37"/>
        <v>48.999999999999986</v>
      </c>
      <c r="W60" s="23"/>
      <c r="X60" s="23"/>
      <c r="Y60" s="26"/>
      <c r="Z60" s="26"/>
      <c r="AA60" s="503"/>
      <c r="AB60" s="504"/>
      <c r="AC60" s="154"/>
      <c r="AD60" s="25"/>
      <c r="AE60" s="19">
        <f t="shared" si="8"/>
        <v>-92.244897959182936</v>
      </c>
      <c r="AF60" s="401">
        <f t="shared" si="9"/>
        <v>0.9538775510204085</v>
      </c>
      <c r="AG60" s="489"/>
    </row>
    <row r="61" spans="1:33" ht="15.75" customHeight="1">
      <c r="A61" s="507" t="s">
        <v>67</v>
      </c>
      <c r="B61" s="42" t="s">
        <v>103</v>
      </c>
      <c r="C61" s="501" t="s">
        <v>107</v>
      </c>
      <c r="D61" s="502"/>
      <c r="E61" s="42">
        <v>55.32</v>
      </c>
      <c r="F61" s="46">
        <v>1040</v>
      </c>
      <c r="G61" s="398">
        <f t="shared" si="35"/>
        <v>57532.800000000003</v>
      </c>
      <c r="H61" s="411" t="s">
        <v>79</v>
      </c>
      <c r="I61" s="407">
        <v>15</v>
      </c>
      <c r="J61" s="37">
        <v>2000</v>
      </c>
      <c r="K61" s="17">
        <f t="shared" si="1"/>
        <v>133.33333333333334</v>
      </c>
      <c r="L61" s="407">
        <v>15</v>
      </c>
      <c r="M61" s="18">
        <f t="shared" si="36"/>
        <v>1949.9999999999975</v>
      </c>
      <c r="N61" s="18">
        <f t="shared" si="3"/>
        <v>129.99999999999983</v>
      </c>
      <c r="O61" s="19">
        <f t="shared" si="4"/>
        <v>0</v>
      </c>
      <c r="P61" s="20">
        <f t="shared" si="5"/>
        <v>-3.3333333333335133</v>
      </c>
      <c r="Q61" s="401">
        <f t="shared" si="6"/>
        <v>0.97499999999999865</v>
      </c>
      <c r="R61" s="489"/>
      <c r="S61" s="40">
        <v>0.74791666666666667</v>
      </c>
      <c r="T61" s="40">
        <v>0.77013888888888893</v>
      </c>
      <c r="U61" s="398">
        <f t="shared" si="38"/>
        <v>7.9999999999999716</v>
      </c>
      <c r="V61" s="408">
        <f t="shared" si="37"/>
        <v>32.000000000000043</v>
      </c>
      <c r="W61" s="23"/>
      <c r="X61" s="23"/>
      <c r="Y61" s="26"/>
      <c r="Z61" s="26"/>
      <c r="AA61" s="503"/>
      <c r="AB61" s="504"/>
      <c r="AC61" s="154"/>
      <c r="AD61" s="25"/>
      <c r="AE61" s="19">
        <f t="shared" si="8"/>
        <v>-50.000000000002501</v>
      </c>
      <c r="AF61" s="401">
        <f t="shared" si="9"/>
        <v>0.97499999999999876</v>
      </c>
      <c r="AG61" s="489"/>
    </row>
    <row r="62" spans="1:33" ht="15.75" customHeight="1">
      <c r="A62" s="507" t="s">
        <v>2513</v>
      </c>
      <c r="B62" s="42" t="s">
        <v>103</v>
      </c>
      <c r="C62" s="501" t="s">
        <v>108</v>
      </c>
      <c r="D62" s="502"/>
      <c r="E62" s="42">
        <v>54.29</v>
      </c>
      <c r="F62" s="46">
        <v>1654</v>
      </c>
      <c r="G62" s="398">
        <f t="shared" si="35"/>
        <v>89795.66</v>
      </c>
      <c r="H62" s="411" t="s">
        <v>79</v>
      </c>
      <c r="I62" s="407">
        <v>20</v>
      </c>
      <c r="J62" s="37">
        <v>2000</v>
      </c>
      <c r="K62" s="17">
        <f t="shared" si="1"/>
        <v>100</v>
      </c>
      <c r="L62" s="407">
        <v>20</v>
      </c>
      <c r="M62" s="18">
        <f t="shared" si="36"/>
        <v>1908.4615384615395</v>
      </c>
      <c r="N62" s="18">
        <f t="shared" si="3"/>
        <v>95.423076923076977</v>
      </c>
      <c r="O62" s="19">
        <f t="shared" si="4"/>
        <v>0</v>
      </c>
      <c r="P62" s="20">
        <f t="shared" si="5"/>
        <v>-4.5769230769230234</v>
      </c>
      <c r="Q62" s="401">
        <f t="shared" si="6"/>
        <v>0.95423076923076977</v>
      </c>
      <c r="R62" s="489"/>
      <c r="S62" s="40">
        <v>0.77569444444444446</v>
      </c>
      <c r="T62" s="40">
        <v>0.81180555555555556</v>
      </c>
      <c r="U62" s="398">
        <f t="shared" si="38"/>
        <v>7.9999999999999716</v>
      </c>
      <c r="V62" s="408">
        <f t="shared" si="37"/>
        <v>51.999999999999972</v>
      </c>
      <c r="W62" s="23"/>
      <c r="X62" s="23"/>
      <c r="Y62" s="26"/>
      <c r="Z62" s="26"/>
      <c r="AA62" s="503"/>
      <c r="AB62" s="504"/>
      <c r="AC62" s="154"/>
      <c r="AD62" s="25"/>
      <c r="AE62" s="19">
        <f t="shared" si="8"/>
        <v>-91.538461538460524</v>
      </c>
      <c r="AF62" s="401">
        <f t="shared" si="9"/>
        <v>0.95423076923076977</v>
      </c>
      <c r="AG62" s="489"/>
    </row>
    <row r="63" spans="1:33">
      <c r="A63" s="507" t="s">
        <v>2513</v>
      </c>
      <c r="B63" s="42" t="s">
        <v>103</v>
      </c>
      <c r="C63" s="501" t="s">
        <v>141</v>
      </c>
      <c r="D63" s="502"/>
      <c r="E63" s="42">
        <v>57.73</v>
      </c>
      <c r="F63" s="46">
        <v>984</v>
      </c>
      <c r="G63" s="398">
        <f t="shared" si="35"/>
        <v>56806.32</v>
      </c>
      <c r="H63" s="411" t="s">
        <v>79</v>
      </c>
      <c r="I63" s="407">
        <v>16</v>
      </c>
      <c r="J63" s="37">
        <v>1500</v>
      </c>
      <c r="K63" s="17">
        <f t="shared" si="1"/>
        <v>93.75</v>
      </c>
      <c r="L63" s="407">
        <v>16</v>
      </c>
      <c r="M63" s="18">
        <f t="shared" si="36"/>
        <v>1439.9999999999995</v>
      </c>
      <c r="N63" s="18">
        <f t="shared" si="3"/>
        <v>89.999999999999972</v>
      </c>
      <c r="O63" s="19">
        <f t="shared" si="4"/>
        <v>0</v>
      </c>
      <c r="P63" s="20">
        <f t="shared" si="5"/>
        <v>-3.7500000000000284</v>
      </c>
      <c r="Q63" s="401">
        <f t="shared" si="6"/>
        <v>0.95999999999999974</v>
      </c>
      <c r="R63" s="489"/>
      <c r="S63" s="40">
        <v>0.81527777777777777</v>
      </c>
      <c r="T63" s="40">
        <v>0.84375</v>
      </c>
      <c r="U63" s="398">
        <f t="shared" si="38"/>
        <v>4.9999999999999822</v>
      </c>
      <c r="V63" s="408">
        <f t="shared" si="37"/>
        <v>41.000000000000014</v>
      </c>
      <c r="W63" s="23"/>
      <c r="X63" s="23"/>
      <c r="Y63" s="26"/>
      <c r="Z63" s="26"/>
      <c r="AA63" s="503"/>
      <c r="AB63" s="504"/>
      <c r="AC63" s="154"/>
      <c r="AD63" s="25"/>
      <c r="AE63" s="19">
        <f t="shared" si="8"/>
        <v>-60.000000000000455</v>
      </c>
      <c r="AF63" s="401">
        <f t="shared" si="9"/>
        <v>0.95999999999999974</v>
      </c>
      <c r="AG63" s="489"/>
    </row>
    <row r="64" spans="1:33">
      <c r="A64" s="508" t="s">
        <v>67</v>
      </c>
      <c r="B64" s="42" t="s">
        <v>71</v>
      </c>
      <c r="C64" s="494"/>
      <c r="D64" s="494"/>
      <c r="E64" s="402"/>
      <c r="F64" s="44"/>
      <c r="G64" s="17"/>
      <c r="H64" s="409"/>
      <c r="I64" s="30">
        <v>18.666666666666668</v>
      </c>
      <c r="J64" s="37">
        <v>1944.4444444444443</v>
      </c>
      <c r="K64" s="17">
        <f t="shared" si="1"/>
        <v>104.16666666666666</v>
      </c>
      <c r="L64" s="30">
        <v>18.666666666666668</v>
      </c>
      <c r="M64" s="18">
        <f>AVERAGE(M55:M63)</f>
        <v>1800.1970754008769</v>
      </c>
      <c r="N64" s="17">
        <f t="shared" si="3"/>
        <v>96.439129039332684</v>
      </c>
      <c r="O64" s="19">
        <f t="shared" si="4"/>
        <v>0</v>
      </c>
      <c r="P64" s="20">
        <f t="shared" si="5"/>
        <v>-7.7275376273339731</v>
      </c>
      <c r="Q64" s="401">
        <f t="shared" si="6"/>
        <v>0.92581563877759387</v>
      </c>
      <c r="R64" s="489"/>
      <c r="S64" s="40"/>
      <c r="T64" s="40"/>
      <c r="U64" s="398"/>
      <c r="V64" s="408"/>
      <c r="W64" s="17"/>
      <c r="X64" s="17"/>
      <c r="Y64" s="31">
        <f>SUM(Y55:Y63)</f>
        <v>0</v>
      </c>
      <c r="Z64" s="31">
        <f>SUM(Z55:Z63)</f>
        <v>0</v>
      </c>
      <c r="AA64" s="495"/>
      <c r="AB64" s="495"/>
      <c r="AC64" s="31">
        <v>4</v>
      </c>
      <c r="AD64" s="31">
        <f>SUM(AD55:AD63)</f>
        <v>0</v>
      </c>
      <c r="AE64" s="19">
        <f>M64-J64</f>
        <v>-144.24736904356746</v>
      </c>
      <c r="AF64" s="401">
        <f t="shared" si="9"/>
        <v>0.92581563877759387</v>
      </c>
      <c r="AG64" s="489"/>
    </row>
    <row r="65" spans="1:33" ht="15.75" customHeight="1">
      <c r="A65" s="499" t="s">
        <v>72</v>
      </c>
      <c r="B65" s="409" t="s">
        <v>100</v>
      </c>
      <c r="C65" s="490" t="s">
        <v>109</v>
      </c>
      <c r="D65" s="490"/>
      <c r="E65" s="42">
        <v>26.97</v>
      </c>
      <c r="F65" s="46">
        <v>2122</v>
      </c>
      <c r="G65" s="398">
        <f t="shared" ref="G65:G69" si="39">E65*F65</f>
        <v>57230.34</v>
      </c>
      <c r="H65" s="411" t="s">
        <v>79</v>
      </c>
      <c r="I65" s="407">
        <v>8</v>
      </c>
      <c r="J65" s="37">
        <v>1500</v>
      </c>
      <c r="K65" s="17">
        <f t="shared" si="1"/>
        <v>187.5</v>
      </c>
      <c r="L65" s="407">
        <v>8</v>
      </c>
      <c r="M65" s="18">
        <f t="shared" ref="M65:M69" si="40">F65/V65*60</f>
        <v>1430.5617977528082</v>
      </c>
      <c r="N65" s="17">
        <f t="shared" si="3"/>
        <v>178.82022471910102</v>
      </c>
      <c r="O65" s="19">
        <f t="shared" si="4"/>
        <v>0</v>
      </c>
      <c r="P65" s="20">
        <f t="shared" si="5"/>
        <v>-8.6797752808989799</v>
      </c>
      <c r="Q65" s="401">
        <f t="shared" si="6"/>
        <v>0.95370786516853878</v>
      </c>
      <c r="R65" s="489">
        <f>Q70</f>
        <v>0.96432093120430784</v>
      </c>
      <c r="S65" s="40">
        <v>0.20833333333333334</v>
      </c>
      <c r="T65" s="40">
        <v>0.27013888888888893</v>
      </c>
      <c r="U65" s="398"/>
      <c r="V65" s="408">
        <f t="shared" ref="V65:V69" si="41">(T65-S65)*24*60</f>
        <v>89.000000000000043</v>
      </c>
      <c r="W65" s="28"/>
      <c r="X65" s="28"/>
      <c r="Y65" s="28"/>
      <c r="Z65" s="28"/>
      <c r="AA65" s="491"/>
      <c r="AB65" s="491"/>
      <c r="AC65" s="154">
        <v>1</v>
      </c>
      <c r="AD65" s="25"/>
      <c r="AE65" s="19">
        <f t="shared" ref="AE65:AE76" si="42">M65-J65</f>
        <v>-69.438202247191839</v>
      </c>
      <c r="AF65" s="401">
        <f t="shared" si="9"/>
        <v>0.95370786516853878</v>
      </c>
      <c r="AG65" s="489">
        <f>AF70</f>
        <v>0.96432093120430795</v>
      </c>
    </row>
    <row r="66" spans="1:33" ht="15.75" customHeight="1">
      <c r="A66" s="499" t="s">
        <v>2514</v>
      </c>
      <c r="B66" s="409" t="s">
        <v>100</v>
      </c>
      <c r="C66" s="490" t="s">
        <v>519</v>
      </c>
      <c r="D66" s="490"/>
      <c r="E66" s="42">
        <v>27.4</v>
      </c>
      <c r="F66" s="46">
        <v>2013</v>
      </c>
      <c r="G66" s="398">
        <f t="shared" si="39"/>
        <v>55156.2</v>
      </c>
      <c r="H66" s="411" t="s">
        <v>79</v>
      </c>
      <c r="I66" s="407">
        <v>10</v>
      </c>
      <c r="J66" s="37">
        <v>1500</v>
      </c>
      <c r="K66" s="17">
        <f t="shared" si="1"/>
        <v>150</v>
      </c>
      <c r="L66" s="407">
        <v>10</v>
      </c>
      <c r="M66" s="18">
        <f t="shared" si="40"/>
        <v>1437.8571428571422</v>
      </c>
      <c r="N66" s="17">
        <f t="shared" si="3"/>
        <v>143.78571428571422</v>
      </c>
      <c r="O66" s="19">
        <f t="shared" si="4"/>
        <v>0</v>
      </c>
      <c r="P66" s="20">
        <f t="shared" si="5"/>
        <v>-6.2142857142857792</v>
      </c>
      <c r="Q66" s="401">
        <f t="shared" si="6"/>
        <v>0.95857142857142819</v>
      </c>
      <c r="R66" s="489"/>
      <c r="S66" s="40">
        <v>0.27569444444444446</v>
      </c>
      <c r="T66" s="40">
        <v>0.33402777777777781</v>
      </c>
      <c r="U66" s="398">
        <f t="shared" ref="U66:U69" si="43">(S66-T65)*24*60</f>
        <v>7.9999999999999716</v>
      </c>
      <c r="V66" s="408">
        <f t="shared" si="41"/>
        <v>84.000000000000028</v>
      </c>
      <c r="W66" s="398"/>
      <c r="X66" s="398"/>
      <c r="Y66" s="398"/>
      <c r="Z66" s="398"/>
      <c r="AA66" s="491"/>
      <c r="AB66" s="491"/>
      <c r="AC66" s="154"/>
      <c r="AD66" s="25"/>
      <c r="AE66" s="19">
        <f t="shared" si="42"/>
        <v>-62.142857142857792</v>
      </c>
      <c r="AF66" s="401">
        <f t="shared" si="9"/>
        <v>0.95857142857142819</v>
      </c>
      <c r="AG66" s="489"/>
    </row>
    <row r="67" spans="1:33" ht="15.75" customHeight="1">
      <c r="A67" s="499" t="s">
        <v>72</v>
      </c>
      <c r="B67" s="409" t="s">
        <v>93</v>
      </c>
      <c r="C67" s="490" t="s">
        <v>97</v>
      </c>
      <c r="D67" s="490"/>
      <c r="E67" s="42">
        <v>31</v>
      </c>
      <c r="F67" s="46">
        <v>883</v>
      </c>
      <c r="G67" s="398">
        <f t="shared" si="39"/>
        <v>27373</v>
      </c>
      <c r="H67" s="411" t="s">
        <v>79</v>
      </c>
      <c r="I67" s="407">
        <v>13</v>
      </c>
      <c r="J67" s="37">
        <v>2000</v>
      </c>
      <c r="K67" s="17">
        <f t="shared" si="1"/>
        <v>153.84615384615384</v>
      </c>
      <c r="L67" s="407">
        <v>13</v>
      </c>
      <c r="M67" s="18">
        <f t="shared" si="40"/>
        <v>1962.2222222222235</v>
      </c>
      <c r="N67" s="17">
        <f t="shared" si="3"/>
        <v>150.94017094017104</v>
      </c>
      <c r="O67" s="19">
        <f t="shared" si="4"/>
        <v>0</v>
      </c>
      <c r="P67" s="20">
        <f t="shared" si="5"/>
        <v>-2.9059829059827962</v>
      </c>
      <c r="Q67" s="401">
        <f t="shared" si="6"/>
        <v>0.98111111111111182</v>
      </c>
      <c r="R67" s="489"/>
      <c r="S67" s="40">
        <v>0.33819444444444446</v>
      </c>
      <c r="T67" s="40">
        <v>0.35694444444444445</v>
      </c>
      <c r="U67" s="398">
        <f t="shared" si="43"/>
        <v>5.9999999999999787</v>
      </c>
      <c r="V67" s="408">
        <f t="shared" si="41"/>
        <v>26.999999999999986</v>
      </c>
      <c r="W67" s="398"/>
      <c r="X67" s="398"/>
      <c r="Y67" s="398"/>
      <c r="Z67" s="398"/>
      <c r="AA67" s="491"/>
      <c r="AB67" s="491"/>
      <c r="AC67" s="154" t="s">
        <v>79</v>
      </c>
      <c r="AD67" s="25"/>
      <c r="AE67" s="19">
        <f t="shared" si="42"/>
        <v>-37.777777777776464</v>
      </c>
      <c r="AF67" s="401">
        <f t="shared" si="9"/>
        <v>0.98111111111111182</v>
      </c>
      <c r="AG67" s="489"/>
    </row>
    <row r="68" spans="1:33" ht="15.75" customHeight="1">
      <c r="A68" s="499" t="s">
        <v>2514</v>
      </c>
      <c r="B68" s="409" t="s">
        <v>93</v>
      </c>
      <c r="C68" s="490" t="s">
        <v>1235</v>
      </c>
      <c r="D68" s="490"/>
      <c r="E68" s="42">
        <v>37.85</v>
      </c>
      <c r="F68" s="46">
        <v>2605</v>
      </c>
      <c r="G68" s="398">
        <f t="shared" si="39"/>
        <v>98599.25</v>
      </c>
      <c r="H68" s="411" t="s">
        <v>79</v>
      </c>
      <c r="I68" s="407">
        <v>12</v>
      </c>
      <c r="J68" s="37">
        <v>2000</v>
      </c>
      <c r="K68" s="17">
        <f t="shared" si="1"/>
        <v>166.66666666666666</v>
      </c>
      <c r="L68" s="407">
        <v>12</v>
      </c>
      <c r="M68" s="18">
        <f t="shared" si="40"/>
        <v>1906.0975609756092</v>
      </c>
      <c r="N68" s="17">
        <f t="shared" si="3"/>
        <v>158.84146341463409</v>
      </c>
      <c r="O68" s="19">
        <f t="shared" si="4"/>
        <v>0</v>
      </c>
      <c r="P68" s="20">
        <f t="shared" si="5"/>
        <v>-7.8252032520325656</v>
      </c>
      <c r="Q68" s="401">
        <f t="shared" si="6"/>
        <v>0.95304878048780461</v>
      </c>
      <c r="R68" s="489"/>
      <c r="S68" s="40">
        <v>0.36249999999999999</v>
      </c>
      <c r="T68" s="40">
        <v>0.41944444444444445</v>
      </c>
      <c r="U68" s="398">
        <f t="shared" si="43"/>
        <v>7.9999999999999716</v>
      </c>
      <c r="V68" s="408">
        <f t="shared" si="41"/>
        <v>82.000000000000028</v>
      </c>
      <c r="W68" s="398"/>
      <c r="X68" s="398"/>
      <c r="Y68" s="398"/>
      <c r="Z68" s="398"/>
      <c r="AA68" s="491"/>
      <c r="AB68" s="491"/>
      <c r="AC68" s="154" t="s">
        <v>79</v>
      </c>
      <c r="AD68" s="25"/>
      <c r="AE68" s="19">
        <f t="shared" si="42"/>
        <v>-93.902439024390787</v>
      </c>
      <c r="AF68" s="401">
        <f t="shared" si="9"/>
        <v>0.95304878048780461</v>
      </c>
      <c r="AG68" s="489"/>
    </row>
    <row r="69" spans="1:33">
      <c r="A69" s="500" t="s">
        <v>2515</v>
      </c>
      <c r="B69" s="409" t="s">
        <v>93</v>
      </c>
      <c r="C69" s="490" t="s">
        <v>113</v>
      </c>
      <c r="D69" s="490"/>
      <c r="E69" s="42">
        <v>34.36</v>
      </c>
      <c r="F69" s="46">
        <v>1647</v>
      </c>
      <c r="G69" s="398">
        <f t="shared" si="39"/>
        <v>56590.92</v>
      </c>
      <c r="H69" s="411" t="s">
        <v>79</v>
      </c>
      <c r="I69" s="407">
        <v>10</v>
      </c>
      <c r="J69" s="37">
        <v>3000</v>
      </c>
      <c r="K69" s="17">
        <f t="shared" ref="K69:K76" si="44">J69/I69</f>
        <v>300</v>
      </c>
      <c r="L69" s="407">
        <v>10</v>
      </c>
      <c r="M69" s="18">
        <f t="shared" si="40"/>
        <v>2906.4705882352978</v>
      </c>
      <c r="N69" s="17">
        <f t="shared" ref="N69:N76" si="45">M69/L69</f>
        <v>290.64705882352979</v>
      </c>
      <c r="O69" s="19">
        <f t="shared" ref="O69:O76" si="46">L69-I69</f>
        <v>0</v>
      </c>
      <c r="P69" s="20">
        <f t="shared" ref="P69:P76" si="47">N69-K69</f>
        <v>-9.3529411764702104</v>
      </c>
      <c r="Q69" s="401">
        <f t="shared" ref="Q69:Q76" si="48">N69/K69</f>
        <v>0.96882352941176597</v>
      </c>
      <c r="R69" s="489"/>
      <c r="S69" s="40">
        <v>0.42291666666666666</v>
      </c>
      <c r="T69" s="40">
        <v>0.44652777777777775</v>
      </c>
      <c r="U69" s="398">
        <f t="shared" si="43"/>
        <v>4.9999999999999822</v>
      </c>
      <c r="V69" s="408">
        <f t="shared" si="41"/>
        <v>33.999999999999957</v>
      </c>
      <c r="W69" s="23"/>
      <c r="X69" s="23"/>
      <c r="Y69" s="23"/>
      <c r="Z69" s="23"/>
      <c r="AA69" s="491"/>
      <c r="AB69" s="491"/>
      <c r="AC69" s="154" t="s">
        <v>79</v>
      </c>
      <c r="AD69" s="25"/>
      <c r="AE69" s="19">
        <f t="shared" si="42"/>
        <v>-93.529411764702218</v>
      </c>
      <c r="AF69" s="401">
        <f t="shared" ref="AF69:AF76" si="49">M69/J69</f>
        <v>0.96882352941176597</v>
      </c>
      <c r="AG69" s="489"/>
    </row>
    <row r="70" spans="1:33">
      <c r="A70" s="500" t="s">
        <v>72</v>
      </c>
      <c r="B70" s="42" t="s">
        <v>71</v>
      </c>
      <c r="C70" s="494"/>
      <c r="D70" s="494"/>
      <c r="E70" s="402"/>
      <c r="F70" s="44"/>
      <c r="G70" s="17"/>
      <c r="H70" s="409"/>
      <c r="I70" s="30">
        <v>10.6</v>
      </c>
      <c r="J70" s="37">
        <v>2000</v>
      </c>
      <c r="K70" s="17">
        <f t="shared" si="44"/>
        <v>188.67924528301887</v>
      </c>
      <c r="L70" s="30">
        <v>10.6</v>
      </c>
      <c r="M70" s="18">
        <f>AVERAGE(M65:M69)</f>
        <v>1928.6418624086159</v>
      </c>
      <c r="N70" s="17">
        <f t="shared" si="45"/>
        <v>181.94734551024678</v>
      </c>
      <c r="O70" s="19">
        <f t="shared" si="46"/>
        <v>0</v>
      </c>
      <c r="P70" s="20">
        <f t="shared" si="47"/>
        <v>-6.7318997727720955</v>
      </c>
      <c r="Q70" s="401">
        <f t="shared" si="48"/>
        <v>0.96432093120430784</v>
      </c>
      <c r="R70" s="489"/>
      <c r="S70" s="40"/>
      <c r="T70" s="40"/>
      <c r="U70" s="17"/>
      <c r="V70" s="408"/>
      <c r="W70" s="17"/>
      <c r="X70" s="17"/>
      <c r="Y70" s="31">
        <f>SUM(Y65:Y69)</f>
        <v>0</v>
      </c>
      <c r="Z70" s="31">
        <f>SUM(Z65:Z69)</f>
        <v>0</v>
      </c>
      <c r="AA70" s="495"/>
      <c r="AB70" s="495"/>
      <c r="AC70" s="31">
        <v>1</v>
      </c>
      <c r="AD70" s="31">
        <f>SUM(AD65:AD69)</f>
        <v>0</v>
      </c>
      <c r="AE70" s="19">
        <f t="shared" si="42"/>
        <v>-71.358137591384093</v>
      </c>
      <c r="AF70" s="401">
        <f t="shared" si="49"/>
        <v>0.96432093120430795</v>
      </c>
      <c r="AG70" s="489"/>
    </row>
    <row r="71" spans="1:33" ht="15.75" customHeight="1">
      <c r="A71" s="496" t="s">
        <v>75</v>
      </c>
      <c r="B71" s="409" t="s">
        <v>80</v>
      </c>
      <c r="C71" s="490" t="s">
        <v>115</v>
      </c>
      <c r="D71" s="490"/>
      <c r="E71" s="42">
        <v>20.2</v>
      </c>
      <c r="F71" s="409">
        <v>1725</v>
      </c>
      <c r="G71" s="398">
        <f t="shared" ref="G71:G75" si="50">E71*F71</f>
        <v>34845</v>
      </c>
      <c r="H71" s="411" t="s">
        <v>79</v>
      </c>
      <c r="I71" s="407">
        <v>19</v>
      </c>
      <c r="J71" s="37">
        <v>2400</v>
      </c>
      <c r="K71" s="17">
        <f t="shared" si="44"/>
        <v>126.31578947368421</v>
      </c>
      <c r="L71" s="407">
        <v>19</v>
      </c>
      <c r="M71" s="18">
        <f t="shared" ref="M71:M75" si="51">F71/V71*60</f>
        <v>2300</v>
      </c>
      <c r="N71" s="17">
        <f t="shared" si="45"/>
        <v>121.05263157894737</v>
      </c>
      <c r="O71" s="19">
        <f t="shared" si="46"/>
        <v>0</v>
      </c>
      <c r="P71" s="20">
        <f t="shared" si="47"/>
        <v>-5.2631578947368354</v>
      </c>
      <c r="Q71" s="401">
        <f t="shared" si="48"/>
        <v>0.95833333333333337</v>
      </c>
      <c r="R71" s="489">
        <f>Q76</f>
        <v>0.95881628084787052</v>
      </c>
      <c r="S71" s="40">
        <v>0.125</v>
      </c>
      <c r="T71" s="40">
        <v>0.15625</v>
      </c>
      <c r="U71" s="28"/>
      <c r="V71" s="408">
        <f t="shared" ref="V71:V75" si="52">(T71-S71)*24*60</f>
        <v>45</v>
      </c>
      <c r="W71" s="23">
        <f>T71</f>
        <v>0.15625</v>
      </c>
      <c r="X71" s="23">
        <f>S72</f>
        <v>0.17500000000000002</v>
      </c>
      <c r="Y71" s="23"/>
      <c r="Z71" s="23"/>
      <c r="AA71" s="491"/>
      <c r="AB71" s="491"/>
      <c r="AC71" s="154">
        <v>6</v>
      </c>
      <c r="AD71" s="25"/>
      <c r="AE71" s="19">
        <f t="shared" si="42"/>
        <v>-100</v>
      </c>
      <c r="AF71" s="401">
        <f t="shared" si="49"/>
        <v>0.95833333333333337</v>
      </c>
      <c r="AG71" s="489">
        <f>AF76</f>
        <v>0.95881628084787029</v>
      </c>
    </row>
    <row r="72" spans="1:33" ht="15.75" customHeight="1">
      <c r="A72" s="497" t="s">
        <v>75</v>
      </c>
      <c r="B72" s="409" t="s">
        <v>80</v>
      </c>
      <c r="C72" s="490" t="s">
        <v>116</v>
      </c>
      <c r="D72" s="490"/>
      <c r="E72" s="42">
        <v>20.52</v>
      </c>
      <c r="F72" s="409">
        <v>2620</v>
      </c>
      <c r="G72" s="398">
        <f t="shared" si="50"/>
        <v>53762.400000000001</v>
      </c>
      <c r="H72" s="411" t="s">
        <v>79</v>
      </c>
      <c r="I72" s="407">
        <v>18</v>
      </c>
      <c r="J72" s="37">
        <v>2400</v>
      </c>
      <c r="K72" s="17">
        <f t="shared" si="44"/>
        <v>133.33333333333334</v>
      </c>
      <c r="L72" s="407">
        <v>18</v>
      </c>
      <c r="M72" s="18">
        <f t="shared" si="51"/>
        <v>2311.7647058823532</v>
      </c>
      <c r="N72" s="17">
        <f t="shared" si="45"/>
        <v>128.43137254901961</v>
      </c>
      <c r="O72" s="19">
        <f t="shared" si="46"/>
        <v>0</v>
      </c>
      <c r="P72" s="20">
        <f t="shared" si="47"/>
        <v>-4.9019607843137294</v>
      </c>
      <c r="Q72" s="401">
        <f t="shared" si="48"/>
        <v>0.96323529411764708</v>
      </c>
      <c r="R72" s="489"/>
      <c r="S72" s="40">
        <v>0.17500000000000002</v>
      </c>
      <c r="T72" s="40">
        <v>0.22222222222222224</v>
      </c>
      <c r="U72" s="398">
        <f t="shared" ref="U72:U75" si="53">(S72-T71)*24*60</f>
        <v>27.000000000000025</v>
      </c>
      <c r="V72" s="408">
        <f t="shared" si="52"/>
        <v>68</v>
      </c>
      <c r="W72" s="23"/>
      <c r="X72" s="23"/>
      <c r="Y72" s="23"/>
      <c r="Z72" s="23"/>
      <c r="AA72" s="491"/>
      <c r="AB72" s="491"/>
      <c r="AC72" s="154"/>
      <c r="AD72" s="25"/>
      <c r="AE72" s="19">
        <f t="shared" si="42"/>
        <v>-88.235294117646845</v>
      </c>
      <c r="AF72" s="401">
        <f t="shared" si="49"/>
        <v>0.96323529411764719</v>
      </c>
      <c r="AG72" s="489"/>
    </row>
    <row r="73" spans="1:33" ht="15.75" customHeight="1">
      <c r="A73" s="497" t="s">
        <v>2516</v>
      </c>
      <c r="B73" s="409" t="s">
        <v>80</v>
      </c>
      <c r="C73" s="490" t="s">
        <v>119</v>
      </c>
      <c r="D73" s="490"/>
      <c r="E73" s="42">
        <v>19.02</v>
      </c>
      <c r="F73" s="409">
        <v>7354</v>
      </c>
      <c r="G73" s="398">
        <f t="shared" si="50"/>
        <v>139873.07999999999</v>
      </c>
      <c r="H73" s="411" t="s">
        <v>79</v>
      </c>
      <c r="I73" s="407">
        <v>15</v>
      </c>
      <c r="J73" s="37">
        <v>2400</v>
      </c>
      <c r="K73" s="17">
        <f t="shared" si="44"/>
        <v>160</v>
      </c>
      <c r="L73" s="407">
        <v>15</v>
      </c>
      <c r="M73" s="18">
        <f t="shared" si="51"/>
        <v>2286.2176165803103</v>
      </c>
      <c r="N73" s="17">
        <f t="shared" si="45"/>
        <v>152.4145077720207</v>
      </c>
      <c r="O73" s="19">
        <f t="shared" si="46"/>
        <v>0</v>
      </c>
      <c r="P73" s="20">
        <f t="shared" si="47"/>
        <v>-7.5854922279793016</v>
      </c>
      <c r="Q73" s="401">
        <f t="shared" si="48"/>
        <v>0.95259067357512939</v>
      </c>
      <c r="R73" s="489"/>
      <c r="S73" s="40">
        <v>0.22638888888888892</v>
      </c>
      <c r="T73" s="40">
        <v>0.36041666666666672</v>
      </c>
      <c r="U73" s="398">
        <f t="shared" si="53"/>
        <v>6.0000000000000187</v>
      </c>
      <c r="V73" s="408">
        <f t="shared" si="52"/>
        <v>193.00000000000003</v>
      </c>
      <c r="W73" s="23"/>
      <c r="X73" s="23"/>
      <c r="Y73" s="23"/>
      <c r="Z73" s="23"/>
      <c r="AA73" s="491"/>
      <c r="AB73" s="491"/>
      <c r="AC73" s="154"/>
      <c r="AD73" s="25"/>
      <c r="AE73" s="19">
        <f t="shared" si="42"/>
        <v>-113.78238341968972</v>
      </c>
      <c r="AF73" s="401">
        <f t="shared" si="49"/>
        <v>0.95259067357512928</v>
      </c>
      <c r="AG73" s="489"/>
    </row>
    <row r="74" spans="1:33" ht="15.75" customHeight="1">
      <c r="A74" s="497" t="s">
        <v>2517</v>
      </c>
      <c r="B74" s="409" t="s">
        <v>80</v>
      </c>
      <c r="C74" s="490" t="s">
        <v>117</v>
      </c>
      <c r="D74" s="490"/>
      <c r="E74" s="42">
        <v>24.43</v>
      </c>
      <c r="F74" s="409">
        <v>4986</v>
      </c>
      <c r="G74" s="398">
        <f t="shared" si="50"/>
        <v>121807.98</v>
      </c>
      <c r="H74" s="411" t="s">
        <v>79</v>
      </c>
      <c r="I74" s="407">
        <v>14</v>
      </c>
      <c r="J74" s="37">
        <v>2400</v>
      </c>
      <c r="K74" s="17">
        <f t="shared" si="44"/>
        <v>171.42857142857142</v>
      </c>
      <c r="L74" s="407">
        <v>14</v>
      </c>
      <c r="M74" s="18">
        <f t="shared" si="51"/>
        <v>2301.2307692307686</v>
      </c>
      <c r="N74" s="17">
        <f t="shared" si="45"/>
        <v>164.37362637362634</v>
      </c>
      <c r="O74" s="19">
        <f t="shared" si="46"/>
        <v>0</v>
      </c>
      <c r="P74" s="20">
        <f t="shared" si="47"/>
        <v>-7.0549450549450796</v>
      </c>
      <c r="Q74" s="401">
        <f t="shared" si="48"/>
        <v>0.95884615384615368</v>
      </c>
      <c r="R74" s="489"/>
      <c r="S74" s="40">
        <v>0.36458333333333337</v>
      </c>
      <c r="T74" s="40">
        <v>0.45486111111111116</v>
      </c>
      <c r="U74" s="398">
        <f t="shared" si="53"/>
        <v>5.9999999999999787</v>
      </c>
      <c r="V74" s="408">
        <f t="shared" si="52"/>
        <v>130.00000000000003</v>
      </c>
      <c r="W74" s="23"/>
      <c r="X74" s="23"/>
      <c r="Y74" s="23"/>
      <c r="Z74" s="23"/>
      <c r="AA74" s="491"/>
      <c r="AB74" s="491"/>
      <c r="AC74" s="154"/>
      <c r="AD74" s="25"/>
      <c r="AE74" s="19">
        <f t="shared" si="42"/>
        <v>-98.769230769231399</v>
      </c>
      <c r="AF74" s="401">
        <f t="shared" si="49"/>
        <v>0.95884615384615357</v>
      </c>
      <c r="AG74" s="489"/>
    </row>
    <row r="75" spans="1:33" ht="15.75" customHeight="1">
      <c r="A75" s="497" t="s">
        <v>2516</v>
      </c>
      <c r="B75" s="409" t="s">
        <v>80</v>
      </c>
      <c r="C75" s="490" t="s">
        <v>118</v>
      </c>
      <c r="D75" s="490"/>
      <c r="E75" s="42">
        <v>20.21</v>
      </c>
      <c r="F75" s="409">
        <v>3037</v>
      </c>
      <c r="G75" s="398">
        <f t="shared" si="50"/>
        <v>61377.770000000004</v>
      </c>
      <c r="H75" s="411" t="s">
        <v>79</v>
      </c>
      <c r="I75" s="407">
        <v>16</v>
      </c>
      <c r="J75" s="37">
        <v>2400</v>
      </c>
      <c r="K75" s="17">
        <f t="shared" si="44"/>
        <v>150</v>
      </c>
      <c r="L75" s="407">
        <v>16</v>
      </c>
      <c r="M75" s="18">
        <f t="shared" si="51"/>
        <v>2306.5822784810111</v>
      </c>
      <c r="N75" s="17">
        <f t="shared" si="45"/>
        <v>144.1613924050632</v>
      </c>
      <c r="O75" s="19">
        <f t="shared" si="46"/>
        <v>0</v>
      </c>
      <c r="P75" s="20">
        <f t="shared" si="47"/>
        <v>-5.8386075949368035</v>
      </c>
      <c r="Q75" s="401">
        <f t="shared" si="48"/>
        <v>0.96107594936708796</v>
      </c>
      <c r="R75" s="489"/>
      <c r="S75" s="40">
        <v>0.45833333333333337</v>
      </c>
      <c r="T75" s="40">
        <v>0.51319444444444451</v>
      </c>
      <c r="U75" s="398">
        <f t="shared" si="53"/>
        <v>4.9999999999999822</v>
      </c>
      <c r="V75" s="408">
        <f t="shared" si="52"/>
        <v>79.000000000000043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2"/>
        <v>-93.417721518988856</v>
      </c>
      <c r="AF75" s="401">
        <f t="shared" si="49"/>
        <v>0.96107594936708796</v>
      </c>
      <c r="AG75" s="489"/>
    </row>
    <row r="76" spans="1:33" ht="16.5" customHeight="1">
      <c r="A76" s="498" t="s">
        <v>2516</v>
      </c>
      <c r="B76" s="42" t="s">
        <v>2508</v>
      </c>
      <c r="C76" s="492"/>
      <c r="D76" s="493"/>
      <c r="E76" s="402"/>
      <c r="F76" s="44"/>
      <c r="G76" s="17"/>
      <c r="H76" s="409"/>
      <c r="I76" s="30">
        <v>16.399999999999999</v>
      </c>
      <c r="J76" s="37">
        <v>2400</v>
      </c>
      <c r="K76" s="17">
        <f t="shared" si="44"/>
        <v>146.34146341463415</v>
      </c>
      <c r="L76" s="30">
        <v>16.399999999999999</v>
      </c>
      <c r="M76" s="18">
        <f>AVERAGE(M71:M75)</f>
        <v>2301.1590740348888</v>
      </c>
      <c r="N76" s="17">
        <f t="shared" si="45"/>
        <v>140.31457768505422</v>
      </c>
      <c r="O76" s="19">
        <f t="shared" si="46"/>
        <v>0</v>
      </c>
      <c r="P76" s="20">
        <f t="shared" si="47"/>
        <v>-6.0268857295799307</v>
      </c>
      <c r="Q76" s="401">
        <f t="shared" si="48"/>
        <v>0.95881628084787052</v>
      </c>
      <c r="R76" s="489"/>
      <c r="S76" s="40"/>
      <c r="T76" s="40"/>
      <c r="U76" s="17"/>
      <c r="V76" s="408"/>
      <c r="W76" s="17"/>
      <c r="X76" s="17"/>
      <c r="Y76" s="31">
        <f>SUM(Y71:Y75)</f>
        <v>0</v>
      </c>
      <c r="Z76" s="31">
        <f>SUM(Z71:Z75)</f>
        <v>0</v>
      </c>
      <c r="AA76" s="495"/>
      <c r="AB76" s="495"/>
      <c r="AC76" s="31">
        <v>6</v>
      </c>
      <c r="AD76" s="31">
        <f>SUM(AD71:AD75)</f>
        <v>0</v>
      </c>
      <c r="AE76" s="19">
        <f t="shared" si="42"/>
        <v>-98.840925965111182</v>
      </c>
      <c r="AF76" s="401">
        <f t="shared" si="49"/>
        <v>0.95881628084787029</v>
      </c>
      <c r="AG76" s="489"/>
    </row>
    <row r="77" spans="1:33">
      <c r="D77" s="33"/>
      <c r="E77" s="33"/>
    </row>
  </sheetData>
  <mergeCells count="204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4:A21"/>
    <mergeCell ref="C14:D14"/>
    <mergeCell ref="R14:R21"/>
    <mergeCell ref="AA14:AB14"/>
    <mergeCell ref="AG14:AG21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AG22:AG28"/>
    <mergeCell ref="C23:D23"/>
    <mergeCell ref="AA23:AB23"/>
    <mergeCell ref="C24:D24"/>
    <mergeCell ref="AA24:AB24"/>
    <mergeCell ref="C25:D25"/>
    <mergeCell ref="C18:D18"/>
    <mergeCell ref="AA18:AB18"/>
    <mergeCell ref="C19:D19"/>
    <mergeCell ref="AA19:AB19"/>
    <mergeCell ref="AA20:AB20"/>
    <mergeCell ref="C21:D21"/>
    <mergeCell ref="AA21:AB21"/>
    <mergeCell ref="AA25:AB25"/>
    <mergeCell ref="C26:D26"/>
    <mergeCell ref="AA26:AB26"/>
    <mergeCell ref="C27:D27"/>
    <mergeCell ref="AA27:AB27"/>
    <mergeCell ref="C28:D28"/>
    <mergeCell ref="AA28:AB28"/>
    <mergeCell ref="A22:A28"/>
    <mergeCell ref="C22:D22"/>
    <mergeCell ref="R22:R28"/>
    <mergeCell ref="AA22:AB22"/>
    <mergeCell ref="A29:A35"/>
    <mergeCell ref="C29:D29"/>
    <mergeCell ref="R29:R35"/>
    <mergeCell ref="AA29:AB29"/>
    <mergeCell ref="AG29:AG35"/>
    <mergeCell ref="C30:D30"/>
    <mergeCell ref="AA30:AB30"/>
    <mergeCell ref="C31:D31"/>
    <mergeCell ref="AA31:AB31"/>
    <mergeCell ref="C32:D32"/>
    <mergeCell ref="AG36:AG43"/>
    <mergeCell ref="C37:D37"/>
    <mergeCell ref="AA37:AB37"/>
    <mergeCell ref="C38:D38"/>
    <mergeCell ref="AA38:AB38"/>
    <mergeCell ref="C39:D39"/>
    <mergeCell ref="AA32:AB32"/>
    <mergeCell ref="C33:D33"/>
    <mergeCell ref="AA33:AB33"/>
    <mergeCell ref="C34:D34"/>
    <mergeCell ref="AA34:AB34"/>
    <mergeCell ref="C35:D35"/>
    <mergeCell ref="AA35:AB35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C43:D43"/>
    <mergeCell ref="AA43:AB43"/>
    <mergeCell ref="A44:A54"/>
    <mergeCell ref="C44:D44"/>
    <mergeCell ref="R44:R54"/>
    <mergeCell ref="AA44:AB44"/>
    <mergeCell ref="AA49:AB49"/>
    <mergeCell ref="C50:D50"/>
    <mergeCell ref="AA50:AB50"/>
    <mergeCell ref="C51:D51"/>
    <mergeCell ref="AG55:AG64"/>
    <mergeCell ref="C56:D56"/>
    <mergeCell ref="AA56:AB56"/>
    <mergeCell ref="C57:D57"/>
    <mergeCell ref="AA57:AB57"/>
    <mergeCell ref="AA58:AB58"/>
    <mergeCell ref="AA51:AB51"/>
    <mergeCell ref="C52:D52"/>
    <mergeCell ref="AA52:AB52"/>
    <mergeCell ref="C53:D53"/>
    <mergeCell ref="AA53:AB53"/>
    <mergeCell ref="C54:D54"/>
    <mergeCell ref="AA54:AB54"/>
    <mergeCell ref="AG44:AG54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59:AB59"/>
    <mergeCell ref="C60:D60"/>
    <mergeCell ref="AA60:AB60"/>
    <mergeCell ref="C61:D61"/>
    <mergeCell ref="AA61:AB61"/>
    <mergeCell ref="C62:D62"/>
    <mergeCell ref="AA62:AB62"/>
    <mergeCell ref="A55:A64"/>
    <mergeCell ref="C55:D55"/>
    <mergeCell ref="R55:R64"/>
    <mergeCell ref="AA55:AB55"/>
    <mergeCell ref="C63:D63"/>
    <mergeCell ref="AA63:AB63"/>
    <mergeCell ref="C64:D64"/>
    <mergeCell ref="AA64:AB64"/>
    <mergeCell ref="A65:A70"/>
    <mergeCell ref="C65:D65"/>
    <mergeCell ref="R65:R70"/>
    <mergeCell ref="AA65:AB65"/>
    <mergeCell ref="AA70:AB70"/>
    <mergeCell ref="AG71:AG76"/>
    <mergeCell ref="C72:D72"/>
    <mergeCell ref="AA72:AB72"/>
    <mergeCell ref="C73:D73"/>
    <mergeCell ref="AA73:AB73"/>
    <mergeCell ref="C74:D74"/>
    <mergeCell ref="AG65:AG70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A74:AB74"/>
    <mergeCell ref="C75:D75"/>
    <mergeCell ref="AA75:AB75"/>
    <mergeCell ref="C76:D76"/>
    <mergeCell ref="AA76:AB76"/>
    <mergeCell ref="A71:A76"/>
    <mergeCell ref="C71:D71"/>
    <mergeCell ref="R71:R76"/>
    <mergeCell ref="AA71:AB71"/>
  </mergeCells>
  <phoneticPr fontId="3" type="noConversion"/>
  <conditionalFormatting sqref="O64:O65 O68:O76 O5:O11 O13:O15 O54:O60 O21:O49">
    <cfRule type="cellIs" dxfId="2416" priority="80" operator="greaterThan">
      <formula>0</formula>
    </cfRule>
  </conditionalFormatting>
  <conditionalFormatting sqref="P5:P9 P68:P69 AE68:AE69 P71:P75 P29:P34 P65 P11 P13:P15 P22:P27 P55:P60 P36:P49 AE5:AE65 AE71:AE76">
    <cfRule type="cellIs" dxfId="2415" priority="84" operator="lessThan">
      <formula>0</formula>
    </cfRule>
  </conditionalFormatting>
  <conditionalFormatting sqref="AF68:AF69 Q64:Q65 Q68:Q76 Q5:Q11 Q13:Q15 Q54:Q60 Q21:Q49 AF5:AF65 AF71:AF76">
    <cfRule type="cellIs" dxfId="2414" priority="81" operator="greaterThan">
      <formula>1</formula>
    </cfRule>
    <cfRule type="cellIs" dxfId="2413" priority="82" operator="lessThan">
      <formula>0.8</formula>
    </cfRule>
  </conditionalFormatting>
  <conditionalFormatting sqref="AG14:AG15 R14:R15 AG68 AG64:AG65 R64:R65 R68:R76 AG5:AG11 R5:R11 R21:R49 AG21:AG49 AG54:AG60 R54:R60">
    <cfRule type="cellIs" dxfId="2412" priority="86" operator="lessThan">
      <formula>0.8</formula>
    </cfRule>
  </conditionalFormatting>
  <conditionalFormatting sqref="AG44">
    <cfRule type="cellIs" dxfId="2411" priority="88" operator="lessThan">
      <formula>0.8</formula>
    </cfRule>
  </conditionalFormatting>
  <conditionalFormatting sqref="AG22:AG27">
    <cfRule type="cellIs" dxfId="2410" priority="85" operator="lessThan">
      <formula>0.8</formula>
    </cfRule>
  </conditionalFormatting>
  <conditionalFormatting sqref="AG29">
    <cfRule type="cellIs" dxfId="2409" priority="87" operator="lessThan">
      <formula>0.8</formula>
    </cfRule>
  </conditionalFormatting>
  <conditionalFormatting sqref="AG36:AG42">
    <cfRule type="cellIs" dxfId="2408" priority="83" operator="lessThan">
      <formula>0.8</formula>
    </cfRule>
  </conditionalFormatting>
  <conditionalFormatting sqref="AE70">
    <cfRule type="cellIs" dxfId="2407" priority="79" operator="lessThan">
      <formula>0</formula>
    </cfRule>
  </conditionalFormatting>
  <conditionalFormatting sqref="AF70">
    <cfRule type="cellIs" dxfId="2406" priority="77" operator="greaterThan">
      <formula>1</formula>
    </cfRule>
    <cfRule type="cellIs" dxfId="2405" priority="78" operator="lessThan">
      <formula>0.8</formula>
    </cfRule>
  </conditionalFormatting>
  <conditionalFormatting sqref="O16:O17">
    <cfRule type="cellIs" dxfId="2404" priority="72" operator="greaterThan">
      <formula>0</formula>
    </cfRule>
  </conditionalFormatting>
  <conditionalFormatting sqref="P16:P17">
    <cfRule type="cellIs" dxfId="2403" priority="75" operator="lessThan">
      <formula>0</formula>
    </cfRule>
  </conditionalFormatting>
  <conditionalFormatting sqref="Q16:Q17">
    <cfRule type="cellIs" dxfId="2402" priority="73" operator="greaterThan">
      <formula>1</formula>
    </cfRule>
    <cfRule type="cellIs" dxfId="2401" priority="74" operator="lessThan">
      <formula>0.8</formula>
    </cfRule>
  </conditionalFormatting>
  <conditionalFormatting sqref="R16:R17 AG16:AG17">
    <cfRule type="cellIs" dxfId="2400" priority="76" operator="lessThan">
      <formula>0.8</formula>
    </cfRule>
  </conditionalFormatting>
  <conditionalFormatting sqref="O12">
    <cfRule type="cellIs" dxfId="2399" priority="68" operator="greaterThan">
      <formula>0</formula>
    </cfRule>
  </conditionalFormatting>
  <conditionalFormatting sqref="P12">
    <cfRule type="cellIs" dxfId="2398" priority="71" operator="lessThan">
      <formula>0</formula>
    </cfRule>
  </conditionalFormatting>
  <conditionalFormatting sqref="Q12">
    <cfRule type="cellIs" dxfId="2397" priority="69" operator="greaterThan">
      <formula>1</formula>
    </cfRule>
    <cfRule type="cellIs" dxfId="2396" priority="70" operator="lessThan">
      <formula>0.8</formula>
    </cfRule>
  </conditionalFormatting>
  <conditionalFormatting sqref="O61">
    <cfRule type="cellIs" dxfId="2395" priority="63" operator="greaterThan">
      <formula>0</formula>
    </cfRule>
  </conditionalFormatting>
  <conditionalFormatting sqref="P61">
    <cfRule type="cellIs" dxfId="2394" priority="66" operator="lessThan">
      <formula>0</formula>
    </cfRule>
  </conditionalFormatting>
  <conditionalFormatting sqref="Q61">
    <cfRule type="cellIs" dxfId="2393" priority="64" operator="greaterThan">
      <formula>1</formula>
    </cfRule>
    <cfRule type="cellIs" dxfId="2392" priority="65" operator="lessThan">
      <formula>0.8</formula>
    </cfRule>
  </conditionalFormatting>
  <conditionalFormatting sqref="R61 AG61">
    <cfRule type="cellIs" dxfId="2391" priority="67" operator="lessThan">
      <formula>0.8</formula>
    </cfRule>
  </conditionalFormatting>
  <conditionalFormatting sqref="O67">
    <cfRule type="cellIs" dxfId="2390" priority="58" operator="greaterThan">
      <formula>0</formula>
    </cfRule>
  </conditionalFormatting>
  <conditionalFormatting sqref="P67 AE67">
    <cfRule type="cellIs" dxfId="2389" priority="61" operator="lessThan">
      <formula>0</formula>
    </cfRule>
  </conditionalFormatting>
  <conditionalFormatting sqref="Q67 AF67">
    <cfRule type="cellIs" dxfId="2388" priority="59" operator="greaterThan">
      <formula>1</formula>
    </cfRule>
    <cfRule type="cellIs" dxfId="2387" priority="60" operator="lessThan">
      <formula>0.8</formula>
    </cfRule>
  </conditionalFormatting>
  <conditionalFormatting sqref="R67 AG67">
    <cfRule type="cellIs" dxfId="2386" priority="62" operator="lessThan">
      <formula>0.8</formula>
    </cfRule>
  </conditionalFormatting>
  <conditionalFormatting sqref="O18:O19">
    <cfRule type="cellIs" dxfId="2385" priority="53" operator="greaterThan">
      <formula>0</formula>
    </cfRule>
  </conditionalFormatting>
  <conditionalFormatting sqref="P18:P19">
    <cfRule type="cellIs" dxfId="2384" priority="56" operator="lessThan">
      <formula>0</formula>
    </cfRule>
  </conditionalFormatting>
  <conditionalFormatting sqref="Q18:Q19">
    <cfRule type="cellIs" dxfId="2383" priority="54" operator="greaterThan">
      <formula>1</formula>
    </cfRule>
    <cfRule type="cellIs" dxfId="2382" priority="55" operator="lessThan">
      <formula>0.8</formula>
    </cfRule>
  </conditionalFormatting>
  <conditionalFormatting sqref="R18:R19 AG18:AG19">
    <cfRule type="cellIs" dxfId="2381" priority="57" operator="lessThan">
      <formula>0.8</formula>
    </cfRule>
  </conditionalFormatting>
  <conditionalFormatting sqref="O50">
    <cfRule type="cellIs" dxfId="2380" priority="47" operator="greaterThan">
      <formula>0</formula>
    </cfRule>
  </conditionalFormatting>
  <conditionalFormatting sqref="P50">
    <cfRule type="cellIs" dxfId="2379" priority="51" operator="lessThan">
      <formula>0</formula>
    </cfRule>
  </conditionalFormatting>
  <conditionalFormatting sqref="Q50">
    <cfRule type="cellIs" dxfId="2378" priority="48" operator="greaterThan">
      <formula>1</formula>
    </cfRule>
    <cfRule type="cellIs" dxfId="2377" priority="49" operator="lessThan">
      <formula>0.8</formula>
    </cfRule>
  </conditionalFormatting>
  <conditionalFormatting sqref="R50 AG50">
    <cfRule type="cellIs" dxfId="2376" priority="52" operator="lessThan">
      <formula>0.8</formula>
    </cfRule>
  </conditionalFormatting>
  <conditionalFormatting sqref="AG50">
    <cfRule type="cellIs" dxfId="2375" priority="50" operator="lessThan">
      <formula>0.8</formula>
    </cfRule>
  </conditionalFormatting>
  <conditionalFormatting sqref="O51">
    <cfRule type="cellIs" dxfId="2374" priority="41" operator="greaterThan">
      <formula>0</formula>
    </cfRule>
  </conditionalFormatting>
  <conditionalFormatting sqref="P51">
    <cfRule type="cellIs" dxfId="2373" priority="45" operator="lessThan">
      <formula>0</formula>
    </cfRule>
  </conditionalFormatting>
  <conditionalFormatting sqref="Q51">
    <cfRule type="cellIs" dxfId="2372" priority="42" operator="greaterThan">
      <formula>1</formula>
    </cfRule>
    <cfRule type="cellIs" dxfId="2371" priority="43" operator="lessThan">
      <formula>0.8</formula>
    </cfRule>
  </conditionalFormatting>
  <conditionalFormatting sqref="R51 AG51">
    <cfRule type="cellIs" dxfId="2370" priority="46" operator="lessThan">
      <formula>0.8</formula>
    </cfRule>
  </conditionalFormatting>
  <conditionalFormatting sqref="AG51">
    <cfRule type="cellIs" dxfId="2369" priority="44" operator="lessThan">
      <formula>0.8</formula>
    </cfRule>
  </conditionalFormatting>
  <conditionalFormatting sqref="O62">
    <cfRule type="cellIs" dxfId="2368" priority="36" operator="greaterThan">
      <formula>0</formula>
    </cfRule>
  </conditionalFormatting>
  <conditionalFormatting sqref="P62">
    <cfRule type="cellIs" dxfId="2367" priority="39" operator="lessThan">
      <formula>0</formula>
    </cfRule>
  </conditionalFormatting>
  <conditionalFormatting sqref="Q62">
    <cfRule type="cellIs" dxfId="2366" priority="37" operator="greaterThan">
      <formula>1</formula>
    </cfRule>
    <cfRule type="cellIs" dxfId="2365" priority="38" operator="lessThan">
      <formula>0.8</formula>
    </cfRule>
  </conditionalFormatting>
  <conditionalFormatting sqref="AG62 R62">
    <cfRule type="cellIs" dxfId="2364" priority="40" operator="lessThan">
      <formula>0.8</formula>
    </cfRule>
  </conditionalFormatting>
  <conditionalFormatting sqref="O52">
    <cfRule type="cellIs" dxfId="2363" priority="30" operator="greaterThan">
      <formula>0</formula>
    </cfRule>
  </conditionalFormatting>
  <conditionalFormatting sqref="P52">
    <cfRule type="cellIs" dxfId="2362" priority="34" operator="lessThan">
      <formula>0</formula>
    </cfRule>
  </conditionalFormatting>
  <conditionalFormatting sqref="Q52">
    <cfRule type="cellIs" dxfId="2361" priority="31" operator="greaterThan">
      <formula>1</formula>
    </cfRule>
    <cfRule type="cellIs" dxfId="2360" priority="32" operator="lessThan">
      <formula>0.8</formula>
    </cfRule>
  </conditionalFormatting>
  <conditionalFormatting sqref="R52 AG52">
    <cfRule type="cellIs" dxfId="2359" priority="35" operator="lessThan">
      <formula>0.8</formula>
    </cfRule>
  </conditionalFormatting>
  <conditionalFormatting sqref="AG52">
    <cfRule type="cellIs" dxfId="2358" priority="33" operator="lessThan">
      <formula>0.8</formula>
    </cfRule>
  </conditionalFormatting>
  <conditionalFormatting sqref="O53">
    <cfRule type="cellIs" dxfId="2357" priority="24" operator="greaterThan">
      <formula>0</formula>
    </cfRule>
  </conditionalFormatting>
  <conditionalFormatting sqref="P53">
    <cfRule type="cellIs" dxfId="2356" priority="28" operator="lessThan">
      <formula>0</formula>
    </cfRule>
  </conditionalFormatting>
  <conditionalFormatting sqref="Q53">
    <cfRule type="cellIs" dxfId="2355" priority="25" operator="greaterThan">
      <formula>1</formula>
    </cfRule>
    <cfRule type="cellIs" dxfId="2354" priority="26" operator="lessThan">
      <formula>0.8</formula>
    </cfRule>
  </conditionalFormatting>
  <conditionalFormatting sqref="R53 AG53">
    <cfRule type="cellIs" dxfId="2353" priority="29" operator="lessThan">
      <formula>0.8</formula>
    </cfRule>
  </conditionalFormatting>
  <conditionalFormatting sqref="AG53">
    <cfRule type="cellIs" dxfId="2352" priority="27" operator="lessThan">
      <formula>0.8</formula>
    </cfRule>
  </conditionalFormatting>
  <conditionalFormatting sqref="O66">
    <cfRule type="cellIs" dxfId="2351" priority="19" operator="greaterThan">
      <formula>0</formula>
    </cfRule>
  </conditionalFormatting>
  <conditionalFormatting sqref="P66 AE66">
    <cfRule type="cellIs" dxfId="2350" priority="22" operator="lessThan">
      <formula>0</formula>
    </cfRule>
  </conditionalFormatting>
  <conditionalFormatting sqref="Q66 AF66">
    <cfRule type="cellIs" dxfId="2349" priority="20" operator="greaterThan">
      <formula>1</formula>
    </cfRule>
    <cfRule type="cellIs" dxfId="2348" priority="21" operator="lessThan">
      <formula>0.8</formula>
    </cfRule>
  </conditionalFormatting>
  <conditionalFormatting sqref="R66 AG66">
    <cfRule type="cellIs" dxfId="2347" priority="23" operator="lessThan">
      <formula>0.8</formula>
    </cfRule>
  </conditionalFormatting>
  <conditionalFormatting sqref="O20">
    <cfRule type="cellIs" dxfId="2346" priority="14" operator="greaterThan">
      <formula>0</formula>
    </cfRule>
  </conditionalFormatting>
  <conditionalFormatting sqref="P20">
    <cfRule type="cellIs" dxfId="2345" priority="17" operator="lessThan">
      <formula>0</formula>
    </cfRule>
  </conditionalFormatting>
  <conditionalFormatting sqref="Q20">
    <cfRule type="cellIs" dxfId="2344" priority="15" operator="greaterThan">
      <formula>1</formula>
    </cfRule>
    <cfRule type="cellIs" dxfId="2343" priority="16" operator="lessThan">
      <formula>0.8</formula>
    </cfRule>
  </conditionalFormatting>
  <conditionalFormatting sqref="AG20 R20">
    <cfRule type="cellIs" dxfId="2342" priority="18" operator="lessThan">
      <formula>0.8</formula>
    </cfRule>
  </conditionalFormatting>
  <conditionalFormatting sqref="P10">
    <cfRule type="cellIs" dxfId="2341" priority="13" operator="lessThan">
      <formula>0</formula>
    </cfRule>
  </conditionalFormatting>
  <conditionalFormatting sqref="P21">
    <cfRule type="cellIs" dxfId="2340" priority="12" operator="lessThan">
      <formula>0</formula>
    </cfRule>
  </conditionalFormatting>
  <conditionalFormatting sqref="P28">
    <cfRule type="cellIs" dxfId="2339" priority="11" operator="lessThan">
      <formula>0</formula>
    </cfRule>
  </conditionalFormatting>
  <conditionalFormatting sqref="P35">
    <cfRule type="cellIs" dxfId="2338" priority="10" operator="lessThan">
      <formula>0</formula>
    </cfRule>
  </conditionalFormatting>
  <conditionalFormatting sqref="P54">
    <cfRule type="cellIs" dxfId="2337" priority="9" operator="lessThan">
      <formula>0</formula>
    </cfRule>
  </conditionalFormatting>
  <conditionalFormatting sqref="P64">
    <cfRule type="cellIs" dxfId="2336" priority="8" operator="lessThan">
      <formula>0</formula>
    </cfRule>
  </conditionalFormatting>
  <conditionalFormatting sqref="P70">
    <cfRule type="cellIs" dxfId="2335" priority="7" operator="lessThan">
      <formula>0</formula>
    </cfRule>
  </conditionalFormatting>
  <conditionalFormatting sqref="P76">
    <cfRule type="cellIs" dxfId="2334" priority="6" operator="lessThan">
      <formula>0</formula>
    </cfRule>
  </conditionalFormatting>
  <conditionalFormatting sqref="O63">
    <cfRule type="cellIs" dxfId="2333" priority="1" operator="greaterThan">
      <formula>0</formula>
    </cfRule>
  </conditionalFormatting>
  <conditionalFormatting sqref="P63">
    <cfRule type="cellIs" dxfId="2332" priority="4" operator="lessThan">
      <formula>0</formula>
    </cfRule>
  </conditionalFormatting>
  <conditionalFormatting sqref="Q63">
    <cfRule type="cellIs" dxfId="2331" priority="2" operator="greaterThan">
      <formula>1</formula>
    </cfRule>
    <cfRule type="cellIs" dxfId="2330" priority="3" operator="lessThan">
      <formula>0.8</formula>
    </cfRule>
  </conditionalFormatting>
  <conditionalFormatting sqref="AG63 R63">
    <cfRule type="cellIs" dxfId="2329" priority="5" operator="lessThan">
      <formula>0.8</formula>
    </cfRule>
  </conditionalFormatting>
  <dataValidations count="1">
    <dataValidation type="list" allowBlank="1" showInputMessage="1" showErrorMessage="1" sqref="AB10 AA5:AB9 AB69 AA10:AA69 AB12:AB65 AA70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11" zoomScale="85" zoomScaleNormal="85" workbookViewId="0">
      <selection activeCell="L3" sqref="L3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2374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161</v>
      </c>
      <c r="C3" s="478" t="str">
        <f>TEXT('0128 4度C'!A2,"yyyy.mm.ddaaaa")</f>
        <v>2026.01.28星期三</v>
      </c>
      <c r="D3" s="479"/>
      <c r="E3" s="56" t="s">
        <v>2375</v>
      </c>
      <c r="F3" s="480">
        <f>'0128 4度C'!D1</f>
        <v>153697</v>
      </c>
      <c r="G3" s="481"/>
      <c r="H3" s="56" t="s">
        <v>2376</v>
      </c>
      <c r="I3" s="482">
        <f>'0128 4度C'!F1</f>
        <v>5296787.87</v>
      </c>
      <c r="J3" s="483"/>
      <c r="K3" s="57"/>
      <c r="L3" s="58"/>
      <c r="M3" s="59"/>
      <c r="N3" s="59"/>
    </row>
    <row r="4" spans="2:17" ht="28.5" customHeight="1">
      <c r="B4" s="484" t="s">
        <v>2377</v>
      </c>
      <c r="C4" s="470" t="s">
        <v>2378</v>
      </c>
      <c r="D4" s="471"/>
      <c r="E4" s="487" t="s">
        <v>2379</v>
      </c>
      <c r="F4" s="488"/>
      <c r="G4" s="487" t="s">
        <v>2380</v>
      </c>
      <c r="H4" s="488"/>
      <c r="I4" s="487" t="s">
        <v>168</v>
      </c>
      <c r="J4" s="488"/>
      <c r="K4" s="468" t="s">
        <v>2381</v>
      </c>
      <c r="L4" s="469"/>
      <c r="M4" s="469" t="s">
        <v>170</v>
      </c>
      <c r="N4" s="469"/>
    </row>
    <row r="5" spans="2:17" ht="28.5" customHeight="1">
      <c r="B5" s="485"/>
      <c r="C5" s="470" t="s">
        <v>171</v>
      </c>
      <c r="D5" s="471"/>
      <c r="E5" s="470" t="s">
        <v>2382</v>
      </c>
      <c r="F5" s="471"/>
      <c r="G5" s="472" t="s">
        <v>2383</v>
      </c>
      <c r="H5" s="473"/>
      <c r="I5" s="474" t="s">
        <v>2384</v>
      </c>
      <c r="J5" s="475"/>
      <c r="K5" s="60" t="s">
        <v>2385</v>
      </c>
      <c r="L5" s="61" t="s">
        <v>176</v>
      </c>
      <c r="M5" s="60" t="s">
        <v>2385</v>
      </c>
      <c r="N5" s="61" t="s">
        <v>2386</v>
      </c>
    </row>
    <row r="6" spans="2:17" ht="28.5" customHeight="1">
      <c r="B6" s="485"/>
      <c r="C6" s="470" t="s">
        <v>144</v>
      </c>
      <c r="D6" s="471"/>
      <c r="E6" s="462">
        <f>AVERAGE(D13:M13)</f>
        <v>144.18715142497993</v>
      </c>
      <c r="F6" s="463">
        <f>AVERAGE(D31:O31,D13:J13)</f>
        <v>146.44822878475711</v>
      </c>
      <c r="G6" s="464">
        <f>AVERAGE(D13:J13)</f>
        <v>146.44822878475711</v>
      </c>
      <c r="H6" s="465"/>
      <c r="I6" s="464">
        <f>AVERAGE(K13:M13)</f>
        <v>138.91130425216645</v>
      </c>
      <c r="J6" s="465"/>
      <c r="K6" s="466">
        <f>'0128 4度C'!Y2</f>
        <v>0</v>
      </c>
      <c r="L6" s="451">
        <f>'0128 4度C'!Z2</f>
        <v>0</v>
      </c>
      <c r="M6" s="467">
        <f>'0128 4度C'!AC2</f>
        <v>36</v>
      </c>
      <c r="N6" s="451">
        <f>'0128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138.08395514235411</v>
      </c>
      <c r="F7" s="455">
        <f>AVERAGE(D32:O32,D14:J14)</f>
        <v>140.40634969414714</v>
      </c>
      <c r="G7" s="456">
        <f>AVERAGE(D14:J14)</f>
        <v>140.40634969414714</v>
      </c>
      <c r="H7" s="457"/>
      <c r="I7" s="456">
        <f>AVERAGE(K14:M14)</f>
        <v>132.66503452150369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0.95675017029722864</v>
      </c>
      <c r="F8" s="459">
        <f>AVERAGE(D15:J15,D33:O33)</f>
        <v>0.95748430664939455</v>
      </c>
      <c r="G8" s="460">
        <f>AVERAGE(D15:J15)</f>
        <v>0.95748430664939455</v>
      </c>
      <c r="H8" s="461"/>
      <c r="I8" s="460">
        <f>AVERAGE(K15:M15)</f>
        <v>0.95503718547550831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2387</v>
      </c>
      <c r="N9" s="59"/>
      <c r="O9" s="59"/>
      <c r="P9" s="59"/>
      <c r="Q9" s="59"/>
    </row>
    <row r="10" spans="2:17" ht="30" customHeight="1">
      <c r="B10" s="434" t="s">
        <v>2388</v>
      </c>
      <c r="C10" s="435"/>
      <c r="D10" s="436" t="s">
        <v>2389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2390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2391</v>
      </c>
      <c r="C13" s="72" t="s">
        <v>2392</v>
      </c>
      <c r="D13" s="73">
        <f>SUMIFS('0128 4度C'!$K:$K,'0128 4度C'!$A:$A,"新豐6線",'0128 4度C'!$B:$B,"平均")</f>
        <v>116.50485436893203</v>
      </c>
      <c r="E13" s="74">
        <f>SUMIFS('0128 4度C'!$K:$K,'0128 4度C'!$A:$A,"新豐2線",'0128 4度C'!$B:$B,"平均")</f>
        <v>83.333333333333329</v>
      </c>
      <c r="F13" s="75">
        <f>SUMIFS('0128 4度C'!$K:$K,'0128 4度C'!$A:$A,"新豐5線",'0128 4度C'!$B:$B,"平均")</f>
        <v>110.16949152542372</v>
      </c>
      <c r="G13" s="75">
        <f>SUMIFS('0128 4度C'!$K:$K,'0128 4度C'!$A:$A,"新豐7線",'0128 4度C'!$B:$B,"平均")</f>
        <v>122.72727272727273</v>
      </c>
      <c r="H13" s="75">
        <f>SUMIFS('0128 4度C'!$K:$K,'0128 4度C'!$A:$A,"新豐3線",'0128 4度C'!$B:$B,"平均")</f>
        <v>300</v>
      </c>
      <c r="I13" s="75">
        <f>SUMIFS('0128 4度C'!$K:$K,'0128 4度C'!$A:$A,"新豐1線",'0128 4度C'!$B:$B,"平均")</f>
        <v>103.72340425531914</v>
      </c>
      <c r="J13" s="76">
        <f>SUMIFS('0128 4度C'!$K:$K,'0128 4度C'!$A:$A,"新豐10線",'0128 4度C'!$B:$B,"平均")</f>
        <v>188.67924528301887</v>
      </c>
      <c r="K13" s="77">
        <f>SUMIFS('0128 4度C'!$K:$K,'0128 4度C'!$A:$A,"新豐8線",'0128 4度C'!$B:$B,"平均")</f>
        <v>132.11009174311926</v>
      </c>
      <c r="L13" s="78">
        <f>SUMIFS('0128 4度C'!$K:$K,'0128 4度C'!$A:$A,"新豐9線",'0128 4度C'!$B:$B,"平均")</f>
        <v>136.17021276595744</v>
      </c>
      <c r="M13" s="76">
        <f>SUMIFS('0128 4度C'!$K:$K,'0128 4度C'!$A:$A,"新豐4線",'0128 4度C'!$B:$B,"平均")</f>
        <v>148.45360824742266</v>
      </c>
    </row>
    <row r="14" spans="2:17" ht="39.6" customHeight="1">
      <c r="B14" s="447"/>
      <c r="C14" s="79" t="s">
        <v>2393</v>
      </c>
      <c r="D14" s="80">
        <f>SUMIFS('0128 4度C'!$N:$N,'0128 4度C'!$A:$A,"新豐6線",'0128 4度C'!$B:$B,"平均")</f>
        <v>112.19362871381263</v>
      </c>
      <c r="E14" s="81">
        <f>SUMIFS('0128 4度C'!$N:$N,'0128 4度C'!$A:$A,"新豐2線",'0128 4度C'!$B:$B,"平均")</f>
        <v>79.740259740259745</v>
      </c>
      <c r="F14" s="81">
        <f>SUMIFS('0128 4度C'!$N:$N,'0128 4度C'!$A:$A,"新豐5線",'0128 4度C'!$B:$B,"平均")</f>
        <v>106.01752958263121</v>
      </c>
      <c r="G14" s="81">
        <f>SUMIFS('0128 4度C'!$N:$N,'0128 4度C'!$A:$A,"新豐7線",'0128 4度C'!$B:$B,"平均")</f>
        <v>118.10566715392686</v>
      </c>
      <c r="H14" s="81">
        <f>SUMIFS('0128 4度C'!$N:$N,'0128 4度C'!$A:$A,"新豐3線",'0128 4度C'!$B:$B,"平均")</f>
        <v>288.49452077352817</v>
      </c>
      <c r="I14" s="81">
        <f>SUMIFS('0128 4度C'!$N:$N,'0128 4度C'!$A:$A,"新豐1線",'0128 4度C'!$B:$B,"平均")</f>
        <v>97.040619617705744</v>
      </c>
      <c r="J14" s="82">
        <f>SUMIFS('0128 4度C'!$N:$N,'0128 4度C'!$A:$A,"新豐10線",'0128 4度C'!$B:$B,"平均")</f>
        <v>181.2522222771656</v>
      </c>
      <c r="K14" s="83">
        <f>SUMIFS('0128 4度C'!$N:$N,'0128 4度C'!$A:$A,"新豐8線",'0128 4度C'!$B:$B,"平均")</f>
        <v>126.25710726536944</v>
      </c>
      <c r="L14" s="84">
        <f>SUMIFS('0128 4度C'!$N:$N,'0128 4度C'!$A:$A,"新豐9線",'0128 4度C'!$B:$B,"平均")</f>
        <v>129.94240909713659</v>
      </c>
      <c r="M14" s="82">
        <f>SUMIFS('0128 4度C'!$N:$N,'0128 4度C'!$A:$A,"新豐4線",'0128 4度C'!$B:$B,"平均")</f>
        <v>141.79558720200507</v>
      </c>
    </row>
    <row r="15" spans="2:17" ht="40.15" customHeight="1">
      <c r="B15" s="448"/>
      <c r="C15" s="85" t="s">
        <v>2394</v>
      </c>
      <c r="D15" s="86">
        <f t="shared" ref="D15:M15" si="0">D14/D13</f>
        <v>0.96299531312689179</v>
      </c>
      <c r="E15" s="87">
        <f t="shared" si="0"/>
        <v>0.956883116883117</v>
      </c>
      <c r="F15" s="87">
        <f t="shared" si="0"/>
        <v>0.96231296082696027</v>
      </c>
      <c r="G15" s="87">
        <f t="shared" si="0"/>
        <v>0.96234247310607068</v>
      </c>
      <c r="H15" s="87">
        <f t="shared" si="0"/>
        <v>0.96164840257842721</v>
      </c>
      <c r="I15" s="87">
        <f t="shared" si="0"/>
        <v>0.93557110195531701</v>
      </c>
      <c r="J15" s="88">
        <f t="shared" si="0"/>
        <v>0.96063677806897763</v>
      </c>
      <c r="K15" s="86">
        <f t="shared" si="0"/>
        <v>0.9556961591614771</v>
      </c>
      <c r="L15" s="87">
        <f t="shared" si="0"/>
        <v>0.95426456680709681</v>
      </c>
      <c r="M15" s="88">
        <f t="shared" si="0"/>
        <v>0.95515083045795091</v>
      </c>
    </row>
    <row r="16" spans="2:17" ht="17.25" customHeight="1">
      <c r="B16" s="449" t="s">
        <v>187</v>
      </c>
      <c r="C16" s="89" t="s">
        <v>2395</v>
      </c>
      <c r="D16" s="90">
        <f>VLOOKUP("新豐6線",'0128 4度C'!$A:$T,19,0)</f>
        <v>0.70833333333333337</v>
      </c>
      <c r="E16" s="91">
        <f>VLOOKUP("新豐2線",'0128 4度C'!$A:$T,19,0)</f>
        <v>0.20833333333333334</v>
      </c>
      <c r="F16" s="91">
        <f>VLOOKUP("新豐5線",'0128 4度C'!$A:$T,19,0)</f>
        <v>0.20833333333333334</v>
      </c>
      <c r="G16" s="91">
        <f>VLOOKUP("新豐7線",'0128 4度C'!$A:$T,19,0)</f>
        <v>0.20833333333333334</v>
      </c>
      <c r="H16" s="91">
        <f>VLOOKUP("新豐3線",'0128 4度C'!$A:$T,19,0)</f>
        <v>0.20833333333333334</v>
      </c>
      <c r="I16" s="91">
        <f>VLOOKUP("新豐1線",'0128 4度C'!$A:$T,19,0)</f>
        <v>0.20833333333333334</v>
      </c>
      <c r="J16" s="92">
        <f>VLOOKUP("新豐10線",'0128 4度C'!$A:$T,19,0)</f>
        <v>0.20833333333333334</v>
      </c>
      <c r="K16" s="93">
        <f>VLOOKUP("新豐8線",'0128 4度C'!$A:$T,19,0)</f>
        <v>0.125</v>
      </c>
      <c r="L16" s="94">
        <f>VLOOKUP("新豐9線",'0128 4度C'!$A:$T,19,0)</f>
        <v>0.125</v>
      </c>
      <c r="M16" s="95">
        <f>VLOOKUP("新豐4線",'0128 4度C'!$A:$T,19,0)</f>
        <v>0.125</v>
      </c>
    </row>
    <row r="17" spans="2:13" ht="17.25" customHeight="1">
      <c r="B17" s="450"/>
      <c r="C17" s="89" t="s">
        <v>2396</v>
      </c>
      <c r="D17" s="93">
        <f>LOOKUP(2,1/(('0128 4度C'!$A:$A="新豐6線")*('0128 4度C'!$T:$T&lt;&gt;"")),'0128 4度C'!$T:$T)</f>
        <v>0.90486111111111112</v>
      </c>
      <c r="E17" s="91">
        <f>LOOKUP(2,1/(('0128 4度C'!$A:$A="新豐2線")*('0128 4度C'!$T:$T&lt;&gt;"")),'0128 4度C'!$T:$T)</f>
        <v>0.43819444444444444</v>
      </c>
      <c r="F17" s="91">
        <f>LOOKUP(2,1/(('0128 4度C'!$A:$A="新豐5線")*('0128 4度C'!$T:$T&lt;&gt;"")),'0128 4度C'!$T:$T)</f>
        <v>0.91319444444444431</v>
      </c>
      <c r="G17" s="91">
        <f>LOOKUP(2,1/(('0128 4度C'!$A:$A="新豐7線")*('0128 4度C'!$T:$T&lt;&gt;"")),'0128 4度C'!$T:$T)</f>
        <v>0.91249999999999998</v>
      </c>
      <c r="H17" s="91">
        <f>LOOKUP(2,1/(('0128 4度C'!$A:$A="新豐3線")*('0128 4度C'!$T:$T&lt;&gt;"")),'0128 4度C'!$T:$T)</f>
        <v>0.66458333333333319</v>
      </c>
      <c r="I17" s="91">
        <f>LOOKUP(2,1/(('0128 4度C'!$A:$A="新豐1線")*('0128 4度C'!$T:$T&lt;&gt;"")),'0128 4度C'!$T:$T)</f>
        <v>0.90555555555555545</v>
      </c>
      <c r="J17" s="92">
        <f>LOOKUP(2,1/(('0128 4度C'!$A:$A="新豐10線")*('0128 4度C'!$T:$T&lt;&gt;"")),'0128 4度C'!$T:$T)</f>
        <v>0.45555555555555555</v>
      </c>
      <c r="K17" s="90">
        <f>LOOKUP(2,1/(('0128 4度C'!$A:$A="新豐8線")*('0128 4度C'!$T:$T&lt;&gt;"")),'0128 4度C'!$T:$T)</f>
        <v>0.60555555555555551</v>
      </c>
      <c r="L17" s="91">
        <f>LOOKUP(2,1/(('0128 4度C'!$A:$A="新豐9線")*('0128 4度C'!$T:$T&lt;&gt;"")),'0128 4度C'!$T:$T)</f>
        <v>0.64305555555555538</v>
      </c>
      <c r="M17" s="92">
        <f>LOOKUP(2,1/(('0128 4度C'!$A:$A="新豐4線")*('0128 4度C'!$T:$T&lt;&gt;"")),'0128 4度C'!$T:$T)</f>
        <v>0.57916666666666661</v>
      </c>
    </row>
    <row r="18" spans="2:13" ht="17.25" customHeight="1">
      <c r="B18" s="428" t="s">
        <v>190</v>
      </c>
      <c r="C18" s="96" t="s">
        <v>2397</v>
      </c>
      <c r="D18" s="97">
        <f>SUMIFS('0128 4度C'!$Y:$Y,'0128 4度C'!$A:$A,"新豐6線",'0128 4度C'!$B:$B,"平均")</f>
        <v>0</v>
      </c>
      <c r="E18" s="98">
        <f>SUMIFS('0128 4度C'!$Y:$Y,'0128 4度C'!$A:$A,"新豐2線",'0128 4度C'!$B:$B,"平均")</f>
        <v>0</v>
      </c>
      <c r="F18" s="98">
        <f>SUMIFS('0128 4度C'!$Y:$Y,'0128 4度C'!$A:$A,"新豐5線",'0128 4度C'!$B:$B,"平均")</f>
        <v>0</v>
      </c>
      <c r="G18" s="98">
        <f>SUMIFS('0128 4度C'!$Y:$Y,'0128 4度C'!$A:$A,"新豐7線",'0128 4度C'!$B:$B,"平均")</f>
        <v>0</v>
      </c>
      <c r="H18" s="98">
        <f>SUMIFS('0128 4度C'!$Y:$Y,'0128 4度C'!$A:$A,"新豐3線",'0128 4度C'!$B:$B,"平均")</f>
        <v>0</v>
      </c>
      <c r="I18" s="98">
        <f>SUMIFS('0128 4度C'!$Y:$Y,'0128 4度C'!$A:$A,"新豐1線",'0128 4度C'!$B:$B,"平均")</f>
        <v>0</v>
      </c>
      <c r="J18" s="99">
        <f>SUMIFS('0128 4度C'!$Y:$Y,'0128 4度C'!$A:$A,"新豐10線",'0128 4度C'!$B:$B,"平均")</f>
        <v>0</v>
      </c>
      <c r="K18" s="100">
        <f>SUMIFS('0128 4度C'!$Y:$Y,'0128 4度C'!$A:$A,"新豐8線",'0128 4度C'!$B:$B,"平均")</f>
        <v>0</v>
      </c>
      <c r="L18" s="98">
        <f>SUMIFS('0128 4度C'!$Y:$Y,'0128 4度C'!$A:$A,"新豐9線",'0128 4度C'!$B:$B,"平均")</f>
        <v>0</v>
      </c>
      <c r="M18" s="99">
        <f>SUMIFS('0128 4度C'!$Y:$Y,'0128 4度C'!$A:$A,"新豐4線",'0128 4度C'!$B:$B,"平均")</f>
        <v>0</v>
      </c>
    </row>
    <row r="19" spans="2:13" ht="17.25" customHeight="1">
      <c r="B19" s="429"/>
      <c r="C19" s="96" t="s">
        <v>2398</v>
      </c>
      <c r="D19" s="97">
        <f>SUMIFS('0128 4度C'!$Z:$Z,'0128 4度C'!$A:$A,"新豐6線",'0128 4度C'!$B:$B,"平均")</f>
        <v>0</v>
      </c>
      <c r="E19" s="98">
        <f>SUMIFS('0128 4度C'!$Z:$Z,'0128 4度C'!$A:$A,"新豐2線",'0128 4度C'!$B:$B,"平均")</f>
        <v>0</v>
      </c>
      <c r="F19" s="98">
        <f>SUMIFS('0128 4度C'!$Z:$Z,'0128 4度C'!$A:$A,"新豐5線",'0128 4度C'!$B:$B,"平均")</f>
        <v>0</v>
      </c>
      <c r="G19" s="98">
        <f>SUMIFS('0128 4度C'!$Z:$Z,'0128 4度C'!$A:$A,"新豐7線",'0128 4度C'!$B:$B,"平均")</f>
        <v>0</v>
      </c>
      <c r="H19" s="98">
        <f>SUMIFS('0128 4度C'!$Z:$Z,'0128 4度C'!$A:$A,"新豐3線",'0128 4度C'!$B:$B,"平均")</f>
        <v>0</v>
      </c>
      <c r="I19" s="98">
        <f>SUMIFS('0128 4度C'!$Z:$Z,'0128 4度C'!$A:$A,"新豐1線",'0128 4度C'!$B:$B,"平均")</f>
        <v>0</v>
      </c>
      <c r="J19" s="99">
        <f>SUMIFS('0128 4度C'!$Z:$Z,'0128 4度C'!$A:$A,"新豐10線",'0128 4度C'!$B:$B,"平均")</f>
        <v>0</v>
      </c>
      <c r="K19" s="100">
        <f>SUMIFS('0128 4度C'!$Z:$Z,'0128 4度C'!$A:$A,"新豐8線",'0128 4度C'!$B:$B,"平均")</f>
        <v>0</v>
      </c>
      <c r="L19" s="98">
        <f>SUMIFS('0128 4度C'!$Z:$Z,'0128 4度C'!$A:$A,"新豐9線",'0128 4度C'!$B:$B,"平均")</f>
        <v>0</v>
      </c>
      <c r="M19" s="99">
        <f>SUMIFS('0128 4度C'!$Z:$Z,'0128 4度C'!$A:$A,"新豐4線",'0128 4度C'!$B:$B,"平均")</f>
        <v>0</v>
      </c>
    </row>
    <row r="20" spans="2:13" ht="17.25" customHeight="1">
      <c r="B20" s="428" t="s">
        <v>2399</v>
      </c>
      <c r="C20" s="96" t="s">
        <v>2397</v>
      </c>
      <c r="D20" s="97">
        <f>SUMIFS('0128 4度C'!$AC:$AC,'0128 4度C'!$A:$A,"新豐6線",'0128 4度C'!$B:$B,"平均")</f>
        <v>2</v>
      </c>
      <c r="E20" s="98">
        <f>SUMIFS('0128 4度C'!$AC:$AC,'0128 4度C'!$A:$A,"新豐2線",'0128 4度C'!$B:$B,"平均")</f>
        <v>2</v>
      </c>
      <c r="F20" s="98">
        <f>SUMIFS('0128 4度C'!$AC:$AC,'0128 4度C'!$A:$A,"新豐5線",'0128 4度C'!$B:$B,"平均")</f>
        <v>3</v>
      </c>
      <c r="G20" s="98">
        <f>SUMIFS('0128 4度C'!$AC:$AC,'0128 4度C'!$A:$A,"新豐7線",'0128 4度C'!$B:$B,"平均")</f>
        <v>3</v>
      </c>
      <c r="H20" s="98">
        <f>SUMIFS('0128 4度C'!$AC:$AC,'0128 4度C'!$A:$A,"新豐3線",'0128 4度C'!$B:$B,"平均")</f>
        <v>0</v>
      </c>
      <c r="I20" s="98">
        <f>SUMIFS('0128 4度C'!$AC:$AC,'0128 4度C'!$A:$A,"新豐1線",'0128 4度C'!$B:$B,"平均")</f>
        <v>4</v>
      </c>
      <c r="J20" s="99">
        <f>SUMIFS('0128 4度C'!$AC:$AC,'0128 4度C'!$A:$A,"新豐10線",'0128 4度C'!$B:$B,"平均")</f>
        <v>1</v>
      </c>
      <c r="K20" s="100">
        <f>SUMIFS('0128 4度C'!$AC:$AC,'0128 4度C'!$A:$A,"新豐8線",'0128 4度C'!$B:$B,"平均")</f>
        <v>7</v>
      </c>
      <c r="L20" s="98">
        <f>SUMIFS('0128 4度C'!$AC:$AC,'0128 4度C'!$A:$A,"新豐9線",'0128 4度C'!$B:$B,"平均")</f>
        <v>7</v>
      </c>
      <c r="M20" s="99">
        <f>SUMIFS('0128 4度C'!$AC:$AC,'0128 4度C'!$A:$A,"新豐4線",'0128 4度C'!$B:$B,"平均")</f>
        <v>7</v>
      </c>
    </row>
    <row r="21" spans="2:13" ht="17.25" customHeight="1">
      <c r="B21" s="429"/>
      <c r="C21" s="96" t="s">
        <v>194</v>
      </c>
      <c r="D21" s="97">
        <f>SUMIFS('0128 4度C'!$AD:$AD,'0128 4度C'!$A:$A,"新豐6線",'0128 4度C'!$B:$B,"平均")</f>
        <v>0</v>
      </c>
      <c r="E21" s="98">
        <f>SUMIFS('0128 4度C'!$AD:$AD,'0128 4度C'!$A:$A,"新豐2線",'0128 4度C'!$B:$B,"平均")</f>
        <v>0</v>
      </c>
      <c r="F21" s="98">
        <f>SUMIFS('0128 4度C'!$AD:$AD,'0128 4度C'!$A:$A,"新豐5線",'0128 4度C'!$B:$B,"平均")</f>
        <v>0</v>
      </c>
      <c r="G21" s="98">
        <f>SUMIFS('0128 4度C'!$AD:$AD,'0128 4度C'!$A:$A,"新豐7線",'0128 4度C'!$B:$B,"平均")</f>
        <v>0</v>
      </c>
      <c r="H21" s="98">
        <f>SUMIFS('0128 4度C'!$AD:$AD,'0128 4度C'!$A:$A,"新豐3線",'0128 4度C'!$B:$B,"平均")</f>
        <v>0</v>
      </c>
      <c r="I21" s="98">
        <f>SUMIFS('0128 4度C'!$AD:$AD,'0128 4度C'!$A:$A,"新豐1線",'0128 4度C'!$B:$B,"平均")</f>
        <v>0</v>
      </c>
      <c r="J21" s="99">
        <f>SUMIFS('0128 4度C'!$AD:$AD,'0128 4度C'!$A:$A,"新豐10線",'0128 4度C'!$B:$B,"平均")</f>
        <v>0</v>
      </c>
      <c r="K21" s="100">
        <f>SUMIFS('0128 4度C'!$AD:$AD,'0128 4度C'!$A:$A,"新豐8線",'0128 4度C'!$B:$B,"平均")</f>
        <v>0</v>
      </c>
      <c r="L21" s="98">
        <f>SUMIFS('0128 4度C'!$AD:$AD,'0128 4度C'!$A:$A,"新豐9線",'0128 4度C'!$B:$B,"平均")</f>
        <v>0</v>
      </c>
      <c r="M21" s="99">
        <f>SUMIFS('0128 4度C'!$AD:$AD,'0128 4度C'!$A:$A,"新豐4線",'0128 4度C'!$B:$B,"平均")</f>
        <v>0</v>
      </c>
    </row>
    <row r="22" spans="2:13" ht="17.25" customHeight="1">
      <c r="B22" s="430" t="s">
        <v>2400</v>
      </c>
      <c r="C22" s="431"/>
      <c r="D22" s="101">
        <f>SUMIFS('0128 4度C'!$I:$I,'0128 4度C'!$A:$A,"新豐6線",'0128 4度C'!$B:$B,"平均")</f>
        <v>17.166666666666668</v>
      </c>
      <c r="E22" s="102">
        <f>SUMIFS('0128 4度C'!$I:$I,'0128 4度C'!$A:$A,"新豐2線",'0128 4度C'!$B:$B,"平均")</f>
        <v>18</v>
      </c>
      <c r="F22" s="102">
        <f>SUMIFS('0128 4度C'!$I:$I,'0128 4度C'!$A:$A,"新豐5線",'0128 4度C'!$B:$B,"平均")</f>
        <v>16.857142857142858</v>
      </c>
      <c r="G22" s="102">
        <f>SUMIFS('0128 4度C'!$I:$I,'0128 4度C'!$A:$A,"新豐7線",'0128 4度C'!$B:$B,"平均")</f>
        <v>15.714285714285714</v>
      </c>
      <c r="H22" s="102">
        <f>SUMIFS('0128 4度C'!$I:$I,'0128 4度C'!$A:$A,"新豐3線",'0128 4度C'!$B:$B,"平均")</f>
        <v>10</v>
      </c>
      <c r="I22" s="102">
        <f>SUMIFS('0128 4度C'!$I:$I,'0128 4度C'!$A:$A,"新豐1線",'0128 4度C'!$B:$B,"平均")</f>
        <v>18.8</v>
      </c>
      <c r="J22" s="103">
        <f>SUMIFS('0128 4度C'!$I:$I,'0128 4度C'!$A:$A,"新豐10線",'0128 4度C'!$B:$B,"平均")</f>
        <v>10.6</v>
      </c>
      <c r="K22" s="101">
        <f>SUMIFS('0128 4度C'!$I:$I,'0128 4度C'!$A:$A,"新豐8線",'0128 4度C'!$B:$B,"平均")</f>
        <v>18.166666666666668</v>
      </c>
      <c r="L22" s="102">
        <f>SUMIFS('0128 4度C'!$I:$I,'0128 4度C'!$A:$A,"新豐9線",'0128 4度C'!$B:$B,"平均")</f>
        <v>17.625</v>
      </c>
      <c r="M22" s="103">
        <f>SUMIFS('0128 4度C'!$I:$I,'0128 4度C'!$A:$A,"新豐4線",'0128 4度C'!$B:$B,"平均")</f>
        <v>16.166666666666668</v>
      </c>
    </row>
    <row r="23" spans="2:13" ht="17.25" customHeight="1">
      <c r="B23" s="430" t="s">
        <v>2333</v>
      </c>
      <c r="C23" s="431"/>
      <c r="D23" s="104" t="s">
        <v>157</v>
      </c>
      <c r="E23" s="105" t="s">
        <v>158</v>
      </c>
      <c r="F23" s="105" t="s">
        <v>2401</v>
      </c>
      <c r="G23" s="105" t="s">
        <v>197</v>
      </c>
      <c r="H23" s="105" t="s">
        <v>159</v>
      </c>
      <c r="I23" s="105" t="s">
        <v>157</v>
      </c>
      <c r="J23" s="106" t="s">
        <v>159</v>
      </c>
      <c r="K23" s="104" t="s">
        <v>2402</v>
      </c>
      <c r="L23" s="105" t="s">
        <v>2402</v>
      </c>
      <c r="M23" s="106" t="s">
        <v>199</v>
      </c>
    </row>
    <row r="24" spans="2:13" ht="17.25" customHeight="1">
      <c r="B24" s="430" t="s">
        <v>2403</v>
      </c>
      <c r="C24" s="431"/>
      <c r="D24" s="104"/>
      <c r="E24" s="105"/>
      <c r="F24" s="105" t="s">
        <v>2404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2405</v>
      </c>
      <c r="C25" s="433"/>
      <c r="D25" s="107"/>
      <c r="E25" s="108" t="s">
        <v>203</v>
      </c>
      <c r="F25" s="426" t="s">
        <v>204</v>
      </c>
      <c r="G25" s="427"/>
      <c r="H25" s="108" t="s">
        <v>2406</v>
      </c>
      <c r="I25" s="108" t="s">
        <v>2407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32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topLeftCell="C1" zoomScale="80" zoomScaleNormal="80" workbookViewId="0">
      <pane ySplit="4" topLeftCell="A5" activePane="bottomLeft" state="frozen"/>
      <selection activeCell="L3" sqref="L3"/>
      <selection pane="bottomLeft" activeCell="AA18" sqref="AA18:AB1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SUM(F5:F81)</f>
        <v>153697</v>
      </c>
      <c r="E1" s="398" t="s">
        <v>258</v>
      </c>
      <c r="F1" s="1">
        <f>SUM(G5:G81)</f>
        <v>5296787.87</v>
      </c>
      <c r="G1" s="1" t="s">
        <v>2408</v>
      </c>
      <c r="H1" s="5">
        <f>L11+L14+L57+L68+L22+L74+L37+L46+L30+L81</f>
        <v>159.09642857142856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8</v>
      </c>
      <c r="Z1" s="7" t="s">
        <v>2409</v>
      </c>
      <c r="AA1" s="543" t="s">
        <v>10</v>
      </c>
      <c r="AB1" s="543"/>
      <c r="AC1" s="156" t="s">
        <v>8</v>
      </c>
      <c r="AD1" s="7" t="s">
        <v>2410</v>
      </c>
      <c r="AE1" s="542" t="s">
        <v>268</v>
      </c>
      <c r="AF1" s="544"/>
      <c r="AG1" s="544"/>
    </row>
    <row r="2" spans="1:33" ht="26.25" customHeight="1">
      <c r="A2" s="49">
        <v>46050</v>
      </c>
      <c r="B2" s="50" t="s">
        <v>520</v>
      </c>
      <c r="C2" s="2" t="s">
        <v>2411</v>
      </c>
      <c r="D2" s="10">
        <f>AVERAGE(N11,N14,N57,N68,N22,N74,N30,N37,N46,N81)</f>
        <v>138.08395514235411</v>
      </c>
      <c r="E2" s="11" t="s">
        <v>14</v>
      </c>
      <c r="F2" s="12">
        <f>F1/D1</f>
        <v>34.462532580336635</v>
      </c>
      <c r="G2" s="1" t="s">
        <v>15</v>
      </c>
      <c r="H2" s="410">
        <f>COUNT(H5:H81)</f>
        <v>11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SUM(Y11+Y14+Y22+Y30+Y37+Y46+Y57+Y68+Y74+Y81)</f>
        <v>0</v>
      </c>
      <c r="Z2" s="14">
        <f>SUM(Z11+Z14+Z22+Z30+Z37+Z46+Z57+Z68+Z74+Z81)</f>
        <v>0</v>
      </c>
      <c r="AA2" s="543"/>
      <c r="AB2" s="543"/>
      <c r="AC2" s="157">
        <v>36</v>
      </c>
      <c r="AD2" s="14">
        <f>SUM(AD11+AD14+AD22+AD30+AD37+AD46+AD57+AD68+AD74+AD81)</f>
        <v>0</v>
      </c>
      <c r="AE2" s="544"/>
      <c r="AF2" s="544"/>
      <c r="AG2" s="544"/>
    </row>
    <row r="3" spans="1:33" ht="40.5" customHeight="1">
      <c r="A3" s="491" t="s">
        <v>2412</v>
      </c>
      <c r="B3" s="491" t="s">
        <v>2413</v>
      </c>
      <c r="C3" s="491" t="s">
        <v>18</v>
      </c>
      <c r="D3" s="491"/>
      <c r="E3" s="540" t="s">
        <v>19</v>
      </c>
      <c r="F3" s="491" t="s">
        <v>275</v>
      </c>
      <c r="G3" s="540" t="s">
        <v>276</v>
      </c>
      <c r="H3" s="533" t="s">
        <v>22</v>
      </c>
      <c r="I3" s="531" t="s">
        <v>278</v>
      </c>
      <c r="J3" s="528" t="s">
        <v>2414</v>
      </c>
      <c r="K3" s="538" t="s">
        <v>13</v>
      </c>
      <c r="L3" s="531" t="s">
        <v>278</v>
      </c>
      <c r="M3" s="528" t="s">
        <v>2414</v>
      </c>
      <c r="N3" s="538" t="s">
        <v>2391</v>
      </c>
      <c r="O3" s="531" t="s">
        <v>2415</v>
      </c>
      <c r="P3" s="538" t="s">
        <v>2391</v>
      </c>
      <c r="Q3" s="529" t="s">
        <v>2416</v>
      </c>
      <c r="R3" s="507" t="s">
        <v>2417</v>
      </c>
      <c r="S3" s="539" t="s">
        <v>27</v>
      </c>
      <c r="T3" s="539"/>
      <c r="U3" s="533" t="s">
        <v>28</v>
      </c>
      <c r="V3" s="533" t="s">
        <v>2418</v>
      </c>
      <c r="W3" s="491" t="s">
        <v>2419</v>
      </c>
      <c r="X3" s="491"/>
      <c r="Y3" s="534" t="s">
        <v>2420</v>
      </c>
      <c r="Z3" s="495"/>
      <c r="AA3" s="535" t="s">
        <v>2421</v>
      </c>
      <c r="AB3" s="536"/>
      <c r="AC3" s="534" t="s">
        <v>2422</v>
      </c>
      <c r="AD3" s="495"/>
      <c r="AE3" s="528" t="s">
        <v>2423</v>
      </c>
      <c r="AF3" s="529" t="s">
        <v>2424</v>
      </c>
      <c r="AG3" s="507" t="s">
        <v>26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409" t="s">
        <v>37</v>
      </c>
      <c r="T4" s="409" t="s">
        <v>38</v>
      </c>
      <c r="U4" s="533"/>
      <c r="V4" s="533"/>
      <c r="W4" s="398" t="s">
        <v>39</v>
      </c>
      <c r="X4" s="398" t="s">
        <v>2425</v>
      </c>
      <c r="Y4" s="400" t="s">
        <v>2426</v>
      </c>
      <c r="Z4" s="400" t="s">
        <v>2427</v>
      </c>
      <c r="AA4" s="537"/>
      <c r="AB4" s="536"/>
      <c r="AC4" s="400" t="s">
        <v>2359</v>
      </c>
      <c r="AD4" s="400" t="s">
        <v>2428</v>
      </c>
      <c r="AE4" s="528"/>
      <c r="AF4" s="529"/>
      <c r="AG4" s="507"/>
    </row>
    <row r="5" spans="1:33">
      <c r="A5" s="530" t="s">
        <v>2429</v>
      </c>
      <c r="B5" s="42" t="s">
        <v>103</v>
      </c>
      <c r="C5" s="532" t="s">
        <v>120</v>
      </c>
      <c r="D5" s="532"/>
      <c r="E5" s="42">
        <v>50.67</v>
      </c>
      <c r="F5" s="409">
        <v>1268</v>
      </c>
      <c r="G5" s="398">
        <f t="shared" ref="G5:G10" si="0">E5*F5</f>
        <v>64249.560000000005</v>
      </c>
      <c r="H5" s="411" t="s">
        <v>79</v>
      </c>
      <c r="I5" s="407">
        <v>17</v>
      </c>
      <c r="J5" s="37">
        <v>2000</v>
      </c>
      <c r="K5" s="17">
        <f t="shared" ref="K5:K68" si="1">J5/I5</f>
        <v>117.64705882352941</v>
      </c>
      <c r="L5" s="407">
        <v>17</v>
      </c>
      <c r="M5" s="18">
        <f t="shared" ref="M5:M10" si="2">F5/V5*60</f>
        <v>1950.7692307692298</v>
      </c>
      <c r="N5" s="17">
        <f t="shared" ref="N5:N68" si="3">M5/L5</f>
        <v>114.7511312217194</v>
      </c>
      <c r="O5" s="19">
        <f t="shared" ref="O5:O68" si="4">L5-I5</f>
        <v>0</v>
      </c>
      <c r="P5" s="20">
        <f t="shared" ref="P5:P68" si="5">N5-K5</f>
        <v>-2.8959276018100013</v>
      </c>
      <c r="Q5" s="401">
        <f t="shared" ref="Q5:Q68" si="6">N5/K5</f>
        <v>0.97538461538461496</v>
      </c>
      <c r="R5" s="489">
        <f>Q11</f>
        <v>0.96299531312689179</v>
      </c>
      <c r="S5" s="40">
        <v>0.70833333333333337</v>
      </c>
      <c r="T5" s="40">
        <v>0.73541666666666672</v>
      </c>
      <c r="U5" s="398"/>
      <c r="V5" s="408">
        <f t="shared" ref="V5:V10" si="7">(T5-S5)*24*60</f>
        <v>39.000000000000021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-49.230769230770193</v>
      </c>
      <c r="AF5" s="401">
        <f t="shared" ref="AF5:AF68" si="9">M5/J5</f>
        <v>0.97538461538461485</v>
      </c>
      <c r="AG5" s="489">
        <f>AF11</f>
        <v>0.96299531312689179</v>
      </c>
    </row>
    <row r="6" spans="1:33">
      <c r="A6" s="531" t="s">
        <v>2430</v>
      </c>
      <c r="B6" s="42" t="s">
        <v>103</v>
      </c>
      <c r="C6" s="532" t="s">
        <v>121</v>
      </c>
      <c r="D6" s="532"/>
      <c r="E6" s="42">
        <v>54.09</v>
      </c>
      <c r="F6" s="409">
        <v>1253</v>
      </c>
      <c r="G6" s="398">
        <f t="shared" si="0"/>
        <v>67774.77</v>
      </c>
      <c r="H6" s="411" t="s">
        <v>79</v>
      </c>
      <c r="I6" s="407">
        <v>19</v>
      </c>
      <c r="J6" s="37">
        <v>2000</v>
      </c>
      <c r="K6" s="17">
        <f t="shared" si="1"/>
        <v>105.26315789473684</v>
      </c>
      <c r="L6" s="407">
        <v>19</v>
      </c>
      <c r="M6" s="18">
        <f t="shared" si="2"/>
        <v>1927.6923076923067</v>
      </c>
      <c r="N6" s="17">
        <f t="shared" si="3"/>
        <v>101.45748987854246</v>
      </c>
      <c r="O6" s="19">
        <f t="shared" si="4"/>
        <v>0</v>
      </c>
      <c r="P6" s="20">
        <f t="shared" si="5"/>
        <v>-3.8056680161943746</v>
      </c>
      <c r="Q6" s="401">
        <f t="shared" si="6"/>
        <v>0.96384615384615346</v>
      </c>
      <c r="R6" s="489"/>
      <c r="S6" s="40">
        <v>0.74027777777777781</v>
      </c>
      <c r="T6" s="40">
        <v>0.76736111111111116</v>
      </c>
      <c r="U6" s="398">
        <f>IF(S6=TIME(17,0,0),"",(S6-T5)*24*60)</f>
        <v>6.9999999999999751</v>
      </c>
      <c r="V6" s="408">
        <f t="shared" si="7"/>
        <v>39.000000000000021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-72.307692307693287</v>
      </c>
      <c r="AF6" s="401">
        <f t="shared" si="9"/>
        <v>0.96384615384615335</v>
      </c>
      <c r="AG6" s="489"/>
    </row>
    <row r="7" spans="1:33">
      <c r="A7" s="531" t="s">
        <v>2430</v>
      </c>
      <c r="B7" s="42" t="s">
        <v>103</v>
      </c>
      <c r="C7" s="523" t="s">
        <v>122</v>
      </c>
      <c r="D7" s="524"/>
      <c r="E7" s="42">
        <v>50.29</v>
      </c>
      <c r="F7" s="409">
        <v>896</v>
      </c>
      <c r="G7" s="398">
        <f t="shared" si="0"/>
        <v>45059.839999999997</v>
      </c>
      <c r="H7" s="411" t="s">
        <v>79</v>
      </c>
      <c r="I7" s="407">
        <v>16</v>
      </c>
      <c r="J7" s="37">
        <v>2000</v>
      </c>
      <c r="K7" s="17">
        <f t="shared" si="1"/>
        <v>125</v>
      </c>
      <c r="L7" s="407">
        <v>16</v>
      </c>
      <c r="M7" s="18">
        <f t="shared" si="2"/>
        <v>1919.9999999999959</v>
      </c>
      <c r="N7" s="17">
        <f t="shared" si="3"/>
        <v>119.99999999999974</v>
      </c>
      <c r="O7" s="19">
        <f t="shared" si="4"/>
        <v>0</v>
      </c>
      <c r="P7" s="20">
        <f t="shared" si="5"/>
        <v>-5.0000000000002558</v>
      </c>
      <c r="Q7" s="401">
        <f t="shared" si="6"/>
        <v>0.95999999999999797</v>
      </c>
      <c r="R7" s="489"/>
      <c r="S7" s="40">
        <v>0.77083333333333337</v>
      </c>
      <c r="T7" s="40">
        <v>0.79027777777777786</v>
      </c>
      <c r="U7" s="398">
        <f>IF(S7=TIME(17,0,0),"",(S7-T6)*24*60)</f>
        <v>4.9999999999999822</v>
      </c>
      <c r="V7" s="408">
        <f t="shared" si="7"/>
        <v>28.00000000000006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-80.000000000004093</v>
      </c>
      <c r="AF7" s="401">
        <f t="shared" si="9"/>
        <v>0.95999999999999797</v>
      </c>
      <c r="AG7" s="489"/>
    </row>
    <row r="8" spans="1:33">
      <c r="A8" s="531" t="s">
        <v>2431</v>
      </c>
      <c r="B8" s="42" t="s">
        <v>103</v>
      </c>
      <c r="C8" s="523" t="s">
        <v>1708</v>
      </c>
      <c r="D8" s="524"/>
      <c r="E8" s="42">
        <v>57.3</v>
      </c>
      <c r="F8" s="409">
        <v>600</v>
      </c>
      <c r="G8" s="398">
        <f t="shared" si="0"/>
        <v>34380</v>
      </c>
      <c r="H8" s="411">
        <v>2</v>
      </c>
      <c r="I8" s="407">
        <v>15</v>
      </c>
      <c r="J8" s="37">
        <v>2000</v>
      </c>
      <c r="K8" s="17">
        <f t="shared" si="1"/>
        <v>133.33333333333334</v>
      </c>
      <c r="L8" s="407">
        <v>15</v>
      </c>
      <c r="M8" s="18">
        <f t="shared" si="2"/>
        <v>1894.7368421052699</v>
      </c>
      <c r="N8" s="17">
        <f t="shared" si="3"/>
        <v>126.31578947368466</v>
      </c>
      <c r="O8" s="19">
        <f t="shared" si="4"/>
        <v>0</v>
      </c>
      <c r="P8" s="20">
        <f t="shared" si="5"/>
        <v>-7.0175438596486828</v>
      </c>
      <c r="Q8" s="401">
        <f t="shared" si="6"/>
        <v>0.94736842105263486</v>
      </c>
      <c r="R8" s="489"/>
      <c r="S8" s="40">
        <v>0.79375000000000007</v>
      </c>
      <c r="T8" s="40">
        <v>0.80694444444444446</v>
      </c>
      <c r="U8" s="398">
        <f>IF(S8=TIME(17,0,0),"",(S8-T7)*24*60)</f>
        <v>4.9999999999999822</v>
      </c>
      <c r="V8" s="408">
        <f t="shared" si="7"/>
        <v>18.999999999999932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-105.26315789473006</v>
      </c>
      <c r="AF8" s="401">
        <f t="shared" si="9"/>
        <v>0.94736842105263497</v>
      </c>
      <c r="AG8" s="489"/>
    </row>
    <row r="9" spans="1:33">
      <c r="A9" s="531" t="s">
        <v>45</v>
      </c>
      <c r="B9" s="42" t="s">
        <v>103</v>
      </c>
      <c r="C9" s="523" t="s">
        <v>515</v>
      </c>
      <c r="D9" s="524"/>
      <c r="E9" s="42">
        <v>50.67</v>
      </c>
      <c r="F9" s="409">
        <v>1199</v>
      </c>
      <c r="G9" s="398">
        <f t="shared" si="0"/>
        <v>60753.33</v>
      </c>
      <c r="H9" s="411" t="s">
        <v>79</v>
      </c>
      <c r="I9" s="407">
        <v>21</v>
      </c>
      <c r="J9" s="37">
        <v>2000</v>
      </c>
      <c r="K9" s="17">
        <f t="shared" si="1"/>
        <v>95.238095238095241</v>
      </c>
      <c r="L9" s="407">
        <v>21</v>
      </c>
      <c r="M9" s="18">
        <f t="shared" si="2"/>
        <v>1944.324324324323</v>
      </c>
      <c r="N9" s="17">
        <f t="shared" si="3"/>
        <v>92.586872586872531</v>
      </c>
      <c r="O9" s="19">
        <f t="shared" si="4"/>
        <v>0</v>
      </c>
      <c r="P9" s="20">
        <f t="shared" si="5"/>
        <v>-2.6512226512227102</v>
      </c>
      <c r="Q9" s="401">
        <f t="shared" si="6"/>
        <v>0.97216216216216156</v>
      </c>
      <c r="R9" s="489"/>
      <c r="S9" s="40">
        <v>0.81180555555555556</v>
      </c>
      <c r="T9" s="40">
        <v>0.83750000000000002</v>
      </c>
      <c r="U9" s="398">
        <f>IF(S9=TIME(17,0,0),"",(S9-T8)*24*60)</f>
        <v>6.9999999999999751</v>
      </c>
      <c r="V9" s="408">
        <f t="shared" si="7"/>
        <v>37.000000000000028</v>
      </c>
      <c r="W9" s="23">
        <f>T9</f>
        <v>0.83750000000000002</v>
      </c>
      <c r="X9" s="23">
        <f>S10</f>
        <v>0.87847222222222221</v>
      </c>
      <c r="Y9" s="26"/>
      <c r="Z9" s="26"/>
      <c r="AA9" s="503"/>
      <c r="AB9" s="504"/>
      <c r="AC9" s="155"/>
      <c r="AD9" s="27"/>
      <c r="AE9" s="19">
        <f t="shared" si="8"/>
        <v>-55.675675675676985</v>
      </c>
      <c r="AF9" s="401">
        <f t="shared" si="9"/>
        <v>0.97216216216216156</v>
      </c>
      <c r="AG9" s="489"/>
    </row>
    <row r="10" spans="1:33">
      <c r="A10" s="531" t="s">
        <v>2432</v>
      </c>
      <c r="B10" s="42" t="s">
        <v>103</v>
      </c>
      <c r="C10" s="523" t="s">
        <v>1708</v>
      </c>
      <c r="D10" s="524"/>
      <c r="E10" s="42">
        <v>57.3</v>
      </c>
      <c r="F10" s="409">
        <v>1215</v>
      </c>
      <c r="G10" s="398">
        <f t="shared" si="0"/>
        <v>69619.5</v>
      </c>
      <c r="H10" s="411" t="s">
        <v>79</v>
      </c>
      <c r="I10" s="407">
        <v>15</v>
      </c>
      <c r="J10" s="37">
        <v>2000</v>
      </c>
      <c r="K10" s="17">
        <f t="shared" si="1"/>
        <v>133.33333333333334</v>
      </c>
      <c r="L10" s="407">
        <v>15</v>
      </c>
      <c r="M10" s="18">
        <f t="shared" si="2"/>
        <v>1918.4210526315774</v>
      </c>
      <c r="N10" s="17">
        <f t="shared" si="3"/>
        <v>127.89473684210516</v>
      </c>
      <c r="O10" s="19">
        <f t="shared" si="4"/>
        <v>0</v>
      </c>
      <c r="P10" s="20">
        <f t="shared" si="5"/>
        <v>-5.4385964912281821</v>
      </c>
      <c r="Q10" s="401">
        <f t="shared" si="6"/>
        <v>0.95921052631578863</v>
      </c>
      <c r="R10" s="489"/>
      <c r="S10" s="40">
        <v>0.87847222222222221</v>
      </c>
      <c r="T10" s="40">
        <v>0.90486111111111112</v>
      </c>
      <c r="U10" s="398">
        <f>IF(S10=TIME(17,0,0),"",(S10-T9)*24*60)</f>
        <v>58.99999999999995</v>
      </c>
      <c r="V10" s="408">
        <f t="shared" si="7"/>
        <v>38.000000000000028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-81.578947368422632</v>
      </c>
      <c r="AF10" s="401">
        <f t="shared" si="9"/>
        <v>0.95921052631578874</v>
      </c>
      <c r="AG10" s="489"/>
    </row>
    <row r="11" spans="1:33">
      <c r="A11" s="531" t="s">
        <v>2433</v>
      </c>
      <c r="B11" s="42" t="s">
        <v>2434</v>
      </c>
      <c r="C11" s="494"/>
      <c r="D11" s="494"/>
      <c r="E11" s="402"/>
      <c r="F11" s="44"/>
      <c r="G11" s="17"/>
      <c r="H11" s="409"/>
      <c r="I11" s="30">
        <v>17.166666666666668</v>
      </c>
      <c r="J11" s="37">
        <v>2000</v>
      </c>
      <c r="K11" s="17">
        <f t="shared" si="1"/>
        <v>116.50485436893203</v>
      </c>
      <c r="L11" s="30">
        <v>17.166666666666668</v>
      </c>
      <c r="M11" s="18">
        <f>AVERAGE(M5:M10)</f>
        <v>1925.9906262537836</v>
      </c>
      <c r="N11" s="17">
        <f t="shared" si="3"/>
        <v>112.19362871381263</v>
      </c>
      <c r="O11" s="19">
        <f t="shared" si="4"/>
        <v>0</v>
      </c>
      <c r="P11" s="20">
        <f t="shared" si="5"/>
        <v>-4.3112256551194008</v>
      </c>
      <c r="Q11" s="401">
        <f t="shared" si="6"/>
        <v>0.96299531312689179</v>
      </c>
      <c r="R11" s="489"/>
      <c r="S11" s="40"/>
      <c r="T11" s="40"/>
      <c r="U11" s="398"/>
      <c r="V11" s="408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v>2</v>
      </c>
      <c r="AD11" s="31">
        <f>SUM(AD5:AD10)</f>
        <v>0</v>
      </c>
      <c r="AE11" s="19">
        <f t="shared" si="8"/>
        <v>-74.009373746216397</v>
      </c>
      <c r="AF11" s="401">
        <f t="shared" si="9"/>
        <v>0.96299531312689179</v>
      </c>
      <c r="AG11" s="489"/>
    </row>
    <row r="12" spans="1:33" ht="15.75" customHeight="1">
      <c r="A12" s="527" t="s">
        <v>2435</v>
      </c>
      <c r="B12" s="42" t="s">
        <v>100</v>
      </c>
      <c r="C12" s="523" t="s">
        <v>124</v>
      </c>
      <c r="D12" s="524"/>
      <c r="E12" s="42">
        <v>39.619999999999997</v>
      </c>
      <c r="F12" s="409">
        <v>3019</v>
      </c>
      <c r="G12" s="398">
        <f>E12*F12</f>
        <v>119612.78</v>
      </c>
      <c r="H12" s="411" t="s">
        <v>79</v>
      </c>
      <c r="I12" s="407">
        <v>19</v>
      </c>
      <c r="J12" s="37">
        <v>1500</v>
      </c>
      <c r="K12" s="17">
        <f t="shared" si="1"/>
        <v>78.94736842105263</v>
      </c>
      <c r="L12" s="407">
        <v>19</v>
      </c>
      <c r="M12" s="18">
        <f>F12/V12*60</f>
        <v>1437.6190476190479</v>
      </c>
      <c r="N12" s="17">
        <f t="shared" si="3"/>
        <v>75.664160401002519</v>
      </c>
      <c r="O12" s="19">
        <f t="shared" si="4"/>
        <v>0</v>
      </c>
      <c r="P12" s="20">
        <f t="shared" si="5"/>
        <v>-3.283208020050111</v>
      </c>
      <c r="Q12" s="401">
        <f t="shared" si="6"/>
        <v>0.9584126984126986</v>
      </c>
      <c r="R12" s="489">
        <f>Q14</f>
        <v>0.956883116883117</v>
      </c>
      <c r="S12" s="40">
        <v>0.20833333333333334</v>
      </c>
      <c r="T12" s="40">
        <v>0.29583333333333334</v>
      </c>
      <c r="U12" s="398"/>
      <c r="V12" s="408">
        <f>(T12-S12)*24*60</f>
        <v>125.99999999999997</v>
      </c>
      <c r="W12" s="23"/>
      <c r="X12" s="23"/>
      <c r="Y12" s="23"/>
      <c r="Z12" s="23"/>
      <c r="AA12" s="491"/>
      <c r="AB12" s="491"/>
      <c r="AC12" s="154">
        <v>2</v>
      </c>
      <c r="AD12" s="25"/>
      <c r="AE12" s="19">
        <f t="shared" si="8"/>
        <v>-62.380952380952067</v>
      </c>
      <c r="AF12" s="401">
        <f t="shared" si="9"/>
        <v>0.9584126984126986</v>
      </c>
      <c r="AG12" s="489">
        <f>AF14</f>
        <v>0.95688311688311689</v>
      </c>
    </row>
    <row r="13" spans="1:33" ht="15.75" customHeight="1">
      <c r="A13" s="527" t="s">
        <v>2436</v>
      </c>
      <c r="B13" s="42" t="s">
        <v>100</v>
      </c>
      <c r="C13" s="523" t="s">
        <v>125</v>
      </c>
      <c r="D13" s="524"/>
      <c r="E13" s="42">
        <v>39.799999999999997</v>
      </c>
      <c r="F13" s="409">
        <v>4729</v>
      </c>
      <c r="G13" s="398">
        <f>E13*F13</f>
        <v>188214.19999999998</v>
      </c>
      <c r="H13" s="411" t="s">
        <v>79</v>
      </c>
      <c r="I13" s="407">
        <v>17</v>
      </c>
      <c r="J13" s="37">
        <v>1500</v>
      </c>
      <c r="K13" s="17">
        <f t="shared" si="1"/>
        <v>88.235294117647058</v>
      </c>
      <c r="L13" s="407">
        <v>17</v>
      </c>
      <c r="M13" s="18">
        <f>F13/V13*60</f>
        <v>1433.0303030303028</v>
      </c>
      <c r="N13" s="17">
        <f t="shared" si="3"/>
        <v>84.295900178253106</v>
      </c>
      <c r="O13" s="19">
        <f t="shared" si="4"/>
        <v>0</v>
      </c>
      <c r="P13" s="20">
        <f t="shared" si="5"/>
        <v>-3.9393939393939519</v>
      </c>
      <c r="Q13" s="401">
        <f t="shared" si="6"/>
        <v>0.95535353535353518</v>
      </c>
      <c r="R13" s="489"/>
      <c r="S13" s="40">
        <v>0.30069444444444443</v>
      </c>
      <c r="T13" s="40">
        <v>0.43819444444444444</v>
      </c>
      <c r="U13" s="398">
        <f>IF(S13=TIME(17,0,0),"",(S13-T12)*24*60)</f>
        <v>6.9999999999999751</v>
      </c>
      <c r="V13" s="408">
        <f>(T13-S13)*24*60</f>
        <v>198.00000000000003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-66.969696969697225</v>
      </c>
      <c r="AF13" s="401">
        <f t="shared" si="9"/>
        <v>0.95535353535353518</v>
      </c>
      <c r="AG13" s="489"/>
    </row>
    <row r="14" spans="1:33" ht="16.5" customHeight="1">
      <c r="A14" s="527" t="s">
        <v>50</v>
      </c>
      <c r="B14" s="42" t="s">
        <v>71</v>
      </c>
      <c r="C14" s="494"/>
      <c r="D14" s="494"/>
      <c r="E14" s="402"/>
      <c r="F14" s="37"/>
      <c r="G14" s="18"/>
      <c r="H14" s="409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1435.3246753246754</v>
      </c>
      <c r="N14" s="17">
        <f t="shared" si="3"/>
        <v>79.740259740259745</v>
      </c>
      <c r="O14" s="19">
        <f t="shared" si="4"/>
        <v>0</v>
      </c>
      <c r="P14" s="20">
        <f t="shared" si="5"/>
        <v>-3.5930735930735835</v>
      </c>
      <c r="Q14" s="401">
        <f t="shared" si="6"/>
        <v>0.956883116883117</v>
      </c>
      <c r="R14" s="489"/>
      <c r="S14" s="40"/>
      <c r="T14" s="40"/>
      <c r="U14" s="17"/>
      <c r="V14" s="408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v>2</v>
      </c>
      <c r="AD14" s="31">
        <f>SUM(AD12:AD13)</f>
        <v>0</v>
      </c>
      <c r="AE14" s="19">
        <f t="shared" si="8"/>
        <v>-64.675324675324646</v>
      </c>
      <c r="AF14" s="401">
        <f t="shared" si="9"/>
        <v>0.95688311688311689</v>
      </c>
      <c r="AG14" s="489"/>
    </row>
    <row r="15" spans="1:33" ht="16.5" customHeight="1">
      <c r="A15" s="525" t="s">
        <v>2437</v>
      </c>
      <c r="B15" s="409" t="s">
        <v>126</v>
      </c>
      <c r="C15" s="515" t="s">
        <v>127</v>
      </c>
      <c r="D15" s="515"/>
      <c r="E15" s="42">
        <v>41</v>
      </c>
      <c r="F15" s="409">
        <v>2167</v>
      </c>
      <c r="G15" s="398">
        <f t="shared" ref="G15:G21" si="10">E15*F15</f>
        <v>88847</v>
      </c>
      <c r="H15" s="411" t="s">
        <v>79</v>
      </c>
      <c r="I15" s="407">
        <v>26</v>
      </c>
      <c r="J15" s="37">
        <v>1500</v>
      </c>
      <c r="K15" s="17">
        <f t="shared" si="1"/>
        <v>57.692307692307693</v>
      </c>
      <c r="L15" s="407">
        <v>26</v>
      </c>
      <c r="M15" s="18">
        <f t="shared" ref="M15:M21" si="11">F15/V15*60</f>
        <v>1444.6666666666658</v>
      </c>
      <c r="N15" s="17">
        <f t="shared" si="3"/>
        <v>55.564102564102534</v>
      </c>
      <c r="O15" s="19">
        <f t="shared" si="4"/>
        <v>0</v>
      </c>
      <c r="P15" s="20">
        <f t="shared" si="5"/>
        <v>-2.1282051282051597</v>
      </c>
      <c r="Q15" s="401">
        <f t="shared" si="6"/>
        <v>0.96311111111111058</v>
      </c>
      <c r="R15" s="489">
        <f>Q22</f>
        <v>0.96231296082696027</v>
      </c>
      <c r="S15" s="40">
        <v>0.20833333333333334</v>
      </c>
      <c r="T15" s="40">
        <v>0.27083333333333337</v>
      </c>
      <c r="U15" s="398"/>
      <c r="V15" s="408">
        <f t="shared" ref="V15:V21" si="12">(T15-S15)*24*60</f>
        <v>90.000000000000043</v>
      </c>
      <c r="W15" s="28"/>
      <c r="X15" s="28"/>
      <c r="Y15" s="28"/>
      <c r="Z15" s="28"/>
      <c r="AA15" s="491"/>
      <c r="AB15" s="491"/>
      <c r="AC15" s="154">
        <v>3</v>
      </c>
      <c r="AD15" s="25"/>
      <c r="AE15" s="19">
        <f t="shared" si="8"/>
        <v>-55.333333333334167</v>
      </c>
      <c r="AF15" s="401">
        <f t="shared" si="9"/>
        <v>0.96311111111111058</v>
      </c>
      <c r="AG15" s="489">
        <f>AF22</f>
        <v>0.96231296082696027</v>
      </c>
    </row>
    <row r="16" spans="1:33" ht="16.5" customHeight="1">
      <c r="A16" s="526" t="s">
        <v>2437</v>
      </c>
      <c r="B16" s="409" t="s">
        <v>128</v>
      </c>
      <c r="C16" s="515" t="s">
        <v>129</v>
      </c>
      <c r="D16" s="515"/>
      <c r="E16" s="42">
        <v>72.400000000000006</v>
      </c>
      <c r="F16" s="409">
        <v>1079</v>
      </c>
      <c r="G16" s="398">
        <f t="shared" si="10"/>
        <v>78119.600000000006</v>
      </c>
      <c r="H16" s="411" t="s">
        <v>79</v>
      </c>
      <c r="I16" s="407">
        <v>18</v>
      </c>
      <c r="J16" s="37">
        <v>1500</v>
      </c>
      <c r="K16" s="17">
        <f t="shared" si="1"/>
        <v>83.333333333333329</v>
      </c>
      <c r="L16" s="407">
        <v>18</v>
      </c>
      <c r="M16" s="18">
        <f t="shared" si="11"/>
        <v>1438.6666666666667</v>
      </c>
      <c r="N16" s="17">
        <f t="shared" si="3"/>
        <v>79.925925925925924</v>
      </c>
      <c r="O16" s="19">
        <f t="shared" si="4"/>
        <v>0</v>
      </c>
      <c r="P16" s="20">
        <f t="shared" si="5"/>
        <v>-3.4074074074074048</v>
      </c>
      <c r="Q16" s="401">
        <f t="shared" si="6"/>
        <v>0.95911111111111114</v>
      </c>
      <c r="R16" s="489"/>
      <c r="S16" s="40">
        <v>0.27500000000000002</v>
      </c>
      <c r="T16" s="40">
        <v>0.30625000000000002</v>
      </c>
      <c r="U16" s="398">
        <f t="shared" ref="U16:U21" si="13">IF(S16=TIME(17,0,0),"",(S16-T15)*24*60)</f>
        <v>5.9999999999999787</v>
      </c>
      <c r="V16" s="408">
        <f t="shared" si="12"/>
        <v>45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-61.333333333333258</v>
      </c>
      <c r="AF16" s="401">
        <f t="shared" si="9"/>
        <v>0.95911111111111114</v>
      </c>
      <c r="AG16" s="489"/>
    </row>
    <row r="17" spans="1:33" ht="16.5" customHeight="1">
      <c r="A17" s="526" t="s">
        <v>52</v>
      </c>
      <c r="B17" s="409" t="s">
        <v>103</v>
      </c>
      <c r="C17" s="515" t="s">
        <v>123</v>
      </c>
      <c r="D17" s="515"/>
      <c r="E17" s="42">
        <v>50.98</v>
      </c>
      <c r="F17" s="409">
        <v>1000</v>
      </c>
      <c r="G17" s="398">
        <f t="shared" si="10"/>
        <v>50980</v>
      </c>
      <c r="H17" s="411">
        <v>2</v>
      </c>
      <c r="I17" s="407">
        <v>16</v>
      </c>
      <c r="J17" s="37">
        <v>2000</v>
      </c>
      <c r="K17" s="17">
        <f t="shared" si="1"/>
        <v>125</v>
      </c>
      <c r="L17" s="407">
        <v>16</v>
      </c>
      <c r="M17" s="18">
        <f t="shared" si="11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401">
        <f t="shared" si="6"/>
        <v>0.96774193548386944</v>
      </c>
      <c r="R17" s="489"/>
      <c r="S17" s="40">
        <v>0.70833333333333337</v>
      </c>
      <c r="T17" s="40">
        <v>0.72986111111111118</v>
      </c>
      <c r="U17" s="398" t="str">
        <f t="shared" si="13"/>
        <v/>
      </c>
      <c r="V17" s="408">
        <f t="shared" si="12"/>
        <v>31.00000000000005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-64.516129032261006</v>
      </c>
      <c r="AF17" s="401">
        <f t="shared" si="9"/>
        <v>0.96774193548386944</v>
      </c>
      <c r="AG17" s="489"/>
    </row>
    <row r="18" spans="1:33" ht="16.5" customHeight="1">
      <c r="A18" s="526" t="s">
        <v>2438</v>
      </c>
      <c r="B18" s="409" t="s">
        <v>103</v>
      </c>
      <c r="C18" s="515" t="s">
        <v>132</v>
      </c>
      <c r="D18" s="515"/>
      <c r="E18" s="42">
        <v>50.92</v>
      </c>
      <c r="F18" s="409">
        <v>700</v>
      </c>
      <c r="G18" s="398">
        <f t="shared" si="10"/>
        <v>35644</v>
      </c>
      <c r="H18" s="411">
        <v>2</v>
      </c>
      <c r="I18" s="407">
        <v>15</v>
      </c>
      <c r="J18" s="37">
        <v>2000</v>
      </c>
      <c r="K18" s="17">
        <f t="shared" si="1"/>
        <v>133.33333333333334</v>
      </c>
      <c r="L18" s="407">
        <v>15</v>
      </c>
      <c r="M18" s="18">
        <f t="shared" si="11"/>
        <v>1909.0909090909158</v>
      </c>
      <c r="N18" s="17">
        <f t="shared" si="3"/>
        <v>127.27272727272772</v>
      </c>
      <c r="O18" s="19">
        <f t="shared" si="4"/>
        <v>0</v>
      </c>
      <c r="P18" s="20">
        <f t="shared" si="5"/>
        <v>-6.0606060606056218</v>
      </c>
      <c r="Q18" s="401">
        <f t="shared" si="6"/>
        <v>0.95454545454545781</v>
      </c>
      <c r="R18" s="489"/>
      <c r="S18" s="40">
        <v>0.73402777777777783</v>
      </c>
      <c r="T18" s="40">
        <v>0.74930555555555556</v>
      </c>
      <c r="U18" s="398">
        <f t="shared" si="13"/>
        <v>5.9999999999999787</v>
      </c>
      <c r="V18" s="408">
        <f t="shared" si="12"/>
        <v>21.999999999999922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-90.909090909084171</v>
      </c>
      <c r="AF18" s="401">
        <f t="shared" si="9"/>
        <v>0.95454545454545792</v>
      </c>
      <c r="AG18" s="489"/>
    </row>
    <row r="19" spans="1:33" ht="16.5" customHeight="1">
      <c r="A19" s="526" t="s">
        <v>2437</v>
      </c>
      <c r="B19" s="409" t="s">
        <v>103</v>
      </c>
      <c r="C19" s="515" t="s">
        <v>133</v>
      </c>
      <c r="D19" s="515"/>
      <c r="E19" s="42">
        <v>50.67</v>
      </c>
      <c r="F19" s="409">
        <v>1701</v>
      </c>
      <c r="G19" s="398">
        <f t="shared" si="10"/>
        <v>86189.67</v>
      </c>
      <c r="H19" s="411" t="s">
        <v>79</v>
      </c>
      <c r="I19" s="407">
        <v>15</v>
      </c>
      <c r="J19" s="37">
        <v>2000</v>
      </c>
      <c r="K19" s="17">
        <f t="shared" si="1"/>
        <v>133.33333333333334</v>
      </c>
      <c r="L19" s="407">
        <v>15</v>
      </c>
      <c r="M19" s="18">
        <f t="shared" si="11"/>
        <v>1925.6603773584916</v>
      </c>
      <c r="N19" s="17">
        <f t="shared" si="3"/>
        <v>128.37735849056611</v>
      </c>
      <c r="O19" s="19">
        <f t="shared" si="4"/>
        <v>0</v>
      </c>
      <c r="P19" s="20">
        <f t="shared" si="5"/>
        <v>-4.9559748427672332</v>
      </c>
      <c r="Q19" s="401">
        <f t="shared" si="6"/>
        <v>0.96283018867924575</v>
      </c>
      <c r="R19" s="489"/>
      <c r="S19" s="40">
        <v>0.75486111111111109</v>
      </c>
      <c r="T19" s="40">
        <v>0.79166666666666663</v>
      </c>
      <c r="U19" s="398">
        <f t="shared" si="13"/>
        <v>7.9999999999999716</v>
      </c>
      <c r="V19" s="408">
        <f t="shared" si="12"/>
        <v>52.999999999999972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-74.339622641508413</v>
      </c>
      <c r="AF19" s="401">
        <f t="shared" si="9"/>
        <v>0.96283018867924575</v>
      </c>
      <c r="AG19" s="489"/>
    </row>
    <row r="20" spans="1:33" ht="16.5" customHeight="1">
      <c r="A20" s="526" t="s">
        <v>52</v>
      </c>
      <c r="B20" s="409" t="s">
        <v>103</v>
      </c>
      <c r="C20" s="521" t="s">
        <v>134</v>
      </c>
      <c r="D20" s="522"/>
      <c r="E20" s="42">
        <v>57.3</v>
      </c>
      <c r="F20" s="409">
        <v>1919</v>
      </c>
      <c r="G20" s="398">
        <f t="shared" si="10"/>
        <v>109958.7</v>
      </c>
      <c r="H20" s="411" t="s">
        <v>79</v>
      </c>
      <c r="I20" s="407">
        <v>13</v>
      </c>
      <c r="J20" s="37">
        <v>2000</v>
      </c>
      <c r="K20" s="17">
        <f t="shared" si="1"/>
        <v>153.84615384615384</v>
      </c>
      <c r="L20" s="407">
        <v>13</v>
      </c>
      <c r="M20" s="18">
        <f t="shared" si="11"/>
        <v>1919.0000000000018</v>
      </c>
      <c r="N20" s="17">
        <f t="shared" si="3"/>
        <v>147.61538461538476</v>
      </c>
      <c r="O20" s="19">
        <f t="shared" si="4"/>
        <v>0</v>
      </c>
      <c r="P20" s="20">
        <f t="shared" si="5"/>
        <v>-6.2307692307690843</v>
      </c>
      <c r="Q20" s="401">
        <f t="shared" si="6"/>
        <v>0.95950000000000091</v>
      </c>
      <c r="R20" s="489"/>
      <c r="S20" s="40">
        <v>0.79722222222222217</v>
      </c>
      <c r="T20" s="40">
        <v>0.8388888888888888</v>
      </c>
      <c r="U20" s="398">
        <f t="shared" si="13"/>
        <v>7.9999999999999716</v>
      </c>
      <c r="V20" s="408">
        <f t="shared" si="12"/>
        <v>59.999999999999943</v>
      </c>
      <c r="W20" s="23">
        <f>T20</f>
        <v>0.8388888888888888</v>
      </c>
      <c r="X20" s="23">
        <f>S21</f>
        <v>0.87986111111111098</v>
      </c>
      <c r="Y20" s="26"/>
      <c r="Z20" s="26"/>
      <c r="AA20" s="503"/>
      <c r="AB20" s="504"/>
      <c r="AC20" s="154"/>
      <c r="AD20" s="25"/>
      <c r="AE20" s="19">
        <f t="shared" si="8"/>
        <v>-80.999999999998181</v>
      </c>
      <c r="AF20" s="401">
        <f t="shared" si="9"/>
        <v>0.95950000000000091</v>
      </c>
      <c r="AG20" s="489"/>
    </row>
    <row r="21" spans="1:33" ht="16.5" customHeight="1">
      <c r="A21" s="526" t="s">
        <v>52</v>
      </c>
      <c r="B21" s="409" t="s">
        <v>103</v>
      </c>
      <c r="C21" s="405" t="s">
        <v>132</v>
      </c>
      <c r="D21" s="406"/>
      <c r="E21" s="42">
        <v>50.92</v>
      </c>
      <c r="F21" s="409">
        <v>1550</v>
      </c>
      <c r="G21" s="398">
        <f t="shared" si="10"/>
        <v>78926</v>
      </c>
      <c r="H21" s="411" t="s">
        <v>79</v>
      </c>
      <c r="I21" s="407">
        <v>15</v>
      </c>
      <c r="J21" s="37">
        <v>2000</v>
      </c>
      <c r="K21" s="17">
        <f t="shared" si="1"/>
        <v>133.33333333333334</v>
      </c>
      <c r="L21" s="407">
        <v>15</v>
      </c>
      <c r="M21" s="18">
        <f t="shared" si="11"/>
        <v>1937.5000000000007</v>
      </c>
      <c r="N21" s="17">
        <f t="shared" si="3"/>
        <v>129.16666666666671</v>
      </c>
      <c r="O21" s="19">
        <f t="shared" si="4"/>
        <v>0</v>
      </c>
      <c r="P21" s="20">
        <f t="shared" si="5"/>
        <v>-4.1666666666666288</v>
      </c>
      <c r="Q21" s="401">
        <f t="shared" si="6"/>
        <v>0.96875000000000033</v>
      </c>
      <c r="R21" s="489"/>
      <c r="S21" s="40">
        <v>0.87986111111111098</v>
      </c>
      <c r="T21" s="40">
        <v>0.91319444444444431</v>
      </c>
      <c r="U21" s="398">
        <f t="shared" si="13"/>
        <v>58.99999999999995</v>
      </c>
      <c r="V21" s="408">
        <f t="shared" si="12"/>
        <v>47.999999999999986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-62.499999999999318</v>
      </c>
      <c r="AF21" s="401">
        <f t="shared" si="9"/>
        <v>0.96875000000000033</v>
      </c>
      <c r="AG21" s="489"/>
    </row>
    <row r="22" spans="1:33" ht="16.5" customHeight="1">
      <c r="A22" s="526" t="s">
        <v>52</v>
      </c>
      <c r="B22" s="42" t="s">
        <v>71</v>
      </c>
      <c r="C22" s="494"/>
      <c r="D22" s="494"/>
      <c r="E22" s="402"/>
      <c r="F22" s="44"/>
      <c r="G22" s="17"/>
      <c r="H22" s="409"/>
      <c r="I22" s="30">
        <v>16.857142857142858</v>
      </c>
      <c r="J22" s="37">
        <v>1857.1428571428571</v>
      </c>
      <c r="K22" s="17">
        <f t="shared" si="1"/>
        <v>110.16949152542372</v>
      </c>
      <c r="L22" s="30">
        <v>16.857142857142858</v>
      </c>
      <c r="M22" s="18">
        <f>AVERAGE(M15:M21)</f>
        <v>1787.1526415357832</v>
      </c>
      <c r="N22" s="17">
        <f t="shared" si="3"/>
        <v>106.01752958263121</v>
      </c>
      <c r="O22" s="19">
        <f t="shared" si="4"/>
        <v>0</v>
      </c>
      <c r="P22" s="20">
        <f t="shared" si="5"/>
        <v>-4.1519619427925107</v>
      </c>
      <c r="Q22" s="401">
        <f t="shared" si="6"/>
        <v>0.96231296082696027</v>
      </c>
      <c r="R22" s="489"/>
      <c r="S22" s="40"/>
      <c r="T22" s="40"/>
      <c r="U22" s="398"/>
      <c r="V22" s="408"/>
      <c r="W22" s="17"/>
      <c r="X22" s="17"/>
      <c r="Y22" s="31">
        <f>SUM(Y15:Y21)</f>
        <v>0</v>
      </c>
      <c r="Z22" s="31">
        <f>SUM(Z15:Z21)</f>
        <v>0</v>
      </c>
      <c r="AA22" s="495"/>
      <c r="AB22" s="495"/>
      <c r="AC22" s="31">
        <v>3</v>
      </c>
      <c r="AD22" s="31">
        <f>SUM(AD15:AD21)</f>
        <v>0</v>
      </c>
      <c r="AE22" s="19">
        <f t="shared" si="8"/>
        <v>-69.990215607073878</v>
      </c>
      <c r="AF22" s="401">
        <f t="shared" si="9"/>
        <v>0.96231296082696027</v>
      </c>
      <c r="AG22" s="489"/>
    </row>
    <row r="23" spans="1:33" ht="15.75" customHeight="1">
      <c r="A23" s="519" t="s">
        <v>2439</v>
      </c>
      <c r="B23" s="42" t="s">
        <v>126</v>
      </c>
      <c r="C23" s="515" t="s">
        <v>135</v>
      </c>
      <c r="D23" s="515"/>
      <c r="E23" s="42">
        <v>43.14</v>
      </c>
      <c r="F23" s="409">
        <v>1006</v>
      </c>
      <c r="G23" s="398">
        <f t="shared" ref="G23:G29" si="14">E23*F23</f>
        <v>43398.840000000004</v>
      </c>
      <c r="H23" s="411" t="s">
        <v>79</v>
      </c>
      <c r="I23" s="407">
        <v>17</v>
      </c>
      <c r="J23" s="37">
        <v>2000</v>
      </c>
      <c r="K23" s="17">
        <f t="shared" si="1"/>
        <v>117.64705882352941</v>
      </c>
      <c r="L23" s="407">
        <v>17</v>
      </c>
      <c r="M23" s="18">
        <f t="shared" ref="M23:M29" si="15">F23/V23*60</f>
        <v>1947.0967741935476</v>
      </c>
      <c r="N23" s="17">
        <f t="shared" si="3"/>
        <v>114.53510436432633</v>
      </c>
      <c r="O23" s="19">
        <f t="shared" si="4"/>
        <v>0</v>
      </c>
      <c r="P23" s="20">
        <f t="shared" si="5"/>
        <v>-3.1119544592030763</v>
      </c>
      <c r="Q23" s="401">
        <f t="shared" si="6"/>
        <v>0.97354838709677383</v>
      </c>
      <c r="R23" s="489">
        <f>Q30</f>
        <v>0.96234247310607068</v>
      </c>
      <c r="S23" s="40">
        <v>0.20833333333333334</v>
      </c>
      <c r="T23" s="40">
        <v>0.22986111111111113</v>
      </c>
      <c r="U23" s="398"/>
      <c r="V23" s="408">
        <f t="shared" ref="V23:V29" si="16">(T23-S23)*24*60</f>
        <v>31.000000000000011</v>
      </c>
      <c r="W23" s="28"/>
      <c r="X23" s="28"/>
      <c r="Y23" s="28"/>
      <c r="Z23" s="28"/>
      <c r="AA23" s="491"/>
      <c r="AB23" s="491"/>
      <c r="AC23" s="154">
        <v>3</v>
      </c>
      <c r="AD23" s="25"/>
      <c r="AE23" s="19">
        <f t="shared" si="8"/>
        <v>-52.903225806452383</v>
      </c>
      <c r="AF23" s="401">
        <f t="shared" si="9"/>
        <v>0.97354838709677383</v>
      </c>
      <c r="AG23" s="489">
        <f>AF30</f>
        <v>0.96234247310607057</v>
      </c>
    </row>
    <row r="24" spans="1:33" ht="15.75" customHeight="1">
      <c r="A24" s="520" t="s">
        <v>56</v>
      </c>
      <c r="B24" s="42" t="s">
        <v>103</v>
      </c>
      <c r="C24" s="515" t="s">
        <v>137</v>
      </c>
      <c r="D24" s="515"/>
      <c r="E24" s="42">
        <v>57.73</v>
      </c>
      <c r="F24" s="409">
        <v>2347</v>
      </c>
      <c r="G24" s="398">
        <f t="shared" si="14"/>
        <v>135492.31</v>
      </c>
      <c r="H24" s="411" t="s">
        <v>79</v>
      </c>
      <c r="I24" s="407">
        <v>14</v>
      </c>
      <c r="J24" s="37">
        <v>2000</v>
      </c>
      <c r="K24" s="17">
        <f t="shared" si="1"/>
        <v>142.85714285714286</v>
      </c>
      <c r="L24" s="407">
        <v>14</v>
      </c>
      <c r="M24" s="18">
        <f t="shared" si="15"/>
        <v>1902.9729729729727</v>
      </c>
      <c r="N24" s="17">
        <f t="shared" si="3"/>
        <v>135.92664092664091</v>
      </c>
      <c r="O24" s="19">
        <f t="shared" si="4"/>
        <v>0</v>
      </c>
      <c r="P24" s="20">
        <f t="shared" si="5"/>
        <v>-6.9305019305019471</v>
      </c>
      <c r="Q24" s="401">
        <f t="shared" si="6"/>
        <v>0.95148648648648637</v>
      </c>
      <c r="R24" s="489"/>
      <c r="S24" s="40">
        <v>0.23472222222222225</v>
      </c>
      <c r="T24" s="40">
        <v>0.28611111111111115</v>
      </c>
      <c r="U24" s="398">
        <f t="shared" ref="U24:U29" si="17">IF(S24=TIME(17,0,0),"",(S24-T23)*24*60)</f>
        <v>7.0000000000000151</v>
      </c>
      <c r="V24" s="408">
        <f t="shared" si="16"/>
        <v>74.000000000000014</v>
      </c>
      <c r="W24" s="23"/>
      <c r="X24" s="398"/>
      <c r="Y24" s="398"/>
      <c r="Z24" s="398"/>
      <c r="AA24" s="491"/>
      <c r="AB24" s="491"/>
      <c r="AC24" s="154"/>
      <c r="AD24" s="25"/>
      <c r="AE24" s="19">
        <f t="shared" si="8"/>
        <v>-97.027027027027316</v>
      </c>
      <c r="AF24" s="401">
        <f t="shared" si="9"/>
        <v>0.95148648648648637</v>
      </c>
      <c r="AG24" s="489"/>
    </row>
    <row r="25" spans="1:33" ht="15.75" customHeight="1">
      <c r="A25" s="520" t="s">
        <v>56</v>
      </c>
      <c r="B25" s="42" t="s">
        <v>103</v>
      </c>
      <c r="C25" s="515" t="s">
        <v>138</v>
      </c>
      <c r="D25" s="515"/>
      <c r="E25" s="42">
        <v>53.68</v>
      </c>
      <c r="F25" s="409">
        <v>1414</v>
      </c>
      <c r="G25" s="398">
        <f t="shared" si="14"/>
        <v>75903.520000000004</v>
      </c>
      <c r="H25" s="411" t="s">
        <v>79</v>
      </c>
      <c r="I25" s="407">
        <v>16</v>
      </c>
      <c r="J25" s="37">
        <v>2000</v>
      </c>
      <c r="K25" s="17">
        <f t="shared" si="1"/>
        <v>125</v>
      </c>
      <c r="L25" s="407">
        <v>16</v>
      </c>
      <c r="M25" s="18">
        <f t="shared" si="15"/>
        <v>1928.181818181818</v>
      </c>
      <c r="N25" s="17">
        <f t="shared" si="3"/>
        <v>120.51136363636363</v>
      </c>
      <c r="O25" s="19">
        <f t="shared" si="4"/>
        <v>0</v>
      </c>
      <c r="P25" s="20">
        <f t="shared" si="5"/>
        <v>-4.488636363636374</v>
      </c>
      <c r="Q25" s="401">
        <f t="shared" si="6"/>
        <v>0.964090909090909</v>
      </c>
      <c r="R25" s="489"/>
      <c r="S25" s="40">
        <v>0.29166666666666669</v>
      </c>
      <c r="T25" s="40">
        <v>0.32222222222222224</v>
      </c>
      <c r="U25" s="398">
        <f t="shared" si="17"/>
        <v>7.9999999999999716</v>
      </c>
      <c r="V25" s="408">
        <f t="shared" si="16"/>
        <v>44</v>
      </c>
      <c r="W25" s="23"/>
      <c r="X25" s="398"/>
      <c r="Y25" s="398"/>
      <c r="Z25" s="398"/>
      <c r="AA25" s="491"/>
      <c r="AB25" s="491"/>
      <c r="AC25" s="154"/>
      <c r="AD25" s="25"/>
      <c r="AE25" s="19">
        <f t="shared" si="8"/>
        <v>-71.818181818181984</v>
      </c>
      <c r="AF25" s="401">
        <f t="shared" si="9"/>
        <v>0.964090909090909</v>
      </c>
      <c r="AG25" s="489"/>
    </row>
    <row r="26" spans="1:33" ht="15.75" customHeight="1">
      <c r="A26" s="520" t="s">
        <v>2439</v>
      </c>
      <c r="B26" s="42" t="s">
        <v>103</v>
      </c>
      <c r="C26" s="515" t="s">
        <v>140</v>
      </c>
      <c r="D26" s="515"/>
      <c r="E26" s="42">
        <v>50.49</v>
      </c>
      <c r="F26" s="409">
        <v>2013</v>
      </c>
      <c r="G26" s="398">
        <f t="shared" si="14"/>
        <v>101636.37000000001</v>
      </c>
      <c r="H26" s="411" t="s">
        <v>79</v>
      </c>
      <c r="I26" s="407">
        <v>15</v>
      </c>
      <c r="J26" s="37">
        <v>2000</v>
      </c>
      <c r="K26" s="17">
        <f t="shared" si="1"/>
        <v>133.33333333333334</v>
      </c>
      <c r="L26" s="407">
        <v>15</v>
      </c>
      <c r="M26" s="18">
        <f t="shared" si="15"/>
        <v>1917.1428571428592</v>
      </c>
      <c r="N26" s="17">
        <f t="shared" si="3"/>
        <v>127.80952380952394</v>
      </c>
      <c r="O26" s="19">
        <f t="shared" si="4"/>
        <v>0</v>
      </c>
      <c r="P26" s="20">
        <f t="shared" si="5"/>
        <v>-5.5238095238094047</v>
      </c>
      <c r="Q26" s="401">
        <f t="shared" si="6"/>
        <v>0.95857142857142952</v>
      </c>
      <c r="R26" s="489"/>
      <c r="S26" s="40">
        <v>0.70833333333333337</v>
      </c>
      <c r="T26" s="40">
        <v>0.75208333333333333</v>
      </c>
      <c r="U26" s="398" t="str">
        <f t="shared" si="17"/>
        <v/>
      </c>
      <c r="V26" s="408">
        <f t="shared" si="16"/>
        <v>62.999999999999936</v>
      </c>
      <c r="W26" s="23"/>
      <c r="X26" s="398"/>
      <c r="Y26" s="398"/>
      <c r="Z26" s="398"/>
      <c r="AA26" s="491"/>
      <c r="AB26" s="491"/>
      <c r="AC26" s="154"/>
      <c r="AD26" s="25"/>
      <c r="AE26" s="19">
        <f t="shared" si="8"/>
        <v>-82.857142857140843</v>
      </c>
      <c r="AF26" s="401">
        <f t="shared" si="9"/>
        <v>0.95857142857142963</v>
      </c>
      <c r="AG26" s="489"/>
    </row>
    <row r="27" spans="1:33" ht="15.75" customHeight="1">
      <c r="A27" s="520" t="s">
        <v>2439</v>
      </c>
      <c r="B27" s="42" t="s">
        <v>103</v>
      </c>
      <c r="C27" s="515" t="s">
        <v>516</v>
      </c>
      <c r="D27" s="515"/>
      <c r="E27" s="42">
        <v>50.67</v>
      </c>
      <c r="F27" s="409">
        <v>1255</v>
      </c>
      <c r="G27" s="398">
        <f t="shared" si="14"/>
        <v>63590.85</v>
      </c>
      <c r="H27" s="411" t="s">
        <v>79</v>
      </c>
      <c r="I27" s="407">
        <v>16</v>
      </c>
      <c r="J27" s="37">
        <v>2000</v>
      </c>
      <c r="K27" s="17">
        <f t="shared" si="1"/>
        <v>125</v>
      </c>
      <c r="L27" s="407">
        <v>16</v>
      </c>
      <c r="M27" s="18">
        <f t="shared" si="15"/>
        <v>1930.7692307692296</v>
      </c>
      <c r="N27" s="17">
        <f t="shared" si="3"/>
        <v>120.67307692307685</v>
      </c>
      <c r="O27" s="19">
        <f t="shared" si="4"/>
        <v>0</v>
      </c>
      <c r="P27" s="20">
        <f t="shared" si="5"/>
        <v>-4.3269230769231513</v>
      </c>
      <c r="Q27" s="401">
        <f t="shared" si="6"/>
        <v>0.96538461538461484</v>
      </c>
      <c r="R27" s="489"/>
      <c r="S27" s="40">
        <v>0.75624999999999998</v>
      </c>
      <c r="T27" s="40">
        <v>0.78333333333333333</v>
      </c>
      <c r="U27" s="398">
        <f t="shared" si="17"/>
        <v>5.9999999999999787</v>
      </c>
      <c r="V27" s="408">
        <f t="shared" si="16"/>
        <v>39.000000000000021</v>
      </c>
      <c r="W27" s="23"/>
      <c r="X27" s="398"/>
      <c r="Y27" s="398"/>
      <c r="Z27" s="398"/>
      <c r="AA27" s="491"/>
      <c r="AB27" s="491"/>
      <c r="AC27" s="154"/>
      <c r="AD27" s="25"/>
      <c r="AE27" s="19">
        <f t="shared" si="8"/>
        <v>-69.23076923077042</v>
      </c>
      <c r="AF27" s="401">
        <f t="shared" si="9"/>
        <v>0.96538461538461484</v>
      </c>
      <c r="AG27" s="489"/>
    </row>
    <row r="28" spans="1:33" ht="15.75" customHeight="1">
      <c r="A28" s="520" t="s">
        <v>2439</v>
      </c>
      <c r="B28" s="42" t="s">
        <v>103</v>
      </c>
      <c r="C28" s="515" t="s">
        <v>142</v>
      </c>
      <c r="D28" s="515"/>
      <c r="E28" s="42">
        <v>53.68</v>
      </c>
      <c r="F28" s="409">
        <v>1993</v>
      </c>
      <c r="G28" s="398">
        <f t="shared" si="14"/>
        <v>106984.24</v>
      </c>
      <c r="H28" s="411" t="s">
        <v>79</v>
      </c>
      <c r="I28" s="407">
        <v>16</v>
      </c>
      <c r="J28" s="37">
        <v>1500</v>
      </c>
      <c r="K28" s="17">
        <f t="shared" si="1"/>
        <v>93.75</v>
      </c>
      <c r="L28" s="407">
        <v>16</v>
      </c>
      <c r="M28" s="18">
        <f t="shared" si="15"/>
        <v>1440.7228915662645</v>
      </c>
      <c r="N28" s="17">
        <f t="shared" si="3"/>
        <v>90.04518072289153</v>
      </c>
      <c r="O28" s="19">
        <f t="shared" si="4"/>
        <v>0</v>
      </c>
      <c r="P28" s="20">
        <f t="shared" si="5"/>
        <v>-3.70481927710847</v>
      </c>
      <c r="Q28" s="401">
        <f t="shared" si="6"/>
        <v>0.96048192771084295</v>
      </c>
      <c r="R28" s="489"/>
      <c r="S28" s="40">
        <v>0.78819444444444442</v>
      </c>
      <c r="T28" s="40">
        <v>0.84583333333333333</v>
      </c>
      <c r="U28" s="398">
        <f t="shared" si="17"/>
        <v>6.9999999999999751</v>
      </c>
      <c r="V28" s="408">
        <f t="shared" si="16"/>
        <v>83.000000000000028</v>
      </c>
      <c r="W28" s="23">
        <f>T28</f>
        <v>0.84583333333333333</v>
      </c>
      <c r="X28" s="23">
        <f>S29</f>
        <v>0.88611111111111107</v>
      </c>
      <c r="Y28" s="28"/>
      <c r="Z28" s="28"/>
      <c r="AA28" s="491"/>
      <c r="AB28" s="491"/>
      <c r="AC28" s="154"/>
      <c r="AD28" s="25"/>
      <c r="AE28" s="19">
        <f t="shared" si="8"/>
        <v>-59.277108433735521</v>
      </c>
      <c r="AF28" s="401">
        <f t="shared" si="9"/>
        <v>0.96048192771084295</v>
      </c>
      <c r="AG28" s="489"/>
    </row>
    <row r="29" spans="1:33" ht="15.75" customHeight="1">
      <c r="A29" s="520" t="s">
        <v>2439</v>
      </c>
      <c r="B29" s="42" t="s">
        <v>103</v>
      </c>
      <c r="C29" s="515" t="s">
        <v>123</v>
      </c>
      <c r="D29" s="515"/>
      <c r="E29" s="42">
        <v>50.98</v>
      </c>
      <c r="F29" s="409">
        <v>1219</v>
      </c>
      <c r="G29" s="398">
        <f t="shared" si="14"/>
        <v>62144.619999999995</v>
      </c>
      <c r="H29" s="411" t="s">
        <v>79</v>
      </c>
      <c r="I29" s="407">
        <v>16</v>
      </c>
      <c r="J29" s="37">
        <v>2000</v>
      </c>
      <c r="K29" s="17">
        <f t="shared" si="1"/>
        <v>125</v>
      </c>
      <c r="L29" s="407">
        <v>16</v>
      </c>
      <c r="M29" s="18">
        <f t="shared" si="15"/>
        <v>1924.7368421052615</v>
      </c>
      <c r="N29" s="17">
        <f t="shared" si="3"/>
        <v>120.29605263157885</v>
      </c>
      <c r="O29" s="19">
        <f t="shared" si="4"/>
        <v>0</v>
      </c>
      <c r="P29" s="20">
        <f t="shared" si="5"/>
        <v>-4.7039473684211544</v>
      </c>
      <c r="Q29" s="401">
        <f t="shared" si="6"/>
        <v>0.96236842105263076</v>
      </c>
      <c r="R29" s="489"/>
      <c r="S29" s="40">
        <v>0.88611111111111107</v>
      </c>
      <c r="T29" s="40">
        <v>0.91249999999999998</v>
      </c>
      <c r="U29" s="398">
        <f t="shared" si="17"/>
        <v>57.999999999999957</v>
      </c>
      <c r="V29" s="408">
        <f t="shared" si="16"/>
        <v>38.000000000000028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-75.26315789473847</v>
      </c>
      <c r="AF29" s="401">
        <f t="shared" si="9"/>
        <v>0.96236842105263076</v>
      </c>
      <c r="AG29" s="489"/>
    </row>
    <row r="30" spans="1:33" ht="15.75" customHeight="1">
      <c r="A30" s="520" t="s">
        <v>2439</v>
      </c>
      <c r="B30" s="42" t="s">
        <v>71</v>
      </c>
      <c r="C30" s="494"/>
      <c r="D30" s="494"/>
      <c r="E30" s="402"/>
      <c r="F30" s="409"/>
      <c r="G30" s="398"/>
      <c r="H30" s="409"/>
      <c r="I30" s="30">
        <v>15.714285714285714</v>
      </c>
      <c r="J30" s="37">
        <v>1928.5714285714287</v>
      </c>
      <c r="K30" s="17">
        <f t="shared" si="1"/>
        <v>122.72727272727273</v>
      </c>
      <c r="L30" s="30">
        <v>15.714285714285714</v>
      </c>
      <c r="M30" s="18">
        <f>AVERAGE(M23:M29)</f>
        <v>1855.9461981331362</v>
      </c>
      <c r="N30" s="17">
        <f t="shared" si="3"/>
        <v>118.10566715392686</v>
      </c>
      <c r="O30" s="19">
        <f t="shared" si="4"/>
        <v>0</v>
      </c>
      <c r="P30" s="20">
        <f t="shared" si="5"/>
        <v>-4.6216055733458745</v>
      </c>
      <c r="Q30" s="401">
        <f t="shared" si="6"/>
        <v>0.96234247310607068</v>
      </c>
      <c r="R30" s="489"/>
      <c r="S30" s="40"/>
      <c r="T30" s="40"/>
      <c r="U30" s="17"/>
      <c r="V30" s="408"/>
      <c r="W30" s="17"/>
      <c r="X30" s="17"/>
      <c r="Y30" s="31">
        <f>SUM(Y23:Y29)</f>
        <v>0</v>
      </c>
      <c r="Z30" s="31">
        <f>SUM(Z23:Z29)</f>
        <v>0</v>
      </c>
      <c r="AA30" s="495"/>
      <c r="AB30" s="495"/>
      <c r="AC30" s="31">
        <v>3</v>
      </c>
      <c r="AD30" s="31">
        <f>SUM(AD23:AD29)</f>
        <v>0</v>
      </c>
      <c r="AE30" s="19">
        <f t="shared" si="8"/>
        <v>-72.625230438292419</v>
      </c>
      <c r="AF30" s="401">
        <f t="shared" si="9"/>
        <v>0.96234247310607057</v>
      </c>
      <c r="AG30" s="489"/>
    </row>
    <row r="31" spans="1:33" ht="15.75" customHeight="1">
      <c r="A31" s="518" t="s">
        <v>59</v>
      </c>
      <c r="B31" s="42" t="s">
        <v>80</v>
      </c>
      <c r="C31" s="515" t="s">
        <v>81</v>
      </c>
      <c r="D31" s="515"/>
      <c r="E31" s="42">
        <v>31.29</v>
      </c>
      <c r="F31" s="409">
        <v>4100</v>
      </c>
      <c r="G31" s="398">
        <f t="shared" ref="G31:G36" si="18">E31*F31</f>
        <v>128289</v>
      </c>
      <c r="H31" s="411">
        <v>2</v>
      </c>
      <c r="I31" s="407">
        <v>18</v>
      </c>
      <c r="J31" s="37">
        <v>2400</v>
      </c>
      <c r="K31" s="17">
        <f t="shared" si="1"/>
        <v>133.33333333333334</v>
      </c>
      <c r="L31" s="407">
        <v>18</v>
      </c>
      <c r="M31" s="18">
        <f t="shared" ref="M31:M36" si="19">F31/V31*60</f>
        <v>2299.0654205607475</v>
      </c>
      <c r="N31" s="17">
        <f t="shared" si="3"/>
        <v>127.72585669781931</v>
      </c>
      <c r="O31" s="19">
        <f t="shared" si="4"/>
        <v>0</v>
      </c>
      <c r="P31" s="20">
        <f t="shared" si="5"/>
        <v>-5.6074766355140326</v>
      </c>
      <c r="Q31" s="401">
        <f t="shared" si="6"/>
        <v>0.9579439252336448</v>
      </c>
      <c r="R31" s="489">
        <f>Q37</f>
        <v>0.9556961591614771</v>
      </c>
      <c r="S31" s="40">
        <v>0.125</v>
      </c>
      <c r="T31" s="40">
        <v>0.19930555555555557</v>
      </c>
      <c r="U31" s="398"/>
      <c r="V31" s="408">
        <f t="shared" ref="V31:V36" si="20">(T31-S31)*24*60</f>
        <v>107.00000000000001</v>
      </c>
      <c r="W31" s="23">
        <f>T31</f>
        <v>0.19930555555555557</v>
      </c>
      <c r="X31" s="23">
        <f>S32</f>
        <v>0.21944444444444447</v>
      </c>
      <c r="Y31" s="23"/>
      <c r="Z31" s="23"/>
      <c r="AA31" s="491"/>
      <c r="AB31" s="491"/>
      <c r="AC31" s="154">
        <v>7</v>
      </c>
      <c r="AD31" s="25"/>
      <c r="AE31" s="19">
        <f t="shared" si="8"/>
        <v>-100.9345794392525</v>
      </c>
      <c r="AF31" s="401">
        <f t="shared" si="9"/>
        <v>0.9579439252336448</v>
      </c>
      <c r="AG31" s="489">
        <f>AF37</f>
        <v>0.9556961591614771</v>
      </c>
    </row>
    <row r="32" spans="1:33" ht="15.75" customHeight="1">
      <c r="A32" s="518" t="s">
        <v>2440</v>
      </c>
      <c r="B32" s="42" t="s">
        <v>80</v>
      </c>
      <c r="C32" s="515" t="s">
        <v>82</v>
      </c>
      <c r="D32" s="515"/>
      <c r="E32" s="42">
        <v>26.2</v>
      </c>
      <c r="F32" s="409">
        <v>4317</v>
      </c>
      <c r="G32" s="398">
        <f t="shared" si="18"/>
        <v>113105.4</v>
      </c>
      <c r="H32" s="411" t="s">
        <v>79</v>
      </c>
      <c r="I32" s="407">
        <v>20</v>
      </c>
      <c r="J32" s="37">
        <v>2400</v>
      </c>
      <c r="K32" s="17">
        <f t="shared" si="1"/>
        <v>120</v>
      </c>
      <c r="L32" s="407">
        <v>20</v>
      </c>
      <c r="M32" s="18">
        <f t="shared" si="19"/>
        <v>2292.2123893805301</v>
      </c>
      <c r="N32" s="17">
        <f t="shared" si="3"/>
        <v>114.6106194690265</v>
      </c>
      <c r="O32" s="19">
        <f t="shared" si="4"/>
        <v>0</v>
      </c>
      <c r="P32" s="20">
        <f t="shared" si="5"/>
        <v>-5.3893805309734972</v>
      </c>
      <c r="Q32" s="401">
        <f t="shared" si="6"/>
        <v>0.95508849557522091</v>
      </c>
      <c r="R32" s="489"/>
      <c r="S32" s="40">
        <v>0.21944444444444447</v>
      </c>
      <c r="T32" s="40">
        <v>0.29791666666666672</v>
      </c>
      <c r="U32" s="398">
        <f>(S32-T31)*24*60</f>
        <v>29.000000000000018</v>
      </c>
      <c r="V32" s="408">
        <f t="shared" si="20"/>
        <v>113.00000000000004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-107.78761061946989</v>
      </c>
      <c r="AF32" s="401">
        <f t="shared" si="9"/>
        <v>0.95508849557522091</v>
      </c>
      <c r="AG32" s="489"/>
    </row>
    <row r="33" spans="1:33" ht="15.75" customHeight="1">
      <c r="A33" s="518" t="s">
        <v>2440</v>
      </c>
      <c r="B33" s="42" t="s">
        <v>80</v>
      </c>
      <c r="C33" s="515" t="s">
        <v>83</v>
      </c>
      <c r="D33" s="515"/>
      <c r="E33" s="42">
        <v>25.99</v>
      </c>
      <c r="F33" s="409">
        <v>3801</v>
      </c>
      <c r="G33" s="398">
        <f t="shared" si="18"/>
        <v>98787.989999999991</v>
      </c>
      <c r="H33" s="411" t="s">
        <v>79</v>
      </c>
      <c r="I33" s="407">
        <v>14</v>
      </c>
      <c r="J33" s="37">
        <v>2400</v>
      </c>
      <c r="K33" s="17">
        <f t="shared" si="1"/>
        <v>171.42857142857142</v>
      </c>
      <c r="L33" s="407">
        <v>14</v>
      </c>
      <c r="M33" s="18">
        <f t="shared" si="19"/>
        <v>2303.6363636363644</v>
      </c>
      <c r="N33" s="17">
        <f t="shared" si="3"/>
        <v>164.54545454545459</v>
      </c>
      <c r="O33" s="19">
        <f t="shared" si="4"/>
        <v>0</v>
      </c>
      <c r="P33" s="20">
        <f t="shared" si="5"/>
        <v>-6.883116883116827</v>
      </c>
      <c r="Q33" s="401">
        <f t="shared" si="6"/>
        <v>0.95984848484848517</v>
      </c>
      <c r="R33" s="489"/>
      <c r="S33" s="40">
        <v>0.30347222222222225</v>
      </c>
      <c r="T33" s="40">
        <v>0.37222222222222223</v>
      </c>
      <c r="U33" s="398">
        <f>(S33-T32)*24*60</f>
        <v>7.9999999999999716</v>
      </c>
      <c r="V33" s="408">
        <f t="shared" si="20"/>
        <v>98.999999999999972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-96.363636363635578</v>
      </c>
      <c r="AF33" s="401">
        <f t="shared" si="9"/>
        <v>0.95984848484848517</v>
      </c>
      <c r="AG33" s="489"/>
    </row>
    <row r="34" spans="1:33" ht="15.75" customHeight="1">
      <c r="A34" s="518" t="s">
        <v>2440</v>
      </c>
      <c r="B34" s="42" t="s">
        <v>80</v>
      </c>
      <c r="C34" s="515" t="s">
        <v>84</v>
      </c>
      <c r="D34" s="515"/>
      <c r="E34" s="42">
        <v>20.52</v>
      </c>
      <c r="F34" s="409">
        <v>3701</v>
      </c>
      <c r="G34" s="398">
        <f t="shared" si="18"/>
        <v>75944.52</v>
      </c>
      <c r="H34" s="411" t="s">
        <v>79</v>
      </c>
      <c r="I34" s="407">
        <v>18</v>
      </c>
      <c r="J34" s="37">
        <v>2400</v>
      </c>
      <c r="K34" s="17">
        <f t="shared" si="1"/>
        <v>133.33333333333334</v>
      </c>
      <c r="L34" s="407">
        <v>18</v>
      </c>
      <c r="M34" s="18">
        <f t="shared" si="19"/>
        <v>2289.2783505154644</v>
      </c>
      <c r="N34" s="17">
        <f t="shared" si="3"/>
        <v>127.18213058419246</v>
      </c>
      <c r="O34" s="19">
        <f t="shared" si="4"/>
        <v>0</v>
      </c>
      <c r="P34" s="20">
        <f t="shared" si="5"/>
        <v>-6.1512027491408787</v>
      </c>
      <c r="Q34" s="401">
        <f t="shared" si="6"/>
        <v>0.95386597938144346</v>
      </c>
      <c r="R34" s="489"/>
      <c r="S34" s="40">
        <v>0.37777777777777777</v>
      </c>
      <c r="T34" s="40">
        <v>0.44513888888888886</v>
      </c>
      <c r="U34" s="398">
        <f>(S34-T33)*24*60</f>
        <v>7.9999999999999716</v>
      </c>
      <c r="V34" s="408">
        <f t="shared" si="20"/>
        <v>96.999999999999972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-110.72164948453565</v>
      </c>
      <c r="AF34" s="401">
        <f t="shared" si="9"/>
        <v>0.95386597938144346</v>
      </c>
      <c r="AG34" s="489"/>
    </row>
    <row r="35" spans="1:33" ht="15.75" customHeight="1">
      <c r="A35" s="518" t="s">
        <v>2440</v>
      </c>
      <c r="B35" s="42" t="s">
        <v>80</v>
      </c>
      <c r="C35" s="515" t="s">
        <v>85</v>
      </c>
      <c r="D35" s="515"/>
      <c r="E35" s="42">
        <v>25.98</v>
      </c>
      <c r="F35" s="409">
        <v>2973</v>
      </c>
      <c r="G35" s="398">
        <f t="shared" si="18"/>
        <v>77238.540000000008</v>
      </c>
      <c r="H35" s="411" t="s">
        <v>79</v>
      </c>
      <c r="I35" s="407">
        <v>21</v>
      </c>
      <c r="J35" s="37">
        <v>2400</v>
      </c>
      <c r="K35" s="17">
        <f t="shared" si="1"/>
        <v>114.28571428571429</v>
      </c>
      <c r="L35" s="407">
        <v>21</v>
      </c>
      <c r="M35" s="18">
        <f t="shared" si="19"/>
        <v>2286.9230769230753</v>
      </c>
      <c r="N35" s="17">
        <f t="shared" si="3"/>
        <v>108.90109890109882</v>
      </c>
      <c r="O35" s="19">
        <f t="shared" si="4"/>
        <v>0</v>
      </c>
      <c r="P35" s="20">
        <f t="shared" si="5"/>
        <v>-5.3846153846154721</v>
      </c>
      <c r="Q35" s="401">
        <f t="shared" si="6"/>
        <v>0.95288461538461466</v>
      </c>
      <c r="R35" s="489"/>
      <c r="S35" s="40">
        <v>0.44861111111111107</v>
      </c>
      <c r="T35" s="40">
        <v>0.50277777777777777</v>
      </c>
      <c r="U35" s="398">
        <f>(S35-T34)*24*60</f>
        <v>4.9999999999999822</v>
      </c>
      <c r="V35" s="408">
        <f t="shared" si="20"/>
        <v>78.000000000000043</v>
      </c>
      <c r="W35" s="23">
        <f>T35</f>
        <v>0.50277777777777777</v>
      </c>
      <c r="X35" s="23">
        <f>S36</f>
        <v>0.5444444444444444</v>
      </c>
      <c r="Y35" s="23"/>
      <c r="Z35" s="23"/>
      <c r="AA35" s="491"/>
      <c r="AB35" s="491"/>
      <c r="AC35" s="154"/>
      <c r="AD35" s="25"/>
      <c r="AE35" s="19">
        <f t="shared" si="8"/>
        <v>-113.07692307692469</v>
      </c>
      <c r="AF35" s="401">
        <f t="shared" si="9"/>
        <v>0.95288461538461466</v>
      </c>
      <c r="AG35" s="489"/>
    </row>
    <row r="36" spans="1:33" ht="15.75" customHeight="1">
      <c r="A36" s="518" t="s">
        <v>59</v>
      </c>
      <c r="B36" s="42" t="s">
        <v>80</v>
      </c>
      <c r="C36" s="515" t="s">
        <v>81</v>
      </c>
      <c r="D36" s="515"/>
      <c r="E36" s="42">
        <v>31.29</v>
      </c>
      <c r="F36" s="409">
        <v>3360</v>
      </c>
      <c r="G36" s="398">
        <f t="shared" si="18"/>
        <v>105134.39999999999</v>
      </c>
      <c r="H36" s="411" t="s">
        <v>79</v>
      </c>
      <c r="I36" s="407">
        <v>18</v>
      </c>
      <c r="J36" s="37">
        <v>2400</v>
      </c>
      <c r="K36" s="17">
        <f t="shared" si="1"/>
        <v>133.33333333333334</v>
      </c>
      <c r="L36" s="407">
        <v>18</v>
      </c>
      <c r="M36" s="18">
        <f t="shared" si="19"/>
        <v>2290.909090909091</v>
      </c>
      <c r="N36" s="17">
        <f t="shared" si="3"/>
        <v>127.27272727272728</v>
      </c>
      <c r="O36" s="19">
        <f t="shared" si="4"/>
        <v>0</v>
      </c>
      <c r="P36" s="20">
        <f t="shared" si="5"/>
        <v>-6.0606060606060623</v>
      </c>
      <c r="Q36" s="401">
        <f t="shared" si="6"/>
        <v>0.95454545454545459</v>
      </c>
      <c r="R36" s="489"/>
      <c r="S36" s="40">
        <v>0.5444444444444444</v>
      </c>
      <c r="T36" s="40">
        <v>0.60555555555555551</v>
      </c>
      <c r="U36" s="398">
        <f>(S36-T35)*24*60</f>
        <v>59.999999999999943</v>
      </c>
      <c r="V36" s="408">
        <f t="shared" si="20"/>
        <v>88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-109.09090909090901</v>
      </c>
      <c r="AF36" s="401">
        <f t="shared" si="9"/>
        <v>0.95454545454545459</v>
      </c>
      <c r="AG36" s="489"/>
    </row>
    <row r="37" spans="1:33" ht="15.75" customHeight="1">
      <c r="A37" s="518" t="s">
        <v>59</v>
      </c>
      <c r="B37" s="42" t="s">
        <v>71</v>
      </c>
      <c r="C37" s="494"/>
      <c r="D37" s="494"/>
      <c r="E37" s="402"/>
      <c r="F37" s="409"/>
      <c r="G37" s="398"/>
      <c r="H37" s="409"/>
      <c r="I37" s="30">
        <v>18.166666666666668</v>
      </c>
      <c r="J37" s="37">
        <v>2400</v>
      </c>
      <c r="K37" s="17">
        <f t="shared" si="1"/>
        <v>132.11009174311926</v>
      </c>
      <c r="L37" s="30">
        <v>18.166666666666668</v>
      </c>
      <c r="M37" s="18">
        <f>AVERAGE(M31:M36)</f>
        <v>2293.6707819875451</v>
      </c>
      <c r="N37" s="17">
        <f t="shared" si="3"/>
        <v>126.25710726536944</v>
      </c>
      <c r="O37" s="19">
        <f t="shared" si="4"/>
        <v>0</v>
      </c>
      <c r="P37" s="20">
        <f t="shared" si="5"/>
        <v>-5.8529844777498141</v>
      </c>
      <c r="Q37" s="401">
        <f t="shared" si="6"/>
        <v>0.9556961591614771</v>
      </c>
      <c r="R37" s="489"/>
      <c r="S37" s="40"/>
      <c r="T37" s="40"/>
      <c r="U37" s="398"/>
      <c r="V37" s="408"/>
      <c r="W37" s="398"/>
      <c r="X37" s="398"/>
      <c r="Y37" s="31">
        <f>SUM(Y31:Y36)</f>
        <v>0</v>
      </c>
      <c r="Z37" s="31">
        <f>SUM(Z31:Z36)</f>
        <v>0</v>
      </c>
      <c r="AA37" s="495"/>
      <c r="AB37" s="495"/>
      <c r="AC37" s="31">
        <v>7</v>
      </c>
      <c r="AD37" s="31">
        <f>SUM(AD31:AD36)</f>
        <v>0</v>
      </c>
      <c r="AE37" s="19">
        <f t="shared" si="8"/>
        <v>-106.32921801245493</v>
      </c>
      <c r="AF37" s="401">
        <f t="shared" si="9"/>
        <v>0.9556961591614771</v>
      </c>
      <c r="AG37" s="489"/>
    </row>
    <row r="38" spans="1:33" ht="15.75" customHeight="1">
      <c r="A38" s="516" t="s">
        <v>61</v>
      </c>
      <c r="B38" s="42" t="s">
        <v>80</v>
      </c>
      <c r="C38" s="490" t="s">
        <v>87</v>
      </c>
      <c r="D38" s="490"/>
      <c r="E38" s="42">
        <v>26.2</v>
      </c>
      <c r="F38" s="409">
        <v>3200</v>
      </c>
      <c r="G38" s="398">
        <f t="shared" ref="G38:G45" si="21">E38*F38</f>
        <v>83840</v>
      </c>
      <c r="H38" s="411">
        <v>2</v>
      </c>
      <c r="I38" s="407">
        <v>18</v>
      </c>
      <c r="J38" s="37">
        <v>2400</v>
      </c>
      <c r="K38" s="17">
        <f t="shared" si="1"/>
        <v>133.33333333333334</v>
      </c>
      <c r="L38" s="407">
        <v>18</v>
      </c>
      <c r="M38" s="18">
        <f t="shared" ref="M38:M45" si="22">F38/V38*60</f>
        <v>2285.7142857142862</v>
      </c>
      <c r="N38" s="17">
        <f t="shared" si="3"/>
        <v>126.98412698412702</v>
      </c>
      <c r="O38" s="19">
        <f t="shared" si="4"/>
        <v>0</v>
      </c>
      <c r="P38" s="20">
        <f t="shared" si="5"/>
        <v>-6.3492063492063266</v>
      </c>
      <c r="Q38" s="401">
        <f t="shared" si="6"/>
        <v>0.95238095238095255</v>
      </c>
      <c r="R38" s="489">
        <f>Q46</f>
        <v>0.95426456680709681</v>
      </c>
      <c r="S38" s="40">
        <v>0.125</v>
      </c>
      <c r="T38" s="40">
        <v>0.18333333333333332</v>
      </c>
      <c r="U38" s="398"/>
      <c r="V38" s="408">
        <f t="shared" ref="V38:V45" si="23">(T38-S38)*24*60</f>
        <v>83.999999999999986</v>
      </c>
      <c r="W38" s="28">
        <f>T38</f>
        <v>0.18333333333333332</v>
      </c>
      <c r="X38" s="28">
        <f>S39</f>
        <v>0.20208333333333334</v>
      </c>
      <c r="Y38" s="28"/>
      <c r="Z38" s="28"/>
      <c r="AA38" s="491"/>
      <c r="AB38" s="491"/>
      <c r="AC38" s="154">
        <v>7</v>
      </c>
      <c r="AD38" s="25"/>
      <c r="AE38" s="19">
        <f t="shared" si="8"/>
        <v>-114.28571428571377</v>
      </c>
      <c r="AF38" s="401">
        <f t="shared" si="9"/>
        <v>0.95238095238095255</v>
      </c>
      <c r="AG38" s="489">
        <f>AF46</f>
        <v>0.95426456680709693</v>
      </c>
    </row>
    <row r="39" spans="1:33" ht="15.75" customHeight="1">
      <c r="A39" s="516" t="s">
        <v>2441</v>
      </c>
      <c r="B39" s="42" t="s">
        <v>80</v>
      </c>
      <c r="C39" s="490" t="s">
        <v>88</v>
      </c>
      <c r="D39" s="490"/>
      <c r="E39" s="42">
        <v>26.18</v>
      </c>
      <c r="F39" s="409">
        <v>2055</v>
      </c>
      <c r="G39" s="398">
        <f t="shared" si="21"/>
        <v>53799.9</v>
      </c>
      <c r="H39" s="411" t="s">
        <v>79</v>
      </c>
      <c r="I39" s="407">
        <v>19</v>
      </c>
      <c r="J39" s="37">
        <v>2400</v>
      </c>
      <c r="K39" s="17">
        <f t="shared" si="1"/>
        <v>126.31578947368421</v>
      </c>
      <c r="L39" s="407">
        <v>19</v>
      </c>
      <c r="M39" s="18">
        <f t="shared" si="22"/>
        <v>2283.333333333333</v>
      </c>
      <c r="N39" s="17">
        <f t="shared" si="3"/>
        <v>120.17543859649122</v>
      </c>
      <c r="O39" s="19">
        <f t="shared" si="4"/>
        <v>0</v>
      </c>
      <c r="P39" s="20">
        <f t="shared" si="5"/>
        <v>-6.1403508771929864</v>
      </c>
      <c r="Q39" s="401">
        <f t="shared" si="6"/>
        <v>0.95138888888888884</v>
      </c>
      <c r="R39" s="489"/>
      <c r="S39" s="40">
        <v>0.20208333333333334</v>
      </c>
      <c r="T39" s="40">
        <v>0.23958333333333334</v>
      </c>
      <c r="U39" s="398">
        <f t="shared" ref="U39:U45" si="24">(S39-T38)*24*60</f>
        <v>27.000000000000025</v>
      </c>
      <c r="V39" s="408">
        <f t="shared" si="23"/>
        <v>54.000000000000007</v>
      </c>
      <c r="W39" s="398"/>
      <c r="X39" s="398"/>
      <c r="Y39" s="398"/>
      <c r="Z39" s="398"/>
      <c r="AA39" s="491"/>
      <c r="AB39" s="491"/>
      <c r="AC39" s="154"/>
      <c r="AD39" s="25"/>
      <c r="AE39" s="19">
        <f t="shared" si="8"/>
        <v>-116.66666666666697</v>
      </c>
      <c r="AF39" s="401">
        <f t="shared" si="9"/>
        <v>0.95138888888888873</v>
      </c>
      <c r="AG39" s="489"/>
    </row>
    <row r="40" spans="1:33">
      <c r="A40" s="517" t="s">
        <v>61</v>
      </c>
      <c r="B40" s="42" t="s">
        <v>80</v>
      </c>
      <c r="C40" s="490" t="s">
        <v>89</v>
      </c>
      <c r="D40" s="490"/>
      <c r="E40" s="42">
        <v>26.39</v>
      </c>
      <c r="F40" s="409">
        <v>5290</v>
      </c>
      <c r="G40" s="398">
        <f t="shared" si="21"/>
        <v>139603.1</v>
      </c>
      <c r="H40" s="411" t="s">
        <v>79</v>
      </c>
      <c r="I40" s="407">
        <v>19</v>
      </c>
      <c r="J40" s="37">
        <v>2400</v>
      </c>
      <c r="K40" s="17">
        <f t="shared" si="1"/>
        <v>126.31578947368421</v>
      </c>
      <c r="L40" s="407">
        <v>19</v>
      </c>
      <c r="M40" s="18">
        <f t="shared" si="22"/>
        <v>2300</v>
      </c>
      <c r="N40" s="17">
        <f t="shared" si="3"/>
        <v>121.05263157894737</v>
      </c>
      <c r="O40" s="19">
        <f t="shared" si="4"/>
        <v>0</v>
      </c>
      <c r="P40" s="20">
        <f t="shared" si="5"/>
        <v>-5.2631578947368354</v>
      </c>
      <c r="Q40" s="401">
        <f t="shared" si="6"/>
        <v>0.95833333333333337</v>
      </c>
      <c r="R40" s="489"/>
      <c r="S40" s="40">
        <v>0.24513888888888891</v>
      </c>
      <c r="T40" s="40">
        <v>0.34097222222222223</v>
      </c>
      <c r="U40" s="398">
        <f t="shared" si="24"/>
        <v>8.0000000000000107</v>
      </c>
      <c r="V40" s="408">
        <f t="shared" si="23"/>
        <v>138</v>
      </c>
      <c r="W40" s="398"/>
      <c r="X40" s="398"/>
      <c r="Y40" s="398"/>
      <c r="Z40" s="398"/>
      <c r="AA40" s="491"/>
      <c r="AB40" s="491"/>
      <c r="AC40" s="154"/>
      <c r="AD40" s="25"/>
      <c r="AE40" s="19">
        <f t="shared" si="8"/>
        <v>-100</v>
      </c>
      <c r="AF40" s="401">
        <f t="shared" si="9"/>
        <v>0.95833333333333337</v>
      </c>
      <c r="AG40" s="489"/>
    </row>
    <row r="41" spans="1:33">
      <c r="A41" s="517" t="s">
        <v>2441</v>
      </c>
      <c r="B41" s="42" t="s">
        <v>80</v>
      </c>
      <c r="C41" s="490" t="s">
        <v>90</v>
      </c>
      <c r="D41" s="490"/>
      <c r="E41" s="42">
        <v>22.69</v>
      </c>
      <c r="F41" s="409">
        <v>1413</v>
      </c>
      <c r="G41" s="398">
        <f t="shared" si="21"/>
        <v>32060.97</v>
      </c>
      <c r="H41" s="411" t="s">
        <v>79</v>
      </c>
      <c r="I41" s="407">
        <v>15</v>
      </c>
      <c r="J41" s="37">
        <v>2400</v>
      </c>
      <c r="K41" s="17">
        <f t="shared" si="1"/>
        <v>160</v>
      </c>
      <c r="L41" s="407">
        <v>15</v>
      </c>
      <c r="M41" s="18">
        <f t="shared" si="22"/>
        <v>2291.3513513513494</v>
      </c>
      <c r="N41" s="17">
        <f t="shared" si="3"/>
        <v>152.75675675675663</v>
      </c>
      <c r="O41" s="19">
        <f t="shared" si="4"/>
        <v>0</v>
      </c>
      <c r="P41" s="20">
        <f t="shared" si="5"/>
        <v>-7.24324324324337</v>
      </c>
      <c r="Q41" s="401">
        <f t="shared" si="6"/>
        <v>0.95472972972972892</v>
      </c>
      <c r="R41" s="489"/>
      <c r="S41" s="40">
        <v>0.34652777777777777</v>
      </c>
      <c r="T41" s="40">
        <v>0.37222222222222223</v>
      </c>
      <c r="U41" s="398">
        <f t="shared" si="24"/>
        <v>7.9999999999999716</v>
      </c>
      <c r="V41" s="408">
        <f t="shared" si="23"/>
        <v>37.000000000000028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-108.64864864865058</v>
      </c>
      <c r="AF41" s="401">
        <f t="shared" si="9"/>
        <v>0.95472972972972892</v>
      </c>
      <c r="AG41" s="489"/>
    </row>
    <row r="42" spans="1:33">
      <c r="A42" s="517" t="s">
        <v>2442</v>
      </c>
      <c r="B42" s="42" t="s">
        <v>80</v>
      </c>
      <c r="C42" s="490" t="s">
        <v>91</v>
      </c>
      <c r="D42" s="490"/>
      <c r="E42" s="42">
        <v>24.45</v>
      </c>
      <c r="F42" s="409">
        <v>2326</v>
      </c>
      <c r="G42" s="398">
        <f t="shared" si="21"/>
        <v>56870.7</v>
      </c>
      <c r="H42" s="411" t="s">
        <v>79</v>
      </c>
      <c r="I42" s="407">
        <v>20</v>
      </c>
      <c r="J42" s="37">
        <v>2400</v>
      </c>
      <c r="K42" s="17">
        <f t="shared" si="1"/>
        <v>120</v>
      </c>
      <c r="L42" s="407">
        <v>20</v>
      </c>
      <c r="M42" s="18">
        <f t="shared" si="22"/>
        <v>2287.8688524590152</v>
      </c>
      <c r="N42" s="17">
        <f t="shared" si="3"/>
        <v>114.39344262295076</v>
      </c>
      <c r="O42" s="19">
        <f t="shared" si="4"/>
        <v>0</v>
      </c>
      <c r="P42" s="20">
        <f t="shared" si="5"/>
        <v>-5.6065573770492421</v>
      </c>
      <c r="Q42" s="401">
        <f t="shared" si="6"/>
        <v>0.95327868852458963</v>
      </c>
      <c r="R42" s="489"/>
      <c r="S42" s="40">
        <v>0.37708333333333333</v>
      </c>
      <c r="T42" s="40">
        <v>0.41944444444444445</v>
      </c>
      <c r="U42" s="398">
        <f t="shared" si="24"/>
        <v>6.9999999999999751</v>
      </c>
      <c r="V42" s="408">
        <f t="shared" si="23"/>
        <v>61.000000000000021</v>
      </c>
      <c r="W42" s="23"/>
      <c r="X42" s="23"/>
      <c r="Y42" s="23"/>
      <c r="Z42" s="23"/>
      <c r="AA42" s="491"/>
      <c r="AB42" s="491"/>
      <c r="AC42" s="154"/>
      <c r="AD42" s="25"/>
      <c r="AE42" s="19">
        <f t="shared" si="8"/>
        <v>-112.13114754098478</v>
      </c>
      <c r="AF42" s="401">
        <f t="shared" si="9"/>
        <v>0.95327868852458963</v>
      </c>
      <c r="AG42" s="489"/>
    </row>
    <row r="43" spans="1:33">
      <c r="A43" s="517" t="s">
        <v>2443</v>
      </c>
      <c r="B43" s="42" t="s">
        <v>80</v>
      </c>
      <c r="C43" s="490" t="s">
        <v>1224</v>
      </c>
      <c r="D43" s="490"/>
      <c r="E43" s="42">
        <v>22.69</v>
      </c>
      <c r="F43" s="409">
        <v>3200</v>
      </c>
      <c r="G43" s="398">
        <f t="shared" si="21"/>
        <v>72608</v>
      </c>
      <c r="H43" s="411">
        <v>2</v>
      </c>
      <c r="I43" s="407">
        <v>16</v>
      </c>
      <c r="J43" s="37">
        <v>2400</v>
      </c>
      <c r="K43" s="17">
        <f t="shared" si="1"/>
        <v>150</v>
      </c>
      <c r="L43" s="407">
        <v>16</v>
      </c>
      <c r="M43" s="18">
        <f t="shared" si="22"/>
        <v>2285.7142857142849</v>
      </c>
      <c r="N43" s="17">
        <f t="shared" si="3"/>
        <v>142.8571428571428</v>
      </c>
      <c r="O43" s="19">
        <f t="shared" si="4"/>
        <v>0</v>
      </c>
      <c r="P43" s="20">
        <f t="shared" si="5"/>
        <v>-7.1428571428571956</v>
      </c>
      <c r="Q43" s="401">
        <f t="shared" si="6"/>
        <v>0.952380952380952</v>
      </c>
      <c r="R43" s="489"/>
      <c r="S43" s="40">
        <v>0.4236111111111111</v>
      </c>
      <c r="T43" s="40">
        <v>0.48194444444444445</v>
      </c>
      <c r="U43" s="398">
        <f t="shared" si="24"/>
        <v>5.9999999999999787</v>
      </c>
      <c r="V43" s="408">
        <f t="shared" si="23"/>
        <v>84.000000000000028</v>
      </c>
      <c r="W43" s="23">
        <f>T43</f>
        <v>0.48194444444444445</v>
      </c>
      <c r="X43" s="23">
        <f>S44</f>
        <v>0.52222222222222214</v>
      </c>
      <c r="Y43" s="23"/>
      <c r="Z43" s="23"/>
      <c r="AA43" s="491"/>
      <c r="AB43" s="491"/>
      <c r="AC43" s="154"/>
      <c r="AD43" s="25"/>
      <c r="AE43" s="19">
        <f t="shared" si="8"/>
        <v>-114.28571428571513</v>
      </c>
      <c r="AF43" s="401">
        <f t="shared" si="9"/>
        <v>0.952380952380952</v>
      </c>
      <c r="AG43" s="489"/>
    </row>
    <row r="44" spans="1:33">
      <c r="A44" s="517" t="s">
        <v>2442</v>
      </c>
      <c r="B44" s="42" t="s">
        <v>80</v>
      </c>
      <c r="C44" s="490" t="s">
        <v>1224</v>
      </c>
      <c r="D44" s="490"/>
      <c r="E44" s="42">
        <v>22.69</v>
      </c>
      <c r="F44" s="409">
        <v>4047</v>
      </c>
      <c r="G44" s="398">
        <f t="shared" si="21"/>
        <v>91826.430000000008</v>
      </c>
      <c r="H44" s="411" t="s">
        <v>79</v>
      </c>
      <c r="I44" s="407">
        <v>16</v>
      </c>
      <c r="J44" s="37">
        <v>2400</v>
      </c>
      <c r="K44" s="17">
        <f t="shared" si="1"/>
        <v>150</v>
      </c>
      <c r="L44" s="407">
        <v>16</v>
      </c>
      <c r="M44" s="18">
        <f t="shared" si="22"/>
        <v>2290.7547169811332</v>
      </c>
      <c r="N44" s="17">
        <f t="shared" si="3"/>
        <v>143.17216981132083</v>
      </c>
      <c r="O44" s="19">
        <f t="shared" si="4"/>
        <v>0</v>
      </c>
      <c r="P44" s="20">
        <f t="shared" si="5"/>
        <v>-6.8278301886791724</v>
      </c>
      <c r="Q44" s="401">
        <f t="shared" si="6"/>
        <v>0.95448113207547214</v>
      </c>
      <c r="R44" s="489"/>
      <c r="S44" s="40">
        <v>0.52222222222222214</v>
      </c>
      <c r="T44" s="40">
        <v>0.59583333333333321</v>
      </c>
      <c r="U44" s="398">
        <f t="shared" si="24"/>
        <v>57.999999999999872</v>
      </c>
      <c r="V44" s="408">
        <f t="shared" si="23"/>
        <v>105.99999999999994</v>
      </c>
      <c r="W44" s="23"/>
      <c r="X44" s="23"/>
      <c r="Y44" s="26"/>
      <c r="Z44" s="26"/>
      <c r="AA44" s="503"/>
      <c r="AB44" s="504"/>
      <c r="AC44" s="154"/>
      <c r="AD44" s="25"/>
      <c r="AE44" s="19">
        <f t="shared" si="8"/>
        <v>-109.24528301886676</v>
      </c>
      <c r="AF44" s="401">
        <f t="shared" si="9"/>
        <v>0.95448113207547214</v>
      </c>
      <c r="AG44" s="489"/>
    </row>
    <row r="45" spans="1:33">
      <c r="A45" s="517" t="s">
        <v>2441</v>
      </c>
      <c r="B45" s="42" t="s">
        <v>80</v>
      </c>
      <c r="C45" s="490" t="s">
        <v>87</v>
      </c>
      <c r="D45" s="490"/>
      <c r="E45" s="42">
        <v>26.2</v>
      </c>
      <c r="F45" s="409">
        <v>2412</v>
      </c>
      <c r="G45" s="398">
        <f t="shared" si="21"/>
        <v>63194.400000000001</v>
      </c>
      <c r="H45" s="411" t="s">
        <v>79</v>
      </c>
      <c r="I45" s="407">
        <v>18</v>
      </c>
      <c r="J45" s="37">
        <v>2400</v>
      </c>
      <c r="K45" s="17">
        <f t="shared" si="1"/>
        <v>133.33333333333334</v>
      </c>
      <c r="L45" s="407">
        <v>18</v>
      </c>
      <c r="M45" s="18">
        <f t="shared" si="22"/>
        <v>2297.1428571428596</v>
      </c>
      <c r="N45" s="17">
        <f t="shared" si="3"/>
        <v>127.61904761904776</v>
      </c>
      <c r="O45" s="19">
        <f t="shared" si="4"/>
        <v>0</v>
      </c>
      <c r="P45" s="20">
        <f t="shared" si="5"/>
        <v>-5.7142857142855803</v>
      </c>
      <c r="Q45" s="401">
        <f t="shared" si="6"/>
        <v>0.95714285714285818</v>
      </c>
      <c r="R45" s="489"/>
      <c r="S45" s="40">
        <v>0.59930555555555542</v>
      </c>
      <c r="T45" s="40">
        <v>0.64305555555555538</v>
      </c>
      <c r="U45" s="398">
        <f t="shared" si="24"/>
        <v>4.9999999999999822</v>
      </c>
      <c r="V45" s="408">
        <f t="shared" si="23"/>
        <v>62.999999999999936</v>
      </c>
      <c r="W45" s="23"/>
      <c r="X45" s="23"/>
      <c r="Y45" s="26"/>
      <c r="Z45" s="26"/>
      <c r="AA45" s="503"/>
      <c r="AB45" s="504"/>
      <c r="AC45" s="154"/>
      <c r="AD45" s="25"/>
      <c r="AE45" s="19">
        <f t="shared" si="8"/>
        <v>-102.85714285714039</v>
      </c>
      <c r="AF45" s="401">
        <f t="shared" si="9"/>
        <v>0.95714285714285818</v>
      </c>
      <c r="AG45" s="489"/>
    </row>
    <row r="46" spans="1:33">
      <c r="A46" s="517" t="s">
        <v>61</v>
      </c>
      <c r="B46" s="44" t="s">
        <v>2444</v>
      </c>
      <c r="C46" s="494"/>
      <c r="D46" s="494"/>
      <c r="E46" s="402"/>
      <c r="F46" s="44"/>
      <c r="G46" s="17"/>
      <c r="H46" s="409"/>
      <c r="I46" s="30">
        <v>17.625</v>
      </c>
      <c r="J46" s="37">
        <v>2400</v>
      </c>
      <c r="K46" s="17">
        <f t="shared" si="1"/>
        <v>136.17021276595744</v>
      </c>
      <c r="L46" s="30">
        <v>17.625</v>
      </c>
      <c r="M46" s="18">
        <f>AVERAGE(M38:M45)</f>
        <v>2290.2349603370326</v>
      </c>
      <c r="N46" s="17">
        <f t="shared" si="3"/>
        <v>129.94240909713659</v>
      </c>
      <c r="O46" s="19">
        <f t="shared" si="4"/>
        <v>0</v>
      </c>
      <c r="P46" s="20">
        <f t="shared" si="5"/>
        <v>-6.2278036688208545</v>
      </c>
      <c r="Q46" s="401">
        <f t="shared" si="6"/>
        <v>0.95426456680709681</v>
      </c>
      <c r="R46" s="489"/>
      <c r="S46" s="40"/>
      <c r="T46" s="40"/>
      <c r="U46" s="17"/>
      <c r="V46" s="408"/>
      <c r="W46" s="17"/>
      <c r="X46" s="17"/>
      <c r="Y46" s="31">
        <f>SUM(Y38:Y45)</f>
        <v>0</v>
      </c>
      <c r="Z46" s="31">
        <f>SUM(Z38:Z45)</f>
        <v>0</v>
      </c>
      <c r="AA46" s="495"/>
      <c r="AB46" s="495"/>
      <c r="AC46" s="31">
        <v>7</v>
      </c>
      <c r="AD46" s="31">
        <f>SUM(AD38:AD45)</f>
        <v>0</v>
      </c>
      <c r="AE46" s="19">
        <f t="shared" si="8"/>
        <v>-109.76503966296741</v>
      </c>
      <c r="AF46" s="401">
        <f t="shared" si="9"/>
        <v>0.95426456680709693</v>
      </c>
      <c r="AG46" s="489"/>
    </row>
    <row r="47" spans="1:33" ht="15.75" customHeight="1">
      <c r="A47" s="512" t="s">
        <v>2445</v>
      </c>
      <c r="B47" s="42" t="s">
        <v>93</v>
      </c>
      <c r="C47" s="501" t="s">
        <v>94</v>
      </c>
      <c r="D47" s="502"/>
      <c r="E47" s="42">
        <v>21.13</v>
      </c>
      <c r="F47" s="409">
        <v>2700</v>
      </c>
      <c r="G47" s="398">
        <f t="shared" ref="G47:G56" si="25">E47*F47</f>
        <v>57051</v>
      </c>
      <c r="H47" s="411">
        <v>2</v>
      </c>
      <c r="I47" s="407">
        <v>10</v>
      </c>
      <c r="J47" s="37">
        <v>3000</v>
      </c>
      <c r="K47" s="17">
        <f t="shared" si="1"/>
        <v>300</v>
      </c>
      <c r="L47" s="407">
        <v>10</v>
      </c>
      <c r="M47" s="18">
        <f t="shared" ref="M47:M56" si="26">F47/V47*60</f>
        <v>2892.8571428571431</v>
      </c>
      <c r="N47" s="18">
        <f t="shared" si="3"/>
        <v>289.28571428571433</v>
      </c>
      <c r="O47" s="19">
        <f t="shared" si="4"/>
        <v>0</v>
      </c>
      <c r="P47" s="20">
        <f t="shared" si="5"/>
        <v>-10.714285714285666</v>
      </c>
      <c r="Q47" s="401">
        <f t="shared" si="6"/>
        <v>0.96428571428571441</v>
      </c>
      <c r="R47" s="509">
        <f>Q57</f>
        <v>0.96164840257842721</v>
      </c>
      <c r="S47" s="40">
        <v>0.20833333333333334</v>
      </c>
      <c r="T47" s="40">
        <v>0.24722222222222223</v>
      </c>
      <c r="U47" s="28"/>
      <c r="V47" s="408">
        <f t="shared" ref="V47:V56" si="27">(T47-S47)*24*60</f>
        <v>56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-107.14285714285688</v>
      </c>
      <c r="AF47" s="401">
        <f t="shared" si="9"/>
        <v>0.96428571428571441</v>
      </c>
      <c r="AG47" s="509">
        <f>AF57</f>
        <v>0.96164840257842721</v>
      </c>
    </row>
    <row r="48" spans="1:33" ht="15.75" customHeight="1">
      <c r="A48" s="513" t="s">
        <v>2446</v>
      </c>
      <c r="B48" s="42" t="s">
        <v>93</v>
      </c>
      <c r="C48" s="501" t="s">
        <v>95</v>
      </c>
      <c r="D48" s="502"/>
      <c r="E48" s="42">
        <v>27.17</v>
      </c>
      <c r="F48" s="409">
        <v>3700</v>
      </c>
      <c r="G48" s="398">
        <f t="shared" si="25"/>
        <v>100529</v>
      </c>
      <c r="H48" s="411">
        <v>2</v>
      </c>
      <c r="I48" s="407">
        <v>10</v>
      </c>
      <c r="J48" s="37">
        <v>3000</v>
      </c>
      <c r="K48" s="17">
        <f t="shared" si="1"/>
        <v>300</v>
      </c>
      <c r="L48" s="407">
        <v>10</v>
      </c>
      <c r="M48" s="18">
        <f t="shared" si="26"/>
        <v>2883.1168831168816</v>
      </c>
      <c r="N48" s="18">
        <f t="shared" si="3"/>
        <v>288.31168831168816</v>
      </c>
      <c r="O48" s="19">
        <f t="shared" si="4"/>
        <v>0</v>
      </c>
      <c r="P48" s="20">
        <f t="shared" si="5"/>
        <v>-11.688311688311842</v>
      </c>
      <c r="Q48" s="401">
        <f t="shared" si="6"/>
        <v>0.96103896103896058</v>
      </c>
      <c r="R48" s="510"/>
      <c r="S48" s="40">
        <v>0.25208333333333333</v>
      </c>
      <c r="T48" s="40">
        <v>0.30555555555555558</v>
      </c>
      <c r="U48" s="398">
        <f t="shared" ref="U48:U56" si="28">(S48-T47)*24*60</f>
        <v>6.9999999999999751</v>
      </c>
      <c r="V48" s="408">
        <f t="shared" si="27"/>
        <v>77.000000000000043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-116.88311688311842</v>
      </c>
      <c r="AF48" s="401">
        <f t="shared" si="9"/>
        <v>0.96103896103896058</v>
      </c>
      <c r="AG48" s="510"/>
    </row>
    <row r="49" spans="1:33" ht="15.75" customHeight="1">
      <c r="A49" s="513" t="s">
        <v>65</v>
      </c>
      <c r="B49" s="42" t="s">
        <v>93</v>
      </c>
      <c r="C49" s="501" t="s">
        <v>96</v>
      </c>
      <c r="D49" s="502"/>
      <c r="E49" s="42">
        <v>35.119999999999997</v>
      </c>
      <c r="F49" s="409">
        <v>2800</v>
      </c>
      <c r="G49" s="398">
        <f t="shared" si="25"/>
        <v>98336</v>
      </c>
      <c r="H49" s="411">
        <v>2</v>
      </c>
      <c r="I49" s="407">
        <v>10</v>
      </c>
      <c r="J49" s="37">
        <v>3000</v>
      </c>
      <c r="K49" s="17">
        <f t="shared" si="1"/>
        <v>300</v>
      </c>
      <c r="L49" s="407">
        <v>10</v>
      </c>
      <c r="M49" s="18">
        <f t="shared" si="26"/>
        <v>2896.5517241379293</v>
      </c>
      <c r="N49" s="18">
        <f t="shared" si="3"/>
        <v>289.65517241379291</v>
      </c>
      <c r="O49" s="19">
        <f t="shared" si="4"/>
        <v>0</v>
      </c>
      <c r="P49" s="20">
        <f t="shared" si="5"/>
        <v>-10.344827586207089</v>
      </c>
      <c r="Q49" s="401">
        <f t="shared" si="6"/>
        <v>0.96551724137930972</v>
      </c>
      <c r="R49" s="510"/>
      <c r="S49" s="40">
        <v>0.30902777777777779</v>
      </c>
      <c r="T49" s="40">
        <v>0.34930555555555559</v>
      </c>
      <c r="U49" s="398">
        <f t="shared" si="28"/>
        <v>4.9999999999999822</v>
      </c>
      <c r="V49" s="408">
        <f t="shared" si="27"/>
        <v>58.000000000000036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-103.44827586207066</v>
      </c>
      <c r="AF49" s="401">
        <f t="shared" si="9"/>
        <v>0.96551724137930983</v>
      </c>
      <c r="AG49" s="510"/>
    </row>
    <row r="50" spans="1:33" ht="15.75" customHeight="1">
      <c r="A50" s="513" t="s">
        <v>2446</v>
      </c>
      <c r="B50" s="42" t="s">
        <v>93</v>
      </c>
      <c r="C50" s="501" t="s">
        <v>110</v>
      </c>
      <c r="D50" s="502"/>
      <c r="E50" s="42">
        <v>26.78</v>
      </c>
      <c r="F50" s="409">
        <v>2581</v>
      </c>
      <c r="G50" s="398">
        <f t="shared" si="25"/>
        <v>69119.180000000008</v>
      </c>
      <c r="H50" s="411" t="s">
        <v>79</v>
      </c>
      <c r="I50" s="407">
        <v>10</v>
      </c>
      <c r="J50" s="37">
        <v>3000</v>
      </c>
      <c r="K50" s="17">
        <f t="shared" si="1"/>
        <v>300</v>
      </c>
      <c r="L50" s="407">
        <v>10</v>
      </c>
      <c r="M50" s="18">
        <f t="shared" si="26"/>
        <v>2867.7777777777792</v>
      </c>
      <c r="N50" s="18">
        <f t="shared" si="3"/>
        <v>286.77777777777794</v>
      </c>
      <c r="O50" s="19">
        <f t="shared" si="4"/>
        <v>0</v>
      </c>
      <c r="P50" s="20">
        <f t="shared" si="5"/>
        <v>-13.222222222222058</v>
      </c>
      <c r="Q50" s="401">
        <f t="shared" si="6"/>
        <v>0.95592592592592651</v>
      </c>
      <c r="R50" s="510"/>
      <c r="S50" s="40">
        <v>0.35416666666666669</v>
      </c>
      <c r="T50" s="40">
        <v>0.39166666666666666</v>
      </c>
      <c r="U50" s="398">
        <f t="shared" si="28"/>
        <v>6.9999999999999751</v>
      </c>
      <c r="V50" s="408">
        <f t="shared" si="27"/>
        <v>53.999999999999972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-132.22222222222081</v>
      </c>
      <c r="AF50" s="401">
        <f t="shared" si="9"/>
        <v>0.9559259259259264</v>
      </c>
      <c r="AG50" s="510"/>
    </row>
    <row r="51" spans="1:33" ht="15.75" customHeight="1">
      <c r="A51" s="513" t="s">
        <v>2446</v>
      </c>
      <c r="B51" s="42" t="s">
        <v>93</v>
      </c>
      <c r="C51" s="501" t="s">
        <v>99</v>
      </c>
      <c r="D51" s="502"/>
      <c r="E51" s="42">
        <v>32.020000000000003</v>
      </c>
      <c r="F51" s="409">
        <v>2082</v>
      </c>
      <c r="G51" s="398">
        <f t="shared" si="25"/>
        <v>66665.64</v>
      </c>
      <c r="H51" s="411" t="s">
        <v>79</v>
      </c>
      <c r="I51" s="407">
        <v>11</v>
      </c>
      <c r="J51" s="37">
        <v>3000</v>
      </c>
      <c r="K51" s="17">
        <f t="shared" si="1"/>
        <v>272.72727272727275</v>
      </c>
      <c r="L51" s="407">
        <v>11</v>
      </c>
      <c r="M51" s="18">
        <f t="shared" si="26"/>
        <v>2905.1162790697667</v>
      </c>
      <c r="N51" s="18">
        <f t="shared" si="3"/>
        <v>264.10147991543334</v>
      </c>
      <c r="O51" s="19">
        <f t="shared" si="4"/>
        <v>0</v>
      </c>
      <c r="P51" s="20">
        <f t="shared" si="5"/>
        <v>-8.6257928118394034</v>
      </c>
      <c r="Q51" s="401">
        <f t="shared" si="6"/>
        <v>0.96837209302325555</v>
      </c>
      <c r="R51" s="510"/>
      <c r="S51" s="40">
        <v>0.3972222222222222</v>
      </c>
      <c r="T51" s="40">
        <v>0.42708333333333331</v>
      </c>
      <c r="U51" s="398">
        <f t="shared" si="28"/>
        <v>7.9999999999999716</v>
      </c>
      <c r="V51" s="408">
        <f t="shared" si="27"/>
        <v>43.000000000000007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-94.883720930233267</v>
      </c>
      <c r="AF51" s="401">
        <f t="shared" si="9"/>
        <v>0.96837209302325555</v>
      </c>
      <c r="AG51" s="510"/>
    </row>
    <row r="52" spans="1:33" ht="15.75" customHeight="1">
      <c r="A52" s="513" t="s">
        <v>65</v>
      </c>
      <c r="B52" s="42" t="s">
        <v>93</v>
      </c>
      <c r="C52" s="501" t="s">
        <v>112</v>
      </c>
      <c r="D52" s="502"/>
      <c r="E52" s="42">
        <v>35.869999999999997</v>
      </c>
      <c r="F52" s="409">
        <v>3221</v>
      </c>
      <c r="G52" s="398">
        <f t="shared" si="25"/>
        <v>115537.26999999999</v>
      </c>
      <c r="H52" s="411" t="s">
        <v>79</v>
      </c>
      <c r="I52" s="407">
        <v>9</v>
      </c>
      <c r="J52" s="37">
        <v>3000</v>
      </c>
      <c r="K52" s="17">
        <f t="shared" si="1"/>
        <v>333.33333333333331</v>
      </c>
      <c r="L52" s="407">
        <v>9</v>
      </c>
      <c r="M52" s="18">
        <f t="shared" si="26"/>
        <v>2884.4776119402982</v>
      </c>
      <c r="N52" s="18">
        <f t="shared" si="3"/>
        <v>320.49751243781088</v>
      </c>
      <c r="O52" s="19">
        <f t="shared" si="4"/>
        <v>0</v>
      </c>
      <c r="P52" s="20">
        <f t="shared" si="5"/>
        <v>-12.835820895522431</v>
      </c>
      <c r="Q52" s="401">
        <f t="shared" si="6"/>
        <v>0.96149253731343265</v>
      </c>
      <c r="R52" s="510"/>
      <c r="S52" s="40">
        <v>0.43055555555555552</v>
      </c>
      <c r="T52" s="40">
        <v>0.4770833333333333</v>
      </c>
      <c r="U52" s="398">
        <f t="shared" si="28"/>
        <v>4.9999999999999822</v>
      </c>
      <c r="V52" s="408">
        <f t="shared" si="27"/>
        <v>67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-115.52238805970183</v>
      </c>
      <c r="AF52" s="401">
        <f t="shared" si="9"/>
        <v>0.96149253731343276</v>
      </c>
      <c r="AG52" s="510"/>
    </row>
    <row r="53" spans="1:33" ht="15.75" customHeight="1">
      <c r="A53" s="513" t="s">
        <v>2446</v>
      </c>
      <c r="B53" s="42" t="s">
        <v>93</v>
      </c>
      <c r="C53" s="501" t="s">
        <v>1778</v>
      </c>
      <c r="D53" s="502"/>
      <c r="E53" s="42">
        <v>44.03</v>
      </c>
      <c r="F53" s="409">
        <v>2313</v>
      </c>
      <c r="G53" s="398">
        <f t="shared" si="25"/>
        <v>101841.39</v>
      </c>
      <c r="H53" s="411" t="s">
        <v>79</v>
      </c>
      <c r="I53" s="407">
        <v>10</v>
      </c>
      <c r="J53" s="37">
        <v>3000</v>
      </c>
      <c r="K53" s="17">
        <f t="shared" si="1"/>
        <v>300</v>
      </c>
      <c r="L53" s="407">
        <v>10</v>
      </c>
      <c r="M53" s="18">
        <f t="shared" si="26"/>
        <v>2891.2500000000009</v>
      </c>
      <c r="N53" s="18">
        <f t="shared" si="3"/>
        <v>289.12500000000011</v>
      </c>
      <c r="O53" s="19">
        <f t="shared" si="4"/>
        <v>0</v>
      </c>
      <c r="P53" s="20">
        <f t="shared" si="5"/>
        <v>-10.874999999999886</v>
      </c>
      <c r="Q53" s="401">
        <f t="shared" si="6"/>
        <v>0.96375000000000033</v>
      </c>
      <c r="R53" s="510"/>
      <c r="S53" s="40">
        <v>0.48055555555555551</v>
      </c>
      <c r="T53" s="40">
        <v>0.51388888888888884</v>
      </c>
      <c r="U53" s="398">
        <f t="shared" si="28"/>
        <v>4.9999999999999822</v>
      </c>
      <c r="V53" s="408">
        <f t="shared" si="27"/>
        <v>47.999999999999986</v>
      </c>
      <c r="W53" s="23">
        <f>T53</f>
        <v>0.51388888888888884</v>
      </c>
      <c r="X53" s="23">
        <f>S54</f>
        <v>0.55416666666666659</v>
      </c>
      <c r="Y53" s="26"/>
      <c r="Z53" s="26"/>
      <c r="AA53" s="503"/>
      <c r="AB53" s="504"/>
      <c r="AC53" s="154" t="s">
        <v>79</v>
      </c>
      <c r="AD53" s="25"/>
      <c r="AE53" s="19">
        <f t="shared" si="8"/>
        <v>-108.74999999999909</v>
      </c>
      <c r="AF53" s="401">
        <f t="shared" si="9"/>
        <v>0.96375000000000033</v>
      </c>
      <c r="AG53" s="510"/>
    </row>
    <row r="54" spans="1:33" ht="15.75" customHeight="1">
      <c r="A54" s="513" t="s">
        <v>65</v>
      </c>
      <c r="B54" s="42" t="s">
        <v>93</v>
      </c>
      <c r="C54" s="501" t="s">
        <v>94</v>
      </c>
      <c r="D54" s="502"/>
      <c r="E54" s="42">
        <v>21.13</v>
      </c>
      <c r="F54" s="409">
        <v>2057</v>
      </c>
      <c r="G54" s="398">
        <f t="shared" si="25"/>
        <v>43464.409999999996</v>
      </c>
      <c r="H54" s="411" t="s">
        <v>79</v>
      </c>
      <c r="I54" s="407">
        <v>10</v>
      </c>
      <c r="J54" s="37">
        <v>3000</v>
      </c>
      <c r="K54" s="17">
        <f t="shared" si="1"/>
        <v>300</v>
      </c>
      <c r="L54" s="407">
        <v>10</v>
      </c>
      <c r="M54" s="18">
        <f t="shared" si="26"/>
        <v>2870.2325581395344</v>
      </c>
      <c r="N54" s="18">
        <f t="shared" si="3"/>
        <v>287.02325581395343</v>
      </c>
      <c r="O54" s="19">
        <f t="shared" si="4"/>
        <v>0</v>
      </c>
      <c r="P54" s="20">
        <f t="shared" si="5"/>
        <v>-12.976744186046574</v>
      </c>
      <c r="Q54" s="401">
        <f t="shared" si="6"/>
        <v>0.95674418604651146</v>
      </c>
      <c r="R54" s="510"/>
      <c r="S54" s="40">
        <v>0.55416666666666659</v>
      </c>
      <c r="T54" s="40">
        <v>0.5840277777777777</v>
      </c>
      <c r="U54" s="398">
        <f t="shared" si="28"/>
        <v>57.999999999999957</v>
      </c>
      <c r="V54" s="408">
        <f t="shared" si="27"/>
        <v>43.000000000000007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-129.76744186046562</v>
      </c>
      <c r="AF54" s="401">
        <f t="shared" si="9"/>
        <v>0.95674418604651146</v>
      </c>
      <c r="AG54" s="510"/>
    </row>
    <row r="55" spans="1:33" ht="15.75" customHeight="1">
      <c r="A55" s="513" t="s">
        <v>65</v>
      </c>
      <c r="B55" s="42" t="s">
        <v>93</v>
      </c>
      <c r="C55" s="501" t="s">
        <v>95</v>
      </c>
      <c r="D55" s="502"/>
      <c r="E55" s="42">
        <v>27.17</v>
      </c>
      <c r="F55" s="409">
        <v>2765</v>
      </c>
      <c r="G55" s="398">
        <f t="shared" si="25"/>
        <v>75125.05</v>
      </c>
      <c r="H55" s="411" t="s">
        <v>79</v>
      </c>
      <c r="I55" s="407">
        <v>10</v>
      </c>
      <c r="J55" s="37">
        <v>3000</v>
      </c>
      <c r="K55" s="17">
        <f t="shared" si="1"/>
        <v>300</v>
      </c>
      <c r="L55" s="407">
        <v>10</v>
      </c>
      <c r="M55" s="18">
        <f t="shared" si="26"/>
        <v>2860.3448275862088</v>
      </c>
      <c r="N55" s="18">
        <f t="shared" si="3"/>
        <v>286.03448275862087</v>
      </c>
      <c r="O55" s="19">
        <f t="shared" si="4"/>
        <v>0</v>
      </c>
      <c r="P55" s="20">
        <f t="shared" si="5"/>
        <v>-13.965517241379132</v>
      </c>
      <c r="Q55" s="401">
        <f t="shared" si="6"/>
        <v>0.95344827586206959</v>
      </c>
      <c r="R55" s="510"/>
      <c r="S55" s="40">
        <v>0.5888888888888888</v>
      </c>
      <c r="T55" s="40">
        <v>0.62916666666666654</v>
      </c>
      <c r="U55" s="398">
        <f t="shared" si="28"/>
        <v>6.9999999999999751</v>
      </c>
      <c r="V55" s="408">
        <f t="shared" si="27"/>
        <v>57.999999999999957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-139.65517241379121</v>
      </c>
      <c r="AF55" s="401">
        <f t="shared" si="9"/>
        <v>0.95344827586206959</v>
      </c>
      <c r="AG55" s="510"/>
    </row>
    <row r="56" spans="1:33" ht="15.75" customHeight="1">
      <c r="A56" s="513" t="s">
        <v>2446</v>
      </c>
      <c r="B56" s="42" t="s">
        <v>93</v>
      </c>
      <c r="C56" s="501" t="s">
        <v>96</v>
      </c>
      <c r="D56" s="502"/>
      <c r="E56" s="42">
        <v>35.119999999999997</v>
      </c>
      <c r="F56" s="409">
        <v>2125</v>
      </c>
      <c r="G56" s="398">
        <f t="shared" si="25"/>
        <v>74630</v>
      </c>
      <c r="H56" s="411" t="s">
        <v>79</v>
      </c>
      <c r="I56" s="407">
        <v>10</v>
      </c>
      <c r="J56" s="37">
        <v>3000</v>
      </c>
      <c r="K56" s="17">
        <f t="shared" si="1"/>
        <v>300</v>
      </c>
      <c r="L56" s="407">
        <v>10</v>
      </c>
      <c r="M56" s="18">
        <f t="shared" si="26"/>
        <v>2897.727272727273</v>
      </c>
      <c r="N56" s="18">
        <f t="shared" si="3"/>
        <v>289.77272727272731</v>
      </c>
      <c r="O56" s="19">
        <f t="shared" si="4"/>
        <v>0</v>
      </c>
      <c r="P56" s="20">
        <f t="shared" si="5"/>
        <v>-10.227272727272691</v>
      </c>
      <c r="Q56" s="401">
        <f t="shared" si="6"/>
        <v>0.96590909090909105</v>
      </c>
      <c r="R56" s="510"/>
      <c r="S56" s="40">
        <v>0.63402777777777763</v>
      </c>
      <c r="T56" s="40">
        <v>0.66458333333333319</v>
      </c>
      <c r="U56" s="398">
        <f t="shared" si="28"/>
        <v>6.9999999999999751</v>
      </c>
      <c r="V56" s="408">
        <f t="shared" si="27"/>
        <v>44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-102.27272727272702</v>
      </c>
      <c r="AF56" s="401">
        <f t="shared" si="9"/>
        <v>0.96590909090909094</v>
      </c>
      <c r="AG56" s="510"/>
    </row>
    <row r="57" spans="1:33" ht="15.75" customHeight="1">
      <c r="A57" s="514" t="s">
        <v>2445</v>
      </c>
      <c r="B57" s="42" t="s">
        <v>2444</v>
      </c>
      <c r="C57" s="492"/>
      <c r="D57" s="493"/>
      <c r="E57" s="399"/>
      <c r="F57" s="409"/>
      <c r="G57" s="398"/>
      <c r="H57" s="409"/>
      <c r="I57" s="30">
        <v>10</v>
      </c>
      <c r="J57" s="37">
        <v>3000</v>
      </c>
      <c r="K57" s="17">
        <f t="shared" si="1"/>
        <v>300</v>
      </c>
      <c r="L57" s="30">
        <v>10</v>
      </c>
      <c r="M57" s="18">
        <f>AVERAGE(M47:M56)</f>
        <v>2884.9452077352817</v>
      </c>
      <c r="N57" s="17">
        <f t="shared" si="3"/>
        <v>288.49452077352817</v>
      </c>
      <c r="O57" s="19">
        <f t="shared" si="4"/>
        <v>0</v>
      </c>
      <c r="P57" s="20">
        <f t="shared" si="5"/>
        <v>-11.505479226471834</v>
      </c>
      <c r="Q57" s="401">
        <f t="shared" si="6"/>
        <v>0.96164840257842721</v>
      </c>
      <c r="R57" s="511"/>
      <c r="S57" s="40"/>
      <c r="T57" s="40"/>
      <c r="U57" s="398"/>
      <c r="V57" s="408"/>
      <c r="W57" s="23"/>
      <c r="X57" s="23"/>
      <c r="Y57" s="31">
        <f>SUM(Y47:Y56)</f>
        <v>0</v>
      </c>
      <c r="Z57" s="31">
        <f>SUM(Z47:Z56)</f>
        <v>0</v>
      </c>
      <c r="AA57" s="505"/>
      <c r="AB57" s="506"/>
      <c r="AC57" s="31">
        <v>0</v>
      </c>
      <c r="AD57" s="31">
        <f>SUM(AD47:AD56)</f>
        <v>0</v>
      </c>
      <c r="AE57" s="19">
        <f t="shared" si="8"/>
        <v>-115.05479226471834</v>
      </c>
      <c r="AF57" s="401">
        <f t="shared" si="9"/>
        <v>0.96164840257842721</v>
      </c>
      <c r="AG57" s="511"/>
    </row>
    <row r="58" spans="1:33" ht="15.75" customHeight="1">
      <c r="A58" s="507" t="s">
        <v>2447</v>
      </c>
      <c r="B58" s="42" t="s">
        <v>100</v>
      </c>
      <c r="C58" s="490" t="s">
        <v>101</v>
      </c>
      <c r="D58" s="490"/>
      <c r="E58" s="42">
        <v>46</v>
      </c>
      <c r="F58" s="46">
        <v>1616</v>
      </c>
      <c r="G58" s="398">
        <f t="shared" ref="G58:G67" si="29">E58*F58</f>
        <v>74336</v>
      </c>
      <c r="H58" s="411" t="s">
        <v>79</v>
      </c>
      <c r="I58" s="407">
        <v>17</v>
      </c>
      <c r="J58" s="37">
        <v>2000</v>
      </c>
      <c r="K58" s="17">
        <f t="shared" si="1"/>
        <v>117.64705882352941</v>
      </c>
      <c r="L58" s="407">
        <v>17</v>
      </c>
      <c r="M58" s="18">
        <f t="shared" ref="M58:M67" si="30">F58/V58*60</f>
        <v>1939.1999999999991</v>
      </c>
      <c r="N58" s="18">
        <f t="shared" si="3"/>
        <v>114.07058823529407</v>
      </c>
      <c r="O58" s="19">
        <f t="shared" si="4"/>
        <v>0</v>
      </c>
      <c r="P58" s="20">
        <f t="shared" si="5"/>
        <v>-3.5764705882353383</v>
      </c>
      <c r="Q58" s="401">
        <f t="shared" si="6"/>
        <v>0.96959999999999957</v>
      </c>
      <c r="R58" s="489">
        <f>Q68</f>
        <v>0.93557110195531701</v>
      </c>
      <c r="S58" s="40">
        <v>0.20833333333333334</v>
      </c>
      <c r="T58" s="40">
        <v>0.24305555555555558</v>
      </c>
      <c r="U58" s="28"/>
      <c r="V58" s="408">
        <f t="shared" ref="V58:V67" si="31">(T58-S58)*24*60</f>
        <v>50.000000000000021</v>
      </c>
      <c r="W58" s="28"/>
      <c r="X58" s="28"/>
      <c r="Y58" s="28"/>
      <c r="Z58" s="28"/>
      <c r="AA58" s="491"/>
      <c r="AB58" s="491"/>
      <c r="AC58" s="154">
        <v>4</v>
      </c>
      <c r="AD58" s="25"/>
      <c r="AE58" s="19">
        <f t="shared" si="8"/>
        <v>-60.800000000000864</v>
      </c>
      <c r="AF58" s="401">
        <f t="shared" si="9"/>
        <v>0.96959999999999957</v>
      </c>
      <c r="AG58" s="489">
        <f>AF68</f>
        <v>0.93557110195531701</v>
      </c>
    </row>
    <row r="59" spans="1:33" ht="15.75" customHeight="1">
      <c r="A59" s="507" t="s">
        <v>2447</v>
      </c>
      <c r="B59" s="42" t="s">
        <v>100</v>
      </c>
      <c r="C59" s="490" t="s">
        <v>102</v>
      </c>
      <c r="D59" s="490"/>
      <c r="E59" s="42">
        <v>46</v>
      </c>
      <c r="F59" s="46">
        <v>1756</v>
      </c>
      <c r="G59" s="398">
        <f t="shared" si="29"/>
        <v>80776</v>
      </c>
      <c r="H59" s="411" t="s">
        <v>79</v>
      </c>
      <c r="I59" s="407">
        <v>17</v>
      </c>
      <c r="J59" s="37">
        <v>2000</v>
      </c>
      <c r="K59" s="17">
        <f t="shared" si="1"/>
        <v>117.64705882352941</v>
      </c>
      <c r="L59" s="407">
        <v>17</v>
      </c>
      <c r="M59" s="18">
        <f t="shared" si="30"/>
        <v>1915.6363636363649</v>
      </c>
      <c r="N59" s="18">
        <f t="shared" si="3"/>
        <v>112.6844919786097</v>
      </c>
      <c r="O59" s="19">
        <f t="shared" si="4"/>
        <v>0</v>
      </c>
      <c r="P59" s="20">
        <f t="shared" si="5"/>
        <v>-4.9625668449197065</v>
      </c>
      <c r="Q59" s="401">
        <f t="shared" si="6"/>
        <v>0.95781818181818246</v>
      </c>
      <c r="R59" s="489"/>
      <c r="S59" s="40">
        <v>0.24652777777777779</v>
      </c>
      <c r="T59" s="40">
        <v>0.28472222222222221</v>
      </c>
      <c r="U59" s="398">
        <f t="shared" ref="U59:U67" si="32">IF(S59=TIME(17,0,0),"",(S59-T58)*24*60)</f>
        <v>4.9999999999999822</v>
      </c>
      <c r="V59" s="408">
        <f t="shared" si="31"/>
        <v>54.999999999999964</v>
      </c>
      <c r="W59" s="23"/>
      <c r="X59" s="23"/>
      <c r="Y59" s="23"/>
      <c r="Z59" s="23"/>
      <c r="AA59" s="491"/>
      <c r="AB59" s="491"/>
      <c r="AC59" s="154"/>
      <c r="AD59" s="25"/>
      <c r="AE59" s="19">
        <f t="shared" si="8"/>
        <v>-84.363636363635123</v>
      </c>
      <c r="AF59" s="401">
        <f t="shared" si="9"/>
        <v>0.95781818181818246</v>
      </c>
      <c r="AG59" s="489"/>
    </row>
    <row r="60" spans="1:33" ht="15.75" customHeight="1">
      <c r="A60" s="507" t="s">
        <v>2448</v>
      </c>
      <c r="B60" s="42" t="s">
        <v>103</v>
      </c>
      <c r="C60" s="501" t="s">
        <v>105</v>
      </c>
      <c r="D60" s="502"/>
      <c r="E60" s="42">
        <v>56.43</v>
      </c>
      <c r="F60" s="46">
        <v>1883</v>
      </c>
      <c r="G60" s="398">
        <f t="shared" si="29"/>
        <v>106257.69</v>
      </c>
      <c r="H60" s="411" t="s">
        <v>79</v>
      </c>
      <c r="I60" s="407">
        <v>22</v>
      </c>
      <c r="J60" s="37">
        <v>2000</v>
      </c>
      <c r="K60" s="17">
        <f t="shared" si="1"/>
        <v>90.909090909090907</v>
      </c>
      <c r="L60" s="407">
        <v>22</v>
      </c>
      <c r="M60" s="18">
        <f t="shared" si="30"/>
        <v>1765.3124999999995</v>
      </c>
      <c r="N60" s="18">
        <f t="shared" si="3"/>
        <v>80.241477272727252</v>
      </c>
      <c r="O60" s="19">
        <f t="shared" si="4"/>
        <v>0</v>
      </c>
      <c r="P60" s="20">
        <f t="shared" si="5"/>
        <v>-10.667613636363654</v>
      </c>
      <c r="Q60" s="401">
        <f t="shared" si="6"/>
        <v>0.88265624999999981</v>
      </c>
      <c r="R60" s="489"/>
      <c r="S60" s="40">
        <v>0.28819444444444442</v>
      </c>
      <c r="T60" s="40">
        <v>0.33263888888888887</v>
      </c>
      <c r="U60" s="398">
        <f t="shared" si="32"/>
        <v>4.9999999999999822</v>
      </c>
      <c r="V60" s="408">
        <f t="shared" si="31"/>
        <v>64.000000000000014</v>
      </c>
      <c r="W60" s="23"/>
      <c r="X60" s="23"/>
      <c r="Y60" s="26"/>
      <c r="Z60" s="26"/>
      <c r="AA60" s="491"/>
      <c r="AB60" s="491"/>
      <c r="AC60" s="154"/>
      <c r="AD60" s="25"/>
      <c r="AE60" s="19">
        <f t="shared" si="8"/>
        <v>-234.68750000000045</v>
      </c>
      <c r="AF60" s="401">
        <f t="shared" si="9"/>
        <v>0.88265624999999981</v>
      </c>
      <c r="AG60" s="489"/>
    </row>
    <row r="61" spans="1:33" ht="15.75" customHeight="1">
      <c r="A61" s="507" t="s">
        <v>2447</v>
      </c>
      <c r="B61" s="42" t="s">
        <v>103</v>
      </c>
      <c r="C61" s="403" t="s">
        <v>518</v>
      </c>
      <c r="D61" s="404"/>
      <c r="E61" s="42">
        <v>51.75</v>
      </c>
      <c r="F61" s="46">
        <v>1776</v>
      </c>
      <c r="G61" s="398">
        <f t="shared" si="29"/>
        <v>91908</v>
      </c>
      <c r="H61" s="411" t="s">
        <v>79</v>
      </c>
      <c r="I61" s="407">
        <v>25</v>
      </c>
      <c r="J61" s="37">
        <v>2000</v>
      </c>
      <c r="K61" s="17">
        <f t="shared" si="1"/>
        <v>80</v>
      </c>
      <c r="L61" s="407">
        <v>25</v>
      </c>
      <c r="M61" s="18">
        <f t="shared" si="30"/>
        <v>1718.7096774193542</v>
      </c>
      <c r="N61" s="18">
        <f t="shared" si="3"/>
        <v>68.748387096774167</v>
      </c>
      <c r="O61" s="19">
        <f t="shared" si="4"/>
        <v>0</v>
      </c>
      <c r="P61" s="20">
        <f t="shared" si="5"/>
        <v>-11.251612903225833</v>
      </c>
      <c r="Q61" s="401">
        <f t="shared" si="6"/>
        <v>0.8593548387096771</v>
      </c>
      <c r="R61" s="489"/>
      <c r="S61" s="40">
        <v>0.33680555555555552</v>
      </c>
      <c r="T61" s="40">
        <v>0.37986111111111109</v>
      </c>
      <c r="U61" s="398">
        <f t="shared" si="32"/>
        <v>5.9999999999999787</v>
      </c>
      <c r="V61" s="408">
        <f t="shared" si="31"/>
        <v>62.000000000000021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-281.29032258064581</v>
      </c>
      <c r="AF61" s="401">
        <f t="shared" si="9"/>
        <v>0.8593548387096771</v>
      </c>
      <c r="AG61" s="489"/>
    </row>
    <row r="62" spans="1:33" ht="15.75" customHeight="1">
      <c r="A62" s="507" t="s">
        <v>2448</v>
      </c>
      <c r="B62" s="42" t="s">
        <v>103</v>
      </c>
      <c r="C62" s="403" t="s">
        <v>1781</v>
      </c>
      <c r="D62" s="404"/>
      <c r="E62" s="42">
        <v>54.09</v>
      </c>
      <c r="F62" s="46">
        <v>1766</v>
      </c>
      <c r="G62" s="398">
        <f t="shared" si="29"/>
        <v>95522.94</v>
      </c>
      <c r="H62" s="411" t="s">
        <v>79</v>
      </c>
      <c r="I62" s="407">
        <v>19</v>
      </c>
      <c r="J62" s="37">
        <v>2000</v>
      </c>
      <c r="K62" s="17">
        <f t="shared" si="1"/>
        <v>105.26315789473684</v>
      </c>
      <c r="L62" s="407">
        <v>19</v>
      </c>
      <c r="M62" s="18">
        <f t="shared" si="30"/>
        <v>1826.8965517241368</v>
      </c>
      <c r="N62" s="18">
        <f t="shared" si="3"/>
        <v>96.15245009074404</v>
      </c>
      <c r="O62" s="19">
        <f t="shared" si="4"/>
        <v>0</v>
      </c>
      <c r="P62" s="20">
        <f t="shared" si="5"/>
        <v>-9.1107078039927956</v>
      </c>
      <c r="Q62" s="401">
        <f t="shared" si="6"/>
        <v>0.91344827586206845</v>
      </c>
      <c r="R62" s="489"/>
      <c r="S62" s="40">
        <v>0.3833333333333333</v>
      </c>
      <c r="T62" s="40">
        <v>0.4236111111111111</v>
      </c>
      <c r="U62" s="398">
        <f t="shared" si="32"/>
        <v>4.9999999999999822</v>
      </c>
      <c r="V62" s="408">
        <f t="shared" si="31"/>
        <v>58.000000000000036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-173.10344827586323</v>
      </c>
      <c r="AF62" s="401">
        <f t="shared" si="9"/>
        <v>0.91344827586206834</v>
      </c>
      <c r="AG62" s="489"/>
    </row>
    <row r="63" spans="1:33" ht="15.75" customHeight="1">
      <c r="A63" s="507" t="s">
        <v>2448</v>
      </c>
      <c r="B63" s="42" t="s">
        <v>103</v>
      </c>
      <c r="C63" s="501" t="s">
        <v>106</v>
      </c>
      <c r="D63" s="502"/>
      <c r="E63" s="42">
        <v>55.56</v>
      </c>
      <c r="F63" s="46">
        <v>1771</v>
      </c>
      <c r="G63" s="398">
        <f t="shared" si="29"/>
        <v>98396.760000000009</v>
      </c>
      <c r="H63" s="411" t="s">
        <v>79</v>
      </c>
      <c r="I63" s="407">
        <v>17</v>
      </c>
      <c r="J63" s="37">
        <v>2000</v>
      </c>
      <c r="K63" s="17">
        <f t="shared" si="1"/>
        <v>117.64705882352941</v>
      </c>
      <c r="L63" s="407">
        <v>17</v>
      </c>
      <c r="M63" s="18">
        <f t="shared" si="30"/>
        <v>1932.0000000000014</v>
      </c>
      <c r="N63" s="18">
        <f t="shared" si="3"/>
        <v>113.64705882352949</v>
      </c>
      <c r="O63" s="19">
        <f t="shared" si="4"/>
        <v>0</v>
      </c>
      <c r="P63" s="20">
        <f t="shared" si="5"/>
        <v>-3.9999999999999147</v>
      </c>
      <c r="Q63" s="401">
        <f t="shared" si="6"/>
        <v>0.96600000000000075</v>
      </c>
      <c r="R63" s="489"/>
      <c r="S63" s="40">
        <v>0.70833333333333337</v>
      </c>
      <c r="T63" s="40">
        <v>0.74652777777777779</v>
      </c>
      <c r="U63" s="398" t="str">
        <f t="shared" si="32"/>
        <v/>
      </c>
      <c r="V63" s="408">
        <f t="shared" si="31"/>
        <v>54.999999999999964</v>
      </c>
      <c r="W63" s="23"/>
      <c r="X63" s="23"/>
      <c r="Y63" s="26"/>
      <c r="Z63" s="26"/>
      <c r="AA63" s="503"/>
      <c r="AB63" s="504"/>
      <c r="AC63" s="154"/>
      <c r="AD63" s="25"/>
      <c r="AE63" s="19">
        <f t="shared" si="8"/>
        <v>-67.999999999998636</v>
      </c>
      <c r="AF63" s="401">
        <f t="shared" si="9"/>
        <v>0.96600000000000064</v>
      </c>
      <c r="AG63" s="489"/>
    </row>
    <row r="64" spans="1:33" ht="15.75" customHeight="1">
      <c r="A64" s="507" t="s">
        <v>2448</v>
      </c>
      <c r="B64" s="42" t="s">
        <v>103</v>
      </c>
      <c r="C64" s="501" t="s">
        <v>107</v>
      </c>
      <c r="D64" s="502"/>
      <c r="E64" s="42">
        <v>55.32</v>
      </c>
      <c r="F64" s="46">
        <v>1279</v>
      </c>
      <c r="G64" s="398">
        <f t="shared" si="29"/>
        <v>70754.28</v>
      </c>
      <c r="H64" s="411" t="s">
        <v>79</v>
      </c>
      <c r="I64" s="407">
        <v>15</v>
      </c>
      <c r="J64" s="37">
        <v>2000</v>
      </c>
      <c r="K64" s="17">
        <f t="shared" si="1"/>
        <v>133.33333333333334</v>
      </c>
      <c r="L64" s="407">
        <v>15</v>
      </c>
      <c r="M64" s="18">
        <f t="shared" si="30"/>
        <v>1918.4999999999993</v>
      </c>
      <c r="N64" s="18">
        <f t="shared" si="3"/>
        <v>127.89999999999995</v>
      </c>
      <c r="O64" s="19">
        <f t="shared" si="4"/>
        <v>0</v>
      </c>
      <c r="P64" s="20">
        <f t="shared" si="5"/>
        <v>-5.433333333333394</v>
      </c>
      <c r="Q64" s="401">
        <f t="shared" si="6"/>
        <v>0.9592499999999996</v>
      </c>
      <c r="R64" s="489"/>
      <c r="S64" s="40">
        <v>0.75</v>
      </c>
      <c r="T64" s="40">
        <v>0.77777777777777779</v>
      </c>
      <c r="U64" s="398">
        <f t="shared" si="32"/>
        <v>4.9999999999999822</v>
      </c>
      <c r="V64" s="408">
        <f t="shared" si="31"/>
        <v>40.000000000000014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-81.500000000000682</v>
      </c>
      <c r="AF64" s="401">
        <f t="shared" si="9"/>
        <v>0.95924999999999971</v>
      </c>
      <c r="AG64" s="489"/>
    </row>
    <row r="65" spans="1:33" ht="15.75" customHeight="1">
      <c r="A65" s="507" t="s">
        <v>2448</v>
      </c>
      <c r="B65" s="42" t="s">
        <v>103</v>
      </c>
      <c r="C65" s="501" t="s">
        <v>108</v>
      </c>
      <c r="D65" s="502"/>
      <c r="E65" s="42">
        <v>54.29</v>
      </c>
      <c r="F65" s="46">
        <v>500</v>
      </c>
      <c r="G65" s="398">
        <f t="shared" si="29"/>
        <v>27145</v>
      </c>
      <c r="H65" s="411">
        <v>2</v>
      </c>
      <c r="I65" s="407">
        <v>20</v>
      </c>
      <c r="J65" s="37">
        <v>2000</v>
      </c>
      <c r="K65" s="17">
        <f t="shared" si="1"/>
        <v>100</v>
      </c>
      <c r="L65" s="407">
        <v>20</v>
      </c>
      <c r="M65" s="18">
        <f t="shared" si="30"/>
        <v>1874.9999999999879</v>
      </c>
      <c r="N65" s="18">
        <f t="shared" si="3"/>
        <v>93.749999999999403</v>
      </c>
      <c r="O65" s="19">
        <f t="shared" si="4"/>
        <v>0</v>
      </c>
      <c r="P65" s="20">
        <f t="shared" si="5"/>
        <v>-6.2500000000005969</v>
      </c>
      <c r="Q65" s="401">
        <f t="shared" si="6"/>
        <v>0.937499999999994</v>
      </c>
      <c r="R65" s="489"/>
      <c r="S65" s="40">
        <v>0.78263888888888888</v>
      </c>
      <c r="T65" s="40">
        <v>0.79375000000000007</v>
      </c>
      <c r="U65" s="398">
        <f t="shared" si="32"/>
        <v>6.9999999999999751</v>
      </c>
      <c r="V65" s="408">
        <f t="shared" si="31"/>
        <v>16.000000000000103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-125.00000000001205</v>
      </c>
      <c r="AF65" s="401">
        <f t="shared" si="9"/>
        <v>0.937499999999994</v>
      </c>
      <c r="AG65" s="489"/>
    </row>
    <row r="66" spans="1:33">
      <c r="A66" s="507" t="s">
        <v>2448</v>
      </c>
      <c r="B66" s="42" t="s">
        <v>103</v>
      </c>
      <c r="C66" s="501" t="s">
        <v>141</v>
      </c>
      <c r="D66" s="502"/>
      <c r="E66" s="42">
        <v>57.73</v>
      </c>
      <c r="F66" s="46">
        <v>1189</v>
      </c>
      <c r="G66" s="398">
        <f t="shared" si="29"/>
        <v>68640.97</v>
      </c>
      <c r="H66" s="411" t="s">
        <v>79</v>
      </c>
      <c r="I66" s="407">
        <v>16</v>
      </c>
      <c r="J66" s="37">
        <v>1500</v>
      </c>
      <c r="K66" s="17">
        <f t="shared" si="1"/>
        <v>93.75</v>
      </c>
      <c r="L66" s="407">
        <v>16</v>
      </c>
      <c r="M66" s="18">
        <f t="shared" si="30"/>
        <v>1426.8000000000004</v>
      </c>
      <c r="N66" s="18">
        <f t="shared" si="3"/>
        <v>89.175000000000026</v>
      </c>
      <c r="O66" s="19">
        <f t="shared" si="4"/>
        <v>0</v>
      </c>
      <c r="P66" s="20">
        <f t="shared" si="5"/>
        <v>-4.5749999999999744</v>
      </c>
      <c r="Q66" s="401">
        <f t="shared" si="6"/>
        <v>0.95120000000000027</v>
      </c>
      <c r="R66" s="489"/>
      <c r="S66" s="40">
        <v>0.79861111111111105</v>
      </c>
      <c r="T66" s="40">
        <v>0.83333333333333326</v>
      </c>
      <c r="U66" s="398">
        <f t="shared" si="32"/>
        <v>6.9999999999998153</v>
      </c>
      <c r="V66" s="408">
        <f t="shared" si="31"/>
        <v>49.999999999999986</v>
      </c>
      <c r="W66" s="23">
        <f>T66</f>
        <v>0.83333333333333326</v>
      </c>
      <c r="X66" s="23">
        <f>S67</f>
        <v>0.87569444444444433</v>
      </c>
      <c r="Y66" s="26"/>
      <c r="Z66" s="26"/>
      <c r="AA66" s="503"/>
      <c r="AB66" s="504"/>
      <c r="AC66" s="154"/>
      <c r="AD66" s="25"/>
      <c r="AE66" s="19">
        <f t="shared" si="8"/>
        <v>-73.199999999999591</v>
      </c>
      <c r="AF66" s="401">
        <f t="shared" si="9"/>
        <v>0.95120000000000027</v>
      </c>
      <c r="AG66" s="489"/>
    </row>
    <row r="67" spans="1:33">
      <c r="A67" s="507" t="s">
        <v>2447</v>
      </c>
      <c r="B67" s="42" t="s">
        <v>103</v>
      </c>
      <c r="C67" s="501" t="s">
        <v>108</v>
      </c>
      <c r="D67" s="502"/>
      <c r="E67" s="42">
        <v>54.29</v>
      </c>
      <c r="F67" s="46">
        <v>1380</v>
      </c>
      <c r="G67" s="398">
        <f t="shared" si="29"/>
        <v>74920.2</v>
      </c>
      <c r="H67" s="411" t="s">
        <v>79</v>
      </c>
      <c r="I67" s="407">
        <v>20</v>
      </c>
      <c r="J67" s="37">
        <v>2000</v>
      </c>
      <c r="K67" s="17">
        <f t="shared" si="1"/>
        <v>100</v>
      </c>
      <c r="L67" s="407">
        <v>20</v>
      </c>
      <c r="M67" s="18">
        <f t="shared" si="30"/>
        <v>1925.5813953488368</v>
      </c>
      <c r="N67" s="18">
        <f t="shared" si="3"/>
        <v>96.27906976744184</v>
      </c>
      <c r="O67" s="19">
        <f t="shared" si="4"/>
        <v>0</v>
      </c>
      <c r="P67" s="20">
        <f t="shared" si="5"/>
        <v>-3.7209302325581604</v>
      </c>
      <c r="Q67" s="401">
        <f t="shared" si="6"/>
        <v>0.96279069767441838</v>
      </c>
      <c r="R67" s="489"/>
      <c r="S67" s="40">
        <v>0.87569444444444433</v>
      </c>
      <c r="T67" s="40">
        <v>0.90555555555555545</v>
      </c>
      <c r="U67" s="398">
        <f t="shared" si="32"/>
        <v>60.999999999999943</v>
      </c>
      <c r="V67" s="408">
        <f t="shared" si="31"/>
        <v>43.000000000000007</v>
      </c>
      <c r="W67" s="23"/>
      <c r="X67" s="23"/>
      <c r="Y67" s="26"/>
      <c r="Z67" s="26"/>
      <c r="AA67" s="503"/>
      <c r="AB67" s="504"/>
      <c r="AC67" s="154"/>
      <c r="AD67" s="25"/>
      <c r="AE67" s="19">
        <f t="shared" si="8"/>
        <v>-74.41860465116315</v>
      </c>
      <c r="AF67" s="401">
        <f t="shared" si="9"/>
        <v>0.96279069767441838</v>
      </c>
      <c r="AG67" s="489"/>
    </row>
    <row r="68" spans="1:33">
      <c r="A68" s="508" t="s">
        <v>2447</v>
      </c>
      <c r="B68" s="42" t="s">
        <v>2444</v>
      </c>
      <c r="C68" s="494"/>
      <c r="D68" s="494"/>
      <c r="E68" s="402"/>
      <c r="F68" s="44"/>
      <c r="G68" s="17"/>
      <c r="H68" s="409"/>
      <c r="I68" s="30">
        <v>18.8</v>
      </c>
      <c r="J68" s="37">
        <v>1950</v>
      </c>
      <c r="K68" s="17">
        <f t="shared" si="1"/>
        <v>103.72340425531914</v>
      </c>
      <c r="L68" s="30">
        <v>18.8</v>
      </c>
      <c r="M68" s="18">
        <f>AVERAGE(M58:M67)</f>
        <v>1824.3636488128682</v>
      </c>
      <c r="N68" s="17">
        <f t="shared" si="3"/>
        <v>97.040619617705744</v>
      </c>
      <c r="O68" s="19">
        <f t="shared" si="4"/>
        <v>0</v>
      </c>
      <c r="P68" s="20">
        <f t="shared" si="5"/>
        <v>-6.6827846376133948</v>
      </c>
      <c r="Q68" s="401">
        <f t="shared" si="6"/>
        <v>0.93557110195531701</v>
      </c>
      <c r="R68" s="489"/>
      <c r="S68" s="40"/>
      <c r="T68" s="40"/>
      <c r="U68" s="398"/>
      <c r="V68" s="408"/>
      <c r="W68" s="17"/>
      <c r="X68" s="17"/>
      <c r="Y68" s="31">
        <f>SUM(Y58:Y67)</f>
        <v>0</v>
      </c>
      <c r="Z68" s="31">
        <f>SUM(Z58:Z67)</f>
        <v>0</v>
      </c>
      <c r="AA68" s="495"/>
      <c r="AB68" s="495"/>
      <c r="AC68" s="31">
        <v>4</v>
      </c>
      <c r="AD68" s="31">
        <f>SUM(AD58:AD67)</f>
        <v>0</v>
      </c>
      <c r="AE68" s="19">
        <f t="shared" si="8"/>
        <v>-125.63635118713182</v>
      </c>
      <c r="AF68" s="401">
        <f t="shared" si="9"/>
        <v>0.93557110195531701</v>
      </c>
      <c r="AG68" s="489"/>
    </row>
    <row r="69" spans="1:33" ht="15.75" customHeight="1">
      <c r="A69" s="499" t="s">
        <v>72</v>
      </c>
      <c r="B69" s="409" t="s">
        <v>100</v>
      </c>
      <c r="C69" s="490" t="s">
        <v>109</v>
      </c>
      <c r="D69" s="490"/>
      <c r="E69" s="42">
        <v>26.97</v>
      </c>
      <c r="F69" s="46">
        <v>2271</v>
      </c>
      <c r="G69" s="398">
        <f>E69*F69</f>
        <v>61248.869999999995</v>
      </c>
      <c r="H69" s="411" t="s">
        <v>79</v>
      </c>
      <c r="I69" s="407">
        <v>8</v>
      </c>
      <c r="J69" s="37">
        <v>1500</v>
      </c>
      <c r="K69" s="17">
        <f t="shared" ref="K69:K81" si="33">J69/I69</f>
        <v>187.5</v>
      </c>
      <c r="L69" s="407">
        <v>8</v>
      </c>
      <c r="M69" s="18">
        <f>F69/V69*60</f>
        <v>1434.3157894736837</v>
      </c>
      <c r="N69" s="17">
        <f t="shared" ref="N69:N81" si="34">M69/L69</f>
        <v>179.28947368421046</v>
      </c>
      <c r="O69" s="19">
        <f t="shared" ref="O69:O81" si="35">L69-I69</f>
        <v>0</v>
      </c>
      <c r="P69" s="20">
        <f t="shared" ref="P69:P81" si="36">N69-K69</f>
        <v>-8.2105263157895365</v>
      </c>
      <c r="Q69" s="401">
        <f t="shared" ref="Q69:Q81" si="37">N69/K69</f>
        <v>0.95621052631578918</v>
      </c>
      <c r="R69" s="489">
        <f>Q74</f>
        <v>0.96063677806897763</v>
      </c>
      <c r="S69" s="40">
        <v>0.20833333333333334</v>
      </c>
      <c r="T69" s="40">
        <v>0.27430555555555558</v>
      </c>
      <c r="U69" s="398"/>
      <c r="V69" s="408">
        <f>(T69-S69)*24*60</f>
        <v>95.000000000000028</v>
      </c>
      <c r="W69" s="28"/>
      <c r="X69" s="28"/>
      <c r="Y69" s="28"/>
      <c r="Z69" s="28"/>
      <c r="AA69" s="491"/>
      <c r="AB69" s="491"/>
      <c r="AC69" s="154">
        <v>1</v>
      </c>
      <c r="AD69" s="25"/>
      <c r="AE69" s="19">
        <f t="shared" ref="AE69:AE81" si="38">M69-J69</f>
        <v>-65.684210526316292</v>
      </c>
      <c r="AF69" s="401">
        <f t="shared" ref="AF69:AF81" si="39">M69/J69</f>
        <v>0.95621052631578918</v>
      </c>
      <c r="AG69" s="489">
        <f>AF74</f>
        <v>0.96063677806897774</v>
      </c>
    </row>
    <row r="70" spans="1:33" ht="15.75" customHeight="1">
      <c r="A70" s="499" t="s">
        <v>72</v>
      </c>
      <c r="B70" s="409" t="s">
        <v>100</v>
      </c>
      <c r="C70" s="490" t="s">
        <v>519</v>
      </c>
      <c r="D70" s="490"/>
      <c r="E70" s="42">
        <v>27.4</v>
      </c>
      <c r="F70" s="46">
        <v>2079</v>
      </c>
      <c r="G70" s="398">
        <f>E70*F70</f>
        <v>56964.6</v>
      </c>
      <c r="H70" s="411" t="s">
        <v>79</v>
      </c>
      <c r="I70" s="407">
        <v>10</v>
      </c>
      <c r="J70" s="37">
        <v>1500</v>
      </c>
      <c r="K70" s="17">
        <f t="shared" si="33"/>
        <v>150</v>
      </c>
      <c r="L70" s="407">
        <v>10</v>
      </c>
      <c r="M70" s="18">
        <f>F70/V70*60</f>
        <v>1433.7931034482758</v>
      </c>
      <c r="N70" s="17">
        <f t="shared" si="34"/>
        <v>143.37931034482759</v>
      </c>
      <c r="O70" s="19">
        <f t="shared" si="35"/>
        <v>0</v>
      </c>
      <c r="P70" s="20">
        <f t="shared" si="36"/>
        <v>-6.6206896551724128</v>
      </c>
      <c r="Q70" s="401">
        <f t="shared" si="37"/>
        <v>0.95586206896551729</v>
      </c>
      <c r="R70" s="489"/>
      <c r="S70" s="40">
        <v>0.27986111111111112</v>
      </c>
      <c r="T70" s="40">
        <v>0.34027777777777779</v>
      </c>
      <c r="U70" s="398">
        <f>(S70-T69)*24*60</f>
        <v>7.9999999999999716</v>
      </c>
      <c r="V70" s="408">
        <f>(T70-S70)*24*60</f>
        <v>87.000000000000014</v>
      </c>
      <c r="W70" s="398"/>
      <c r="X70" s="398"/>
      <c r="Y70" s="398"/>
      <c r="Z70" s="398"/>
      <c r="AA70" s="491"/>
      <c r="AB70" s="491"/>
      <c r="AC70" s="154"/>
      <c r="AD70" s="25"/>
      <c r="AE70" s="19">
        <f t="shared" si="38"/>
        <v>-66.206896551724185</v>
      </c>
      <c r="AF70" s="401">
        <f t="shared" si="39"/>
        <v>0.95586206896551718</v>
      </c>
      <c r="AG70" s="489"/>
    </row>
    <row r="71" spans="1:33" ht="15.75" customHeight="1">
      <c r="A71" s="499" t="s">
        <v>72</v>
      </c>
      <c r="B71" s="409" t="s">
        <v>93</v>
      </c>
      <c r="C71" s="490" t="s">
        <v>97</v>
      </c>
      <c r="D71" s="490"/>
      <c r="E71" s="42">
        <v>31</v>
      </c>
      <c r="F71" s="46">
        <v>934</v>
      </c>
      <c r="G71" s="398">
        <f>E71*F71</f>
        <v>28954</v>
      </c>
      <c r="H71" s="411" t="s">
        <v>79</v>
      </c>
      <c r="I71" s="407">
        <v>13</v>
      </c>
      <c r="J71" s="37">
        <v>2000</v>
      </c>
      <c r="K71" s="17">
        <f t="shared" si="33"/>
        <v>153.84615384615384</v>
      </c>
      <c r="L71" s="407">
        <v>13</v>
      </c>
      <c r="M71" s="18">
        <f>F71/V71*60</f>
        <v>1932.4137931034497</v>
      </c>
      <c r="N71" s="17">
        <f t="shared" si="34"/>
        <v>148.64721485411152</v>
      </c>
      <c r="O71" s="19">
        <f t="shared" si="35"/>
        <v>0</v>
      </c>
      <c r="P71" s="20">
        <f t="shared" si="36"/>
        <v>-5.198938992042315</v>
      </c>
      <c r="Q71" s="401">
        <f t="shared" si="37"/>
        <v>0.96620689655172498</v>
      </c>
      <c r="R71" s="489"/>
      <c r="S71" s="40">
        <v>0.34513888888888888</v>
      </c>
      <c r="T71" s="40">
        <v>0.36527777777777776</v>
      </c>
      <c r="U71" s="398">
        <f>(S71-T70)*24*60</f>
        <v>6.9999999999999751</v>
      </c>
      <c r="V71" s="408">
        <f>(T71-S71)*24*60</f>
        <v>28.999999999999979</v>
      </c>
      <c r="W71" s="398"/>
      <c r="X71" s="398"/>
      <c r="Y71" s="398"/>
      <c r="Z71" s="398"/>
      <c r="AA71" s="491"/>
      <c r="AB71" s="491"/>
      <c r="AC71" s="154" t="s">
        <v>79</v>
      </c>
      <c r="AD71" s="25"/>
      <c r="AE71" s="19">
        <f t="shared" si="38"/>
        <v>-67.586206896550266</v>
      </c>
      <c r="AF71" s="401">
        <f t="shared" si="39"/>
        <v>0.96620689655172487</v>
      </c>
      <c r="AG71" s="489"/>
    </row>
    <row r="72" spans="1:33" ht="15.75" customHeight="1">
      <c r="A72" s="499" t="s">
        <v>72</v>
      </c>
      <c r="B72" s="409" t="s">
        <v>93</v>
      </c>
      <c r="C72" s="490" t="s">
        <v>1235</v>
      </c>
      <c r="D72" s="490"/>
      <c r="E72" s="42">
        <v>37.85</v>
      </c>
      <c r="F72" s="46">
        <v>2638</v>
      </c>
      <c r="G72" s="398">
        <f>E72*F72</f>
        <v>99848.3</v>
      </c>
      <c r="H72" s="411" t="s">
        <v>79</v>
      </c>
      <c r="I72" s="407">
        <v>12</v>
      </c>
      <c r="J72" s="37">
        <v>2000</v>
      </c>
      <c r="K72" s="17">
        <f t="shared" si="33"/>
        <v>166.66666666666666</v>
      </c>
      <c r="L72" s="407">
        <v>12</v>
      </c>
      <c r="M72" s="18">
        <f>F72/V72*60</f>
        <v>1906.9879518072282</v>
      </c>
      <c r="N72" s="17">
        <f t="shared" si="34"/>
        <v>158.91566265060234</v>
      </c>
      <c r="O72" s="19">
        <f t="shared" si="35"/>
        <v>0</v>
      </c>
      <c r="P72" s="20">
        <f t="shared" si="36"/>
        <v>-7.7510040160643143</v>
      </c>
      <c r="Q72" s="401">
        <f t="shared" si="37"/>
        <v>0.95349397590361407</v>
      </c>
      <c r="R72" s="489"/>
      <c r="S72" s="40">
        <v>0.36944444444444441</v>
      </c>
      <c r="T72" s="40">
        <v>0.42708333333333331</v>
      </c>
      <c r="U72" s="398">
        <f>(S72-T71)*24*60</f>
        <v>5.9999999999999787</v>
      </c>
      <c r="V72" s="408">
        <f>(T72-S72)*24*60</f>
        <v>83.000000000000028</v>
      </c>
      <c r="W72" s="398"/>
      <c r="X72" s="398"/>
      <c r="Y72" s="398"/>
      <c r="Z72" s="398"/>
      <c r="AA72" s="491"/>
      <c r="AB72" s="491"/>
      <c r="AC72" s="154" t="s">
        <v>79</v>
      </c>
      <c r="AD72" s="25"/>
      <c r="AE72" s="19">
        <f t="shared" si="38"/>
        <v>-93.012048192771772</v>
      </c>
      <c r="AF72" s="401">
        <f t="shared" si="39"/>
        <v>0.95349397590361407</v>
      </c>
      <c r="AG72" s="489"/>
    </row>
    <row r="73" spans="1:33">
      <c r="A73" s="500" t="s">
        <v>72</v>
      </c>
      <c r="B73" s="409" t="s">
        <v>93</v>
      </c>
      <c r="C73" s="490" t="s">
        <v>113</v>
      </c>
      <c r="D73" s="490"/>
      <c r="E73" s="42">
        <v>34.36</v>
      </c>
      <c r="F73" s="46">
        <v>1691</v>
      </c>
      <c r="G73" s="398">
        <f>E73*F73</f>
        <v>58102.76</v>
      </c>
      <c r="H73" s="411" t="s">
        <v>79</v>
      </c>
      <c r="I73" s="407">
        <v>10</v>
      </c>
      <c r="J73" s="37">
        <v>3000</v>
      </c>
      <c r="K73" s="17">
        <f t="shared" si="33"/>
        <v>300</v>
      </c>
      <c r="L73" s="407">
        <v>10</v>
      </c>
      <c r="M73" s="18">
        <f>F73/V73*60</f>
        <v>2898.8571428571399</v>
      </c>
      <c r="N73" s="17">
        <f t="shared" si="34"/>
        <v>289.88571428571402</v>
      </c>
      <c r="O73" s="19">
        <f t="shared" si="35"/>
        <v>0</v>
      </c>
      <c r="P73" s="20">
        <f t="shared" si="36"/>
        <v>-10.114285714285984</v>
      </c>
      <c r="Q73" s="401">
        <f t="shared" si="37"/>
        <v>0.96628571428571342</v>
      </c>
      <c r="R73" s="489"/>
      <c r="S73" s="40">
        <v>0.43124999999999997</v>
      </c>
      <c r="T73" s="40">
        <v>0.45555555555555555</v>
      </c>
      <c r="U73" s="398">
        <f>(S73-T72)*24*60</f>
        <v>5.9999999999999787</v>
      </c>
      <c r="V73" s="408">
        <f>(T73-S73)*24*60</f>
        <v>35.000000000000036</v>
      </c>
      <c r="W73" s="23"/>
      <c r="X73" s="23"/>
      <c r="Y73" s="23"/>
      <c r="Z73" s="23"/>
      <c r="AA73" s="491"/>
      <c r="AB73" s="491"/>
      <c r="AC73" s="154" t="s">
        <v>79</v>
      </c>
      <c r="AD73" s="25"/>
      <c r="AE73" s="19">
        <f t="shared" si="38"/>
        <v>-101.14285714286007</v>
      </c>
      <c r="AF73" s="401">
        <f t="shared" si="39"/>
        <v>0.9662857142857133</v>
      </c>
      <c r="AG73" s="489"/>
    </row>
    <row r="74" spans="1:33">
      <c r="A74" s="500" t="s">
        <v>72</v>
      </c>
      <c r="B74" s="42" t="s">
        <v>71</v>
      </c>
      <c r="C74" s="494"/>
      <c r="D74" s="494"/>
      <c r="E74" s="402"/>
      <c r="F74" s="44"/>
      <c r="G74" s="17"/>
      <c r="H74" s="409"/>
      <c r="I74" s="30">
        <v>10.6</v>
      </c>
      <c r="J74" s="37">
        <v>2000</v>
      </c>
      <c r="K74" s="17">
        <f t="shared" si="33"/>
        <v>188.67924528301887</v>
      </c>
      <c r="L74" s="30">
        <v>10.6</v>
      </c>
      <c r="M74" s="18">
        <f>AVERAGE(M69:M73)</f>
        <v>1921.2735561379554</v>
      </c>
      <c r="N74" s="17">
        <f t="shared" si="34"/>
        <v>181.2522222771656</v>
      </c>
      <c r="O74" s="19">
        <f t="shared" si="35"/>
        <v>0</v>
      </c>
      <c r="P74" s="20">
        <f t="shared" si="36"/>
        <v>-7.4270230058532718</v>
      </c>
      <c r="Q74" s="401">
        <f t="shared" si="37"/>
        <v>0.96063677806897763</v>
      </c>
      <c r="R74" s="489"/>
      <c r="S74" s="40"/>
      <c r="T74" s="40"/>
      <c r="U74" s="17"/>
      <c r="V74" s="408"/>
      <c r="W74" s="17"/>
      <c r="X74" s="17"/>
      <c r="Y74" s="31">
        <f>SUM(Y69:Y73)</f>
        <v>0</v>
      </c>
      <c r="Z74" s="31">
        <f>SUM(Z69:Z73)</f>
        <v>0</v>
      </c>
      <c r="AA74" s="495"/>
      <c r="AB74" s="495"/>
      <c r="AC74" s="31">
        <v>1</v>
      </c>
      <c r="AD74" s="31">
        <f>SUM(AD69:AD73)</f>
        <v>0</v>
      </c>
      <c r="AE74" s="19">
        <f t="shared" si="38"/>
        <v>-78.726443862044562</v>
      </c>
      <c r="AF74" s="401">
        <f t="shared" si="39"/>
        <v>0.96063677806897774</v>
      </c>
      <c r="AG74" s="489"/>
    </row>
    <row r="75" spans="1:33" ht="15.75" customHeight="1">
      <c r="A75" s="496" t="s">
        <v>75</v>
      </c>
      <c r="B75" s="409" t="s">
        <v>80</v>
      </c>
      <c r="C75" s="490" t="s">
        <v>115</v>
      </c>
      <c r="D75" s="490"/>
      <c r="E75" s="42">
        <v>20.2</v>
      </c>
      <c r="F75" s="409">
        <v>1913</v>
      </c>
      <c r="G75" s="398">
        <f t="shared" ref="G75:G80" si="40">E75*F75</f>
        <v>38642.6</v>
      </c>
      <c r="H75" s="411" t="s">
        <v>79</v>
      </c>
      <c r="I75" s="407">
        <v>19</v>
      </c>
      <c r="J75" s="37">
        <v>2400</v>
      </c>
      <c r="K75" s="17">
        <f t="shared" si="33"/>
        <v>126.31578947368421</v>
      </c>
      <c r="L75" s="407">
        <v>19</v>
      </c>
      <c r="M75" s="18">
        <f t="shared" ref="M75:M80" si="41">F75/V75*60</f>
        <v>2295.6000000000008</v>
      </c>
      <c r="N75" s="17">
        <f t="shared" si="34"/>
        <v>120.82105263157899</v>
      </c>
      <c r="O75" s="19">
        <f t="shared" si="35"/>
        <v>0</v>
      </c>
      <c r="P75" s="20">
        <f t="shared" si="36"/>
        <v>-5.4947368421052118</v>
      </c>
      <c r="Q75" s="401">
        <f t="shared" si="37"/>
        <v>0.95650000000000035</v>
      </c>
      <c r="R75" s="489">
        <f>Q81</f>
        <v>0.95515083045795091</v>
      </c>
      <c r="S75" s="40">
        <v>0.125</v>
      </c>
      <c r="T75" s="40">
        <v>0.15972222222222221</v>
      </c>
      <c r="U75" s="28"/>
      <c r="V75" s="408">
        <f t="shared" ref="V75:V80" si="42">(T75-S75)*24*60</f>
        <v>49.999999999999986</v>
      </c>
      <c r="W75" s="23">
        <f>T75</f>
        <v>0.15972222222222221</v>
      </c>
      <c r="X75" s="23">
        <f>S76</f>
        <v>0.17986111111111111</v>
      </c>
      <c r="Y75" s="23"/>
      <c r="Z75" s="23"/>
      <c r="AA75" s="491"/>
      <c r="AB75" s="491"/>
      <c r="AC75" s="154">
        <v>7</v>
      </c>
      <c r="AD75" s="25"/>
      <c r="AE75" s="19">
        <f t="shared" si="38"/>
        <v>-104.39999999999918</v>
      </c>
      <c r="AF75" s="401">
        <f t="shared" si="39"/>
        <v>0.95650000000000035</v>
      </c>
      <c r="AG75" s="489">
        <f>AF81</f>
        <v>0.95515083045795091</v>
      </c>
    </row>
    <row r="76" spans="1:33" ht="15.75" customHeight="1">
      <c r="A76" s="497" t="s">
        <v>75</v>
      </c>
      <c r="B76" s="409" t="s">
        <v>80</v>
      </c>
      <c r="C76" s="490" t="s">
        <v>116</v>
      </c>
      <c r="D76" s="490"/>
      <c r="E76" s="42">
        <v>20.52</v>
      </c>
      <c r="F76" s="409">
        <v>2728</v>
      </c>
      <c r="G76" s="398">
        <f t="shared" si="40"/>
        <v>55978.559999999998</v>
      </c>
      <c r="H76" s="411" t="s">
        <v>79</v>
      </c>
      <c r="I76" s="407">
        <v>18</v>
      </c>
      <c r="J76" s="37">
        <v>2400</v>
      </c>
      <c r="K76" s="17">
        <f t="shared" si="33"/>
        <v>133.33333333333334</v>
      </c>
      <c r="L76" s="407">
        <v>18</v>
      </c>
      <c r="M76" s="18">
        <f t="shared" si="41"/>
        <v>2305.352112676057</v>
      </c>
      <c r="N76" s="17">
        <f t="shared" si="34"/>
        <v>128.07511737089206</v>
      </c>
      <c r="O76" s="19">
        <f t="shared" si="35"/>
        <v>0</v>
      </c>
      <c r="P76" s="20">
        <f t="shared" si="36"/>
        <v>-5.2582159624412839</v>
      </c>
      <c r="Q76" s="401">
        <f t="shared" si="37"/>
        <v>0.96056338028169042</v>
      </c>
      <c r="R76" s="489"/>
      <c r="S76" s="40">
        <v>0.17986111111111111</v>
      </c>
      <c r="T76" s="40">
        <v>0.22916666666666666</v>
      </c>
      <c r="U76" s="398">
        <f>(S76-T75)*24*60</f>
        <v>29.000000000000018</v>
      </c>
      <c r="V76" s="408">
        <f t="shared" si="42"/>
        <v>70.999999999999986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38"/>
        <v>-94.647887323942996</v>
      </c>
      <c r="AF76" s="401">
        <f t="shared" si="39"/>
        <v>0.96056338028169042</v>
      </c>
      <c r="AG76" s="489"/>
    </row>
    <row r="77" spans="1:33" ht="15.75" customHeight="1">
      <c r="A77" s="497" t="s">
        <v>75</v>
      </c>
      <c r="B77" s="409" t="s">
        <v>80</v>
      </c>
      <c r="C77" s="490" t="s">
        <v>119</v>
      </c>
      <c r="D77" s="490"/>
      <c r="E77" s="42">
        <v>19.02</v>
      </c>
      <c r="F77" s="409">
        <v>4300</v>
      </c>
      <c r="G77" s="398">
        <f t="shared" si="40"/>
        <v>81786</v>
      </c>
      <c r="H77" s="411">
        <v>2</v>
      </c>
      <c r="I77" s="407">
        <v>15</v>
      </c>
      <c r="J77" s="37">
        <v>2400</v>
      </c>
      <c r="K77" s="17">
        <f t="shared" si="33"/>
        <v>160</v>
      </c>
      <c r="L77" s="407">
        <v>15</v>
      </c>
      <c r="M77" s="18">
        <f t="shared" si="41"/>
        <v>2283.1858407079635</v>
      </c>
      <c r="N77" s="17">
        <f t="shared" si="34"/>
        <v>152.21238938053091</v>
      </c>
      <c r="O77" s="19">
        <f t="shared" si="35"/>
        <v>0</v>
      </c>
      <c r="P77" s="20">
        <f t="shared" si="36"/>
        <v>-7.7876106194690919</v>
      </c>
      <c r="Q77" s="401">
        <f t="shared" si="37"/>
        <v>0.95132743362831818</v>
      </c>
      <c r="R77" s="489"/>
      <c r="S77" s="40">
        <v>0.23263888888888887</v>
      </c>
      <c r="T77" s="40">
        <v>0.31111111111111112</v>
      </c>
      <c r="U77" s="398">
        <f>(S77-T76)*24*60</f>
        <v>4.9999999999999822</v>
      </c>
      <c r="V77" s="408">
        <f t="shared" si="42"/>
        <v>113.00000000000004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38"/>
        <v>-116.81415929203649</v>
      </c>
      <c r="AF77" s="401">
        <f t="shared" si="39"/>
        <v>0.95132743362831818</v>
      </c>
      <c r="AG77" s="489"/>
    </row>
    <row r="78" spans="1:33" ht="15.75" customHeight="1">
      <c r="A78" s="497" t="s">
        <v>75</v>
      </c>
      <c r="B78" s="409" t="s">
        <v>80</v>
      </c>
      <c r="C78" s="490" t="s">
        <v>117</v>
      </c>
      <c r="D78" s="490"/>
      <c r="E78" s="42">
        <v>24.43</v>
      </c>
      <c r="F78" s="409">
        <v>5481</v>
      </c>
      <c r="G78" s="398">
        <f t="shared" si="40"/>
        <v>133900.82999999999</v>
      </c>
      <c r="H78" s="411" t="s">
        <v>79</v>
      </c>
      <c r="I78" s="407">
        <v>14</v>
      </c>
      <c r="J78" s="37">
        <v>2400</v>
      </c>
      <c r="K78" s="17">
        <f t="shared" si="33"/>
        <v>171.42857142857142</v>
      </c>
      <c r="L78" s="407">
        <v>14</v>
      </c>
      <c r="M78" s="18">
        <f t="shared" si="41"/>
        <v>2299.7202797202799</v>
      </c>
      <c r="N78" s="17">
        <f t="shared" si="34"/>
        <v>164.26573426573427</v>
      </c>
      <c r="O78" s="19">
        <f t="shared" si="35"/>
        <v>0</v>
      </c>
      <c r="P78" s="20">
        <f t="shared" si="36"/>
        <v>-7.1628371628371497</v>
      </c>
      <c r="Q78" s="401">
        <f t="shared" si="37"/>
        <v>0.95821678321678327</v>
      </c>
      <c r="R78" s="489"/>
      <c r="S78" s="40">
        <v>0.31666666666666665</v>
      </c>
      <c r="T78" s="40">
        <v>0.41597222222222219</v>
      </c>
      <c r="U78" s="398">
        <f>(S78-T77)*24*60</f>
        <v>7.9999999999999716</v>
      </c>
      <c r="V78" s="408">
        <f t="shared" si="42"/>
        <v>142.99999999999997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38"/>
        <v>-100.2797202797201</v>
      </c>
      <c r="AF78" s="401">
        <f t="shared" si="39"/>
        <v>0.95821678321678327</v>
      </c>
      <c r="AG78" s="489"/>
    </row>
    <row r="79" spans="1:33" ht="15.75" customHeight="1">
      <c r="A79" s="497" t="s">
        <v>75</v>
      </c>
      <c r="B79" s="409" t="s">
        <v>80</v>
      </c>
      <c r="C79" s="490" t="s">
        <v>118</v>
      </c>
      <c r="D79" s="490"/>
      <c r="E79" s="42">
        <v>20.21</v>
      </c>
      <c r="F79" s="409">
        <v>3238</v>
      </c>
      <c r="G79" s="398">
        <f t="shared" si="40"/>
        <v>65439.98</v>
      </c>
      <c r="H79" s="411" t="s">
        <v>79</v>
      </c>
      <c r="I79" s="407">
        <v>16</v>
      </c>
      <c r="J79" s="37">
        <v>2400</v>
      </c>
      <c r="K79" s="17">
        <f t="shared" si="33"/>
        <v>150</v>
      </c>
      <c r="L79" s="407">
        <v>16</v>
      </c>
      <c r="M79" s="18">
        <f t="shared" si="41"/>
        <v>2285.6470588235288</v>
      </c>
      <c r="N79" s="17">
        <f t="shared" si="34"/>
        <v>142.85294117647055</v>
      </c>
      <c r="O79" s="19">
        <f t="shared" si="35"/>
        <v>0</v>
      </c>
      <c r="P79" s="20">
        <f t="shared" si="36"/>
        <v>-7.1470588235294485</v>
      </c>
      <c r="Q79" s="401">
        <f t="shared" si="37"/>
        <v>0.95235294117647029</v>
      </c>
      <c r="R79" s="489"/>
      <c r="S79" s="40">
        <v>0.4194444444444444</v>
      </c>
      <c r="T79" s="40">
        <v>0.47847222222222219</v>
      </c>
      <c r="U79" s="398">
        <f>(S79-T78)*24*60</f>
        <v>4.9999999999999822</v>
      </c>
      <c r="V79" s="408">
        <f t="shared" si="42"/>
        <v>85.000000000000014</v>
      </c>
      <c r="W79" s="23">
        <f>T79</f>
        <v>0.47847222222222219</v>
      </c>
      <c r="X79" s="23">
        <f>S80</f>
        <v>0.51666666666666661</v>
      </c>
      <c r="Y79" s="23"/>
      <c r="Z79" s="23"/>
      <c r="AA79" s="491"/>
      <c r="AB79" s="491"/>
      <c r="AC79" s="154"/>
      <c r="AD79" s="25"/>
      <c r="AE79" s="19">
        <f t="shared" si="38"/>
        <v>-114.35294117647118</v>
      </c>
      <c r="AF79" s="401">
        <f t="shared" si="39"/>
        <v>0.95235294117647029</v>
      </c>
      <c r="AG79" s="489"/>
    </row>
    <row r="80" spans="1:33" ht="15.75" customHeight="1">
      <c r="A80" s="497" t="s">
        <v>75</v>
      </c>
      <c r="B80" s="409" t="s">
        <v>80</v>
      </c>
      <c r="C80" s="490" t="s">
        <v>119</v>
      </c>
      <c r="D80" s="490"/>
      <c r="E80" s="42">
        <v>19.02</v>
      </c>
      <c r="F80" s="409">
        <v>3427</v>
      </c>
      <c r="G80" s="398">
        <f t="shared" si="40"/>
        <v>65181.54</v>
      </c>
      <c r="H80" s="411" t="s">
        <v>79</v>
      </c>
      <c r="I80" s="407">
        <v>15</v>
      </c>
      <c r="J80" s="37">
        <v>2400</v>
      </c>
      <c r="K80" s="17">
        <f t="shared" si="33"/>
        <v>160</v>
      </c>
      <c r="L80" s="407">
        <v>15</v>
      </c>
      <c r="M80" s="18">
        <f t="shared" si="41"/>
        <v>2284.6666666666665</v>
      </c>
      <c r="N80" s="17">
        <f t="shared" si="34"/>
        <v>152.3111111111111</v>
      </c>
      <c r="O80" s="19">
        <f t="shared" si="35"/>
        <v>0</v>
      </c>
      <c r="P80" s="20">
        <f t="shared" si="36"/>
        <v>-7.6888888888888971</v>
      </c>
      <c r="Q80" s="401">
        <f t="shared" si="37"/>
        <v>0.95194444444444437</v>
      </c>
      <c r="R80" s="489"/>
      <c r="S80" s="40">
        <v>0.51666666666666661</v>
      </c>
      <c r="T80" s="40">
        <v>0.57916666666666661</v>
      </c>
      <c r="U80" s="398">
        <f>(S80-T79)*24*60</f>
        <v>54.999999999999964</v>
      </c>
      <c r="V80" s="408">
        <f t="shared" si="42"/>
        <v>90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38"/>
        <v>-115.33333333333348</v>
      </c>
      <c r="AF80" s="401">
        <f t="shared" si="39"/>
        <v>0.95194444444444437</v>
      </c>
      <c r="AG80" s="489"/>
    </row>
    <row r="81" spans="1:33" ht="16.5" customHeight="1">
      <c r="A81" s="498" t="s">
        <v>75</v>
      </c>
      <c r="B81" s="42" t="s">
        <v>71</v>
      </c>
      <c r="C81" s="492"/>
      <c r="D81" s="493"/>
      <c r="E81" s="402"/>
      <c r="F81" s="44"/>
      <c r="G81" s="17"/>
      <c r="H81" s="409"/>
      <c r="I81" s="30">
        <v>16.166666666666668</v>
      </c>
      <c r="J81" s="37">
        <v>2400</v>
      </c>
      <c r="K81" s="17">
        <f t="shared" si="33"/>
        <v>148.45360824742266</v>
      </c>
      <c r="L81" s="30">
        <v>16.166666666666668</v>
      </c>
      <c r="M81" s="18">
        <f>AVERAGE(M75:M80)</f>
        <v>2292.3619930990822</v>
      </c>
      <c r="N81" s="17">
        <f t="shared" si="34"/>
        <v>141.79558720200507</v>
      </c>
      <c r="O81" s="19">
        <f t="shared" si="35"/>
        <v>0</v>
      </c>
      <c r="P81" s="20">
        <f t="shared" si="36"/>
        <v>-6.6580210454175983</v>
      </c>
      <c r="Q81" s="401">
        <f t="shared" si="37"/>
        <v>0.95515083045795091</v>
      </c>
      <c r="R81" s="489"/>
      <c r="S81" s="40"/>
      <c r="T81" s="40"/>
      <c r="U81" s="17"/>
      <c r="V81" s="408"/>
      <c r="W81" s="17"/>
      <c r="X81" s="17"/>
      <c r="Y81" s="31">
        <f>SUM(Y75:Y80)</f>
        <v>0</v>
      </c>
      <c r="Z81" s="31">
        <f>SUM(Z75:Z80)</f>
        <v>0</v>
      </c>
      <c r="AA81" s="495"/>
      <c r="AB81" s="495"/>
      <c r="AC81" s="31">
        <v>7</v>
      </c>
      <c r="AD81" s="31">
        <f>SUM(AD75:AD80)</f>
        <v>0</v>
      </c>
      <c r="AE81" s="19">
        <f t="shared" si="38"/>
        <v>-107.63800690091784</v>
      </c>
      <c r="AF81" s="401">
        <f t="shared" si="39"/>
        <v>0.95515083045795091</v>
      </c>
      <c r="AG81" s="489"/>
    </row>
    <row r="82" spans="1:33">
      <c r="B82" s="38"/>
      <c r="C82" s="38"/>
      <c r="D82" s="250"/>
      <c r="E82" s="250"/>
      <c r="F82" s="38"/>
    </row>
  </sheetData>
  <mergeCells count="214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5:A22"/>
    <mergeCell ref="C15:D15"/>
    <mergeCell ref="R15:R22"/>
    <mergeCell ref="AA15:AB15"/>
    <mergeCell ref="AG15:AG22"/>
    <mergeCell ref="C10:D10"/>
    <mergeCell ref="AA10:AB10"/>
    <mergeCell ref="C11:D11"/>
    <mergeCell ref="AA11:AB11"/>
    <mergeCell ref="A12:A14"/>
    <mergeCell ref="C12:D12"/>
    <mergeCell ref="R12:R14"/>
    <mergeCell ref="AA12:AB12"/>
    <mergeCell ref="A5:A1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AA14:AB14"/>
    <mergeCell ref="AG23:AG30"/>
    <mergeCell ref="C24:D24"/>
    <mergeCell ref="AA24:AB24"/>
    <mergeCell ref="C25:D25"/>
    <mergeCell ref="AA25:AB25"/>
    <mergeCell ref="C26:D26"/>
    <mergeCell ref="C19:D19"/>
    <mergeCell ref="AA19:AB19"/>
    <mergeCell ref="C20:D20"/>
    <mergeCell ref="AA20:AB20"/>
    <mergeCell ref="AA21:AB21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23:A30"/>
    <mergeCell ref="C23:D23"/>
    <mergeCell ref="R23:R30"/>
    <mergeCell ref="AA23:AB23"/>
    <mergeCell ref="C30:D30"/>
    <mergeCell ref="AA30:AB30"/>
    <mergeCell ref="A31:A37"/>
    <mergeCell ref="C31:D31"/>
    <mergeCell ref="R31:R37"/>
    <mergeCell ref="AA31:AB31"/>
    <mergeCell ref="AA36:AB36"/>
    <mergeCell ref="C37:D37"/>
    <mergeCell ref="AA37:AB37"/>
    <mergeCell ref="AG38:AG46"/>
    <mergeCell ref="C39:D39"/>
    <mergeCell ref="AA39:AB39"/>
    <mergeCell ref="C40:D40"/>
    <mergeCell ref="AA40:AB40"/>
    <mergeCell ref="C41:D41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1:AB41"/>
    <mergeCell ref="C42:D42"/>
    <mergeCell ref="AA42:AB42"/>
    <mergeCell ref="C43:D43"/>
    <mergeCell ref="AA43:AB43"/>
    <mergeCell ref="C44:D44"/>
    <mergeCell ref="AA44:AB44"/>
    <mergeCell ref="A38:A46"/>
    <mergeCell ref="C38:D38"/>
    <mergeCell ref="R38:R46"/>
    <mergeCell ref="AA38:AB38"/>
    <mergeCell ref="C45:D45"/>
    <mergeCell ref="AA45:AB45"/>
    <mergeCell ref="C46:D46"/>
    <mergeCell ref="AA46:AB46"/>
    <mergeCell ref="A47:A57"/>
    <mergeCell ref="C47:D47"/>
    <mergeCell ref="R47:R57"/>
    <mergeCell ref="AA47:AB47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AG47:AG57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C52:D52"/>
    <mergeCell ref="C57:D57"/>
    <mergeCell ref="AA57:AB57"/>
    <mergeCell ref="A58:A68"/>
    <mergeCell ref="C58:D58"/>
    <mergeCell ref="R58:R68"/>
    <mergeCell ref="AA58:AB58"/>
    <mergeCell ref="AA64:AB64"/>
    <mergeCell ref="C65:D65"/>
    <mergeCell ref="AA65:AB65"/>
    <mergeCell ref="C66:D66"/>
    <mergeCell ref="AG58:AG68"/>
    <mergeCell ref="C59:D59"/>
    <mergeCell ref="AA59:AB59"/>
    <mergeCell ref="C60:D60"/>
    <mergeCell ref="AA60:AB60"/>
    <mergeCell ref="AA61:AB61"/>
    <mergeCell ref="AA62:AB62"/>
    <mergeCell ref="C63:D63"/>
    <mergeCell ref="AA63:AB63"/>
    <mergeCell ref="C64:D64"/>
    <mergeCell ref="AA66:AB66"/>
    <mergeCell ref="C67:D67"/>
    <mergeCell ref="AA67:AB67"/>
    <mergeCell ref="C68:D68"/>
    <mergeCell ref="AA68:AB68"/>
    <mergeCell ref="A69:A74"/>
    <mergeCell ref="C69:D69"/>
    <mergeCell ref="R69:R74"/>
    <mergeCell ref="AA69:AB69"/>
    <mergeCell ref="AA74:AB74"/>
    <mergeCell ref="AG75:AG81"/>
    <mergeCell ref="C76:D76"/>
    <mergeCell ref="AA76:AB76"/>
    <mergeCell ref="C77:D77"/>
    <mergeCell ref="AA77:AB77"/>
    <mergeCell ref="C78:D78"/>
    <mergeCell ref="AG69:AG74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  <mergeCell ref="AA78:AB78"/>
    <mergeCell ref="C79:D79"/>
    <mergeCell ref="AA79:AB79"/>
    <mergeCell ref="C80:D80"/>
    <mergeCell ref="AA80:AB80"/>
    <mergeCell ref="C81:D81"/>
    <mergeCell ref="AA81:AB81"/>
    <mergeCell ref="A75:A81"/>
    <mergeCell ref="C75:D75"/>
    <mergeCell ref="R75:R81"/>
    <mergeCell ref="AA75:AB75"/>
  </mergeCells>
  <phoneticPr fontId="3" type="noConversion"/>
  <conditionalFormatting sqref="O68:O69 O72:O81 O5:O12 O14:O16 O57:O63 O22:O52">
    <cfRule type="cellIs" dxfId="2327" priority="82" operator="greaterThan">
      <formula>0</formula>
    </cfRule>
  </conditionalFormatting>
  <conditionalFormatting sqref="P5:P10 P72:P73 AE72:AE73 P75:P80 P31:P36 P69 P12 P14:P16 P23:P29 P58:P63 P38:P52 AE5:AE69 AE75:AE81">
    <cfRule type="cellIs" dxfId="2326" priority="86" operator="lessThan">
      <formula>0</formula>
    </cfRule>
  </conditionalFormatting>
  <conditionalFormatting sqref="AF72:AF73 Q68:Q69 Q72:Q81 Q5:Q12 Q14:Q16 Q57:Q63 Q22:Q52 AF5:AF69 AF75:AF81">
    <cfRule type="cellIs" dxfId="2325" priority="83" operator="greaterThan">
      <formula>1</formula>
    </cfRule>
    <cfRule type="cellIs" dxfId="2324" priority="84" operator="lessThan">
      <formula>0.8</formula>
    </cfRule>
  </conditionalFormatting>
  <conditionalFormatting sqref="AG15:AG16 R15:R16 AG72 R22:R28 AG22:AG28 AG68:AG69 R68:R69 R72:R81 AG5:AG12 R5:R12 R30:R52 AG30:AG52 AG57:AG63 R57:R63">
    <cfRule type="cellIs" dxfId="2323" priority="88" operator="lessThan">
      <formula>0.8</formula>
    </cfRule>
  </conditionalFormatting>
  <conditionalFormatting sqref="AG47">
    <cfRule type="cellIs" dxfId="2322" priority="90" operator="lessThan">
      <formula>0.8</formula>
    </cfRule>
  </conditionalFormatting>
  <conditionalFormatting sqref="AG23:AG28">
    <cfRule type="cellIs" dxfId="2321" priority="87" operator="lessThan">
      <formula>0.8</formula>
    </cfRule>
  </conditionalFormatting>
  <conditionalFormatting sqref="AG31">
    <cfRule type="cellIs" dxfId="2320" priority="89" operator="lessThan">
      <formula>0.8</formula>
    </cfRule>
  </conditionalFormatting>
  <conditionalFormatting sqref="AG38:AG45">
    <cfRule type="cellIs" dxfId="2319" priority="85" operator="lessThan">
      <formula>0.8</formula>
    </cfRule>
  </conditionalFormatting>
  <conditionalFormatting sqref="AE74">
    <cfRule type="cellIs" dxfId="2318" priority="81" operator="lessThan">
      <formula>0</formula>
    </cfRule>
  </conditionalFormatting>
  <conditionalFormatting sqref="AF74">
    <cfRule type="cellIs" dxfId="2317" priority="79" operator="greaterThan">
      <formula>1</formula>
    </cfRule>
    <cfRule type="cellIs" dxfId="2316" priority="80" operator="lessThan">
      <formula>0.8</formula>
    </cfRule>
  </conditionalFormatting>
  <conditionalFormatting sqref="O17:O18">
    <cfRule type="cellIs" dxfId="2315" priority="74" operator="greaterThan">
      <formula>0</formula>
    </cfRule>
  </conditionalFormatting>
  <conditionalFormatting sqref="P17:P18">
    <cfRule type="cellIs" dxfId="2314" priority="77" operator="lessThan">
      <formula>0</formula>
    </cfRule>
  </conditionalFormatting>
  <conditionalFormatting sqref="Q17:Q18">
    <cfRule type="cellIs" dxfId="2313" priority="75" operator="greaterThan">
      <formula>1</formula>
    </cfRule>
    <cfRule type="cellIs" dxfId="2312" priority="76" operator="lessThan">
      <formula>0.8</formula>
    </cfRule>
  </conditionalFormatting>
  <conditionalFormatting sqref="R17:R18 AG17:AG18">
    <cfRule type="cellIs" dxfId="2311" priority="78" operator="lessThan">
      <formula>0.8</formula>
    </cfRule>
  </conditionalFormatting>
  <conditionalFormatting sqref="O13">
    <cfRule type="cellIs" dxfId="2310" priority="70" operator="greaterThan">
      <formula>0</formula>
    </cfRule>
  </conditionalFormatting>
  <conditionalFormatting sqref="P13">
    <cfRule type="cellIs" dxfId="2309" priority="73" operator="lessThan">
      <formula>0</formula>
    </cfRule>
  </conditionalFormatting>
  <conditionalFormatting sqref="Q13">
    <cfRule type="cellIs" dxfId="2308" priority="71" operator="greaterThan">
      <formula>1</formula>
    </cfRule>
    <cfRule type="cellIs" dxfId="2307" priority="72" operator="lessThan">
      <formula>0.8</formula>
    </cfRule>
  </conditionalFormatting>
  <conditionalFormatting sqref="O64">
    <cfRule type="cellIs" dxfId="2306" priority="65" operator="greaterThan">
      <formula>0</formula>
    </cfRule>
  </conditionalFormatting>
  <conditionalFormatting sqref="P64">
    <cfRule type="cellIs" dxfId="2305" priority="68" operator="lessThan">
      <formula>0</formula>
    </cfRule>
  </conditionalFormatting>
  <conditionalFormatting sqref="Q64">
    <cfRule type="cellIs" dxfId="2304" priority="66" operator="greaterThan">
      <formula>1</formula>
    </cfRule>
    <cfRule type="cellIs" dxfId="2303" priority="67" operator="lessThan">
      <formula>0.8</formula>
    </cfRule>
  </conditionalFormatting>
  <conditionalFormatting sqref="R64 AG64">
    <cfRule type="cellIs" dxfId="2302" priority="69" operator="lessThan">
      <formula>0.8</formula>
    </cfRule>
  </conditionalFormatting>
  <conditionalFormatting sqref="O71">
    <cfRule type="cellIs" dxfId="2301" priority="60" operator="greaterThan">
      <formula>0</formula>
    </cfRule>
  </conditionalFormatting>
  <conditionalFormatting sqref="P71 AE71">
    <cfRule type="cellIs" dxfId="2300" priority="63" operator="lessThan">
      <formula>0</formula>
    </cfRule>
  </conditionalFormatting>
  <conditionalFormatting sqref="Q71 AF71">
    <cfRule type="cellIs" dxfId="2299" priority="61" operator="greaterThan">
      <formula>1</formula>
    </cfRule>
    <cfRule type="cellIs" dxfId="2298" priority="62" operator="lessThan">
      <formula>0.8</formula>
    </cfRule>
  </conditionalFormatting>
  <conditionalFormatting sqref="R71 AG71">
    <cfRule type="cellIs" dxfId="2297" priority="64" operator="lessThan">
      <formula>0.8</formula>
    </cfRule>
  </conditionalFormatting>
  <conditionalFormatting sqref="O19:O20">
    <cfRule type="cellIs" dxfId="2296" priority="55" operator="greaterThan">
      <formula>0</formula>
    </cfRule>
  </conditionalFormatting>
  <conditionalFormatting sqref="P19:P20">
    <cfRule type="cellIs" dxfId="2295" priority="58" operator="lessThan">
      <formula>0</formula>
    </cfRule>
  </conditionalFormatting>
  <conditionalFormatting sqref="Q19:Q20">
    <cfRule type="cellIs" dxfId="2294" priority="56" operator="greaterThan">
      <formula>1</formula>
    </cfRule>
    <cfRule type="cellIs" dxfId="2293" priority="57" operator="lessThan">
      <formula>0.8</formula>
    </cfRule>
  </conditionalFormatting>
  <conditionalFormatting sqref="R19:R20 AG19:AG20">
    <cfRule type="cellIs" dxfId="2292" priority="59" operator="lessThan">
      <formula>0.8</formula>
    </cfRule>
  </conditionalFormatting>
  <conditionalFormatting sqref="O53">
    <cfRule type="cellIs" dxfId="2291" priority="49" operator="greaterThan">
      <formula>0</formula>
    </cfRule>
  </conditionalFormatting>
  <conditionalFormatting sqref="P53">
    <cfRule type="cellIs" dxfId="2290" priority="53" operator="lessThan">
      <formula>0</formula>
    </cfRule>
  </conditionalFormatting>
  <conditionalFormatting sqref="Q53">
    <cfRule type="cellIs" dxfId="2289" priority="50" operator="greaterThan">
      <formula>1</formula>
    </cfRule>
    <cfRule type="cellIs" dxfId="2288" priority="51" operator="lessThan">
      <formula>0.8</formula>
    </cfRule>
  </conditionalFormatting>
  <conditionalFormatting sqref="R53 AG53">
    <cfRule type="cellIs" dxfId="2287" priority="54" operator="lessThan">
      <formula>0.8</formula>
    </cfRule>
  </conditionalFormatting>
  <conditionalFormatting sqref="AG53">
    <cfRule type="cellIs" dxfId="2286" priority="52" operator="lessThan">
      <formula>0.8</formula>
    </cfRule>
  </conditionalFormatting>
  <conditionalFormatting sqref="O54">
    <cfRule type="cellIs" dxfId="2285" priority="43" operator="greaterThan">
      <formula>0</formula>
    </cfRule>
  </conditionalFormatting>
  <conditionalFormatting sqref="P54">
    <cfRule type="cellIs" dxfId="2284" priority="47" operator="lessThan">
      <formula>0</formula>
    </cfRule>
  </conditionalFormatting>
  <conditionalFormatting sqref="Q54">
    <cfRule type="cellIs" dxfId="2283" priority="44" operator="greaterThan">
      <formula>1</formula>
    </cfRule>
    <cfRule type="cellIs" dxfId="2282" priority="45" operator="lessThan">
      <formula>0.8</formula>
    </cfRule>
  </conditionalFormatting>
  <conditionalFormatting sqref="R54 AG54">
    <cfRule type="cellIs" dxfId="2281" priority="48" operator="lessThan">
      <formula>0.8</formula>
    </cfRule>
  </conditionalFormatting>
  <conditionalFormatting sqref="AG54">
    <cfRule type="cellIs" dxfId="2280" priority="46" operator="lessThan">
      <formula>0.8</formula>
    </cfRule>
  </conditionalFormatting>
  <conditionalFormatting sqref="O65">
    <cfRule type="cellIs" dxfId="2279" priority="38" operator="greaterThan">
      <formula>0</formula>
    </cfRule>
  </conditionalFormatting>
  <conditionalFormatting sqref="P65">
    <cfRule type="cellIs" dxfId="2278" priority="41" operator="lessThan">
      <formula>0</formula>
    </cfRule>
  </conditionalFormatting>
  <conditionalFormatting sqref="Q65">
    <cfRule type="cellIs" dxfId="2277" priority="39" operator="greaterThan">
      <formula>1</formula>
    </cfRule>
    <cfRule type="cellIs" dxfId="2276" priority="40" operator="lessThan">
      <formula>0.8</formula>
    </cfRule>
  </conditionalFormatting>
  <conditionalFormatting sqref="AG65 R65">
    <cfRule type="cellIs" dxfId="2275" priority="42" operator="lessThan">
      <formula>0.8</formula>
    </cfRule>
  </conditionalFormatting>
  <conditionalFormatting sqref="R29 AG29">
    <cfRule type="cellIs" dxfId="2274" priority="37" operator="lessThan">
      <formula>0.8</formula>
    </cfRule>
  </conditionalFormatting>
  <conditionalFormatting sqref="AG29">
    <cfRule type="cellIs" dxfId="2273" priority="36" operator="lessThan">
      <formula>0.8</formula>
    </cfRule>
  </conditionalFormatting>
  <conditionalFormatting sqref="O55">
    <cfRule type="cellIs" dxfId="2272" priority="30" operator="greaterThan">
      <formula>0</formula>
    </cfRule>
  </conditionalFormatting>
  <conditionalFormatting sqref="P55">
    <cfRule type="cellIs" dxfId="2271" priority="34" operator="lessThan">
      <formula>0</formula>
    </cfRule>
  </conditionalFormatting>
  <conditionalFormatting sqref="Q55">
    <cfRule type="cellIs" dxfId="2270" priority="31" operator="greaterThan">
      <formula>1</formula>
    </cfRule>
    <cfRule type="cellIs" dxfId="2269" priority="32" operator="lessThan">
      <formula>0.8</formula>
    </cfRule>
  </conditionalFormatting>
  <conditionalFormatting sqref="R55 AG55">
    <cfRule type="cellIs" dxfId="2268" priority="35" operator="lessThan">
      <formula>0.8</formula>
    </cfRule>
  </conditionalFormatting>
  <conditionalFormatting sqref="AG55">
    <cfRule type="cellIs" dxfId="2267" priority="33" operator="lessThan">
      <formula>0.8</formula>
    </cfRule>
  </conditionalFormatting>
  <conditionalFormatting sqref="O56">
    <cfRule type="cellIs" dxfId="2266" priority="24" operator="greaterThan">
      <formula>0</formula>
    </cfRule>
  </conditionalFormatting>
  <conditionalFormatting sqref="P56">
    <cfRule type="cellIs" dxfId="2265" priority="28" operator="lessThan">
      <formula>0</formula>
    </cfRule>
  </conditionalFormatting>
  <conditionalFormatting sqref="Q56">
    <cfRule type="cellIs" dxfId="2264" priority="25" operator="greaterThan">
      <formula>1</formula>
    </cfRule>
    <cfRule type="cellIs" dxfId="2263" priority="26" operator="lessThan">
      <formula>0.8</formula>
    </cfRule>
  </conditionalFormatting>
  <conditionalFormatting sqref="R56 AG56">
    <cfRule type="cellIs" dxfId="2262" priority="29" operator="lessThan">
      <formula>0.8</formula>
    </cfRule>
  </conditionalFormatting>
  <conditionalFormatting sqref="AG56">
    <cfRule type="cellIs" dxfId="2261" priority="27" operator="lessThan">
      <formula>0.8</formula>
    </cfRule>
  </conditionalFormatting>
  <conditionalFormatting sqref="O70">
    <cfRule type="cellIs" dxfId="2260" priority="19" operator="greaterThan">
      <formula>0</formula>
    </cfRule>
  </conditionalFormatting>
  <conditionalFormatting sqref="P70 AE70">
    <cfRule type="cellIs" dxfId="2259" priority="22" operator="lessThan">
      <formula>0</formula>
    </cfRule>
  </conditionalFormatting>
  <conditionalFormatting sqref="Q70 AF70">
    <cfRule type="cellIs" dxfId="2258" priority="20" operator="greaterThan">
      <formula>1</formula>
    </cfRule>
    <cfRule type="cellIs" dxfId="2257" priority="21" operator="lessThan">
      <formula>0.8</formula>
    </cfRule>
  </conditionalFormatting>
  <conditionalFormatting sqref="R70 AG70">
    <cfRule type="cellIs" dxfId="2256" priority="23" operator="lessThan">
      <formula>0.8</formula>
    </cfRule>
  </conditionalFormatting>
  <conditionalFormatting sqref="O21">
    <cfRule type="cellIs" dxfId="2255" priority="14" operator="greaterThan">
      <formula>0</formula>
    </cfRule>
  </conditionalFormatting>
  <conditionalFormatting sqref="P21">
    <cfRule type="cellIs" dxfId="2254" priority="17" operator="lessThan">
      <formula>0</formula>
    </cfRule>
  </conditionalFormatting>
  <conditionalFormatting sqref="Q21">
    <cfRule type="cellIs" dxfId="2253" priority="15" operator="greaterThan">
      <formula>1</formula>
    </cfRule>
    <cfRule type="cellIs" dxfId="2252" priority="16" operator="lessThan">
      <formula>0.8</formula>
    </cfRule>
  </conditionalFormatting>
  <conditionalFormatting sqref="AG21 R21">
    <cfRule type="cellIs" dxfId="2251" priority="18" operator="lessThan">
      <formula>0.8</formula>
    </cfRule>
  </conditionalFormatting>
  <conditionalFormatting sqref="P11">
    <cfRule type="cellIs" dxfId="2250" priority="13" operator="lessThan">
      <formula>0</formula>
    </cfRule>
  </conditionalFormatting>
  <conditionalFormatting sqref="P22">
    <cfRule type="cellIs" dxfId="2249" priority="12" operator="lessThan">
      <formula>0</formula>
    </cfRule>
  </conditionalFormatting>
  <conditionalFormatting sqref="P30">
    <cfRule type="cellIs" dxfId="2248" priority="11" operator="lessThan">
      <formula>0</formula>
    </cfRule>
  </conditionalFormatting>
  <conditionalFormatting sqref="P37">
    <cfRule type="cellIs" dxfId="2247" priority="10" operator="lessThan">
      <formula>0</formula>
    </cfRule>
  </conditionalFormatting>
  <conditionalFormatting sqref="P57">
    <cfRule type="cellIs" dxfId="2246" priority="9" operator="lessThan">
      <formula>0</formula>
    </cfRule>
  </conditionalFormatting>
  <conditionalFormatting sqref="P68">
    <cfRule type="cellIs" dxfId="2245" priority="8" operator="lessThan">
      <formula>0</formula>
    </cfRule>
  </conditionalFormatting>
  <conditionalFormatting sqref="P74">
    <cfRule type="cellIs" dxfId="2244" priority="7" operator="lessThan">
      <formula>0</formula>
    </cfRule>
  </conditionalFormatting>
  <conditionalFormatting sqref="P81">
    <cfRule type="cellIs" dxfId="2243" priority="6" operator="lessThan">
      <formula>0</formula>
    </cfRule>
  </conditionalFormatting>
  <conditionalFormatting sqref="O66:O67">
    <cfRule type="cellIs" dxfId="2242" priority="1" operator="greaterThan">
      <formula>0</formula>
    </cfRule>
  </conditionalFormatting>
  <conditionalFormatting sqref="P66:P67">
    <cfRule type="cellIs" dxfId="2241" priority="4" operator="lessThan">
      <formula>0</formula>
    </cfRule>
  </conditionalFormatting>
  <conditionalFormatting sqref="Q66:Q67">
    <cfRule type="cellIs" dxfId="2240" priority="2" operator="greaterThan">
      <formula>1</formula>
    </cfRule>
    <cfRule type="cellIs" dxfId="2239" priority="3" operator="lessThan">
      <formula>0.8</formula>
    </cfRule>
  </conditionalFormatting>
  <conditionalFormatting sqref="AG66:AG67 R66:R67">
    <cfRule type="cellIs" dxfId="2238" priority="5" operator="lessThan">
      <formula>0.8</formula>
    </cfRule>
  </conditionalFormatting>
  <dataValidations count="1">
    <dataValidation type="list" allowBlank="1" showInputMessage="1" showErrorMessage="1" sqref="AA5:AB9 AB10:AB11 AB73 AB13:AB69 AA10:AA73 AA74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11" zoomScale="85" zoomScaleNormal="85" workbookViewId="0"/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161</v>
      </c>
      <c r="C3" s="478" t="str">
        <f>TEXT('0127 4度C'!A2,"yyyy.mm.ddaaaa")</f>
        <v>2026.01.27星期二</v>
      </c>
      <c r="D3" s="479"/>
      <c r="E3" s="56" t="s">
        <v>2310</v>
      </c>
      <c r="F3" s="480">
        <f>'0127 4度C'!D1</f>
        <v>161464</v>
      </c>
      <c r="G3" s="481"/>
      <c r="H3" s="56" t="s">
        <v>2311</v>
      </c>
      <c r="I3" s="482">
        <f>'0127 4度C'!F1</f>
        <v>5522272.9699999988</v>
      </c>
      <c r="J3" s="483"/>
      <c r="K3" s="57"/>
      <c r="L3" s="58"/>
      <c r="M3" s="59"/>
      <c r="N3" s="59"/>
    </row>
    <row r="4" spans="2:17" ht="28.5" customHeight="1">
      <c r="B4" s="484" t="s">
        <v>2312</v>
      </c>
      <c r="C4" s="470" t="s">
        <v>2313</v>
      </c>
      <c r="D4" s="471"/>
      <c r="E4" s="487" t="s">
        <v>2314</v>
      </c>
      <c r="F4" s="488"/>
      <c r="G4" s="487" t="s">
        <v>2315</v>
      </c>
      <c r="H4" s="488"/>
      <c r="I4" s="487" t="s">
        <v>2316</v>
      </c>
      <c r="J4" s="488"/>
      <c r="K4" s="468" t="s">
        <v>169</v>
      </c>
      <c r="L4" s="469"/>
      <c r="M4" s="469" t="s">
        <v>2317</v>
      </c>
      <c r="N4" s="469"/>
    </row>
    <row r="5" spans="2:17" ht="28.5" customHeight="1">
      <c r="B5" s="485"/>
      <c r="C5" s="470" t="s">
        <v>2318</v>
      </c>
      <c r="D5" s="471"/>
      <c r="E5" s="470" t="s">
        <v>2319</v>
      </c>
      <c r="F5" s="471"/>
      <c r="G5" s="472" t="s">
        <v>173</v>
      </c>
      <c r="H5" s="473"/>
      <c r="I5" s="474" t="s">
        <v>174</v>
      </c>
      <c r="J5" s="475"/>
      <c r="K5" s="60" t="s">
        <v>2320</v>
      </c>
      <c r="L5" s="61" t="s">
        <v>2321</v>
      </c>
      <c r="M5" s="60" t="s">
        <v>143</v>
      </c>
      <c r="N5" s="61" t="s">
        <v>2322</v>
      </c>
    </row>
    <row r="6" spans="2:17" ht="28.5" customHeight="1">
      <c r="B6" s="485"/>
      <c r="C6" s="470" t="s">
        <v>144</v>
      </c>
      <c r="D6" s="471"/>
      <c r="E6" s="462">
        <f>AVERAGE(D13:M13)</f>
        <v>144.18715142497993</v>
      </c>
      <c r="F6" s="463">
        <f>AVERAGE(D31:O31,D13:J13)</f>
        <v>146.44822878475711</v>
      </c>
      <c r="G6" s="464">
        <f>AVERAGE(D13:J13)</f>
        <v>146.44822878475711</v>
      </c>
      <c r="H6" s="465"/>
      <c r="I6" s="464">
        <f>AVERAGE(K13:M13)</f>
        <v>138.91130425216645</v>
      </c>
      <c r="J6" s="465"/>
      <c r="K6" s="466">
        <f>'0127 4度C'!Y2</f>
        <v>0</v>
      </c>
      <c r="L6" s="451">
        <f>'0127 4度C'!Z2</f>
        <v>0</v>
      </c>
      <c r="M6" s="467">
        <f>'0127 4度C'!AC2</f>
        <v>39</v>
      </c>
      <c r="N6" s="451">
        <f>'0127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138.01247332443467</v>
      </c>
      <c r="F7" s="455">
        <f>AVERAGE(D32:O32,D14:J14)</f>
        <v>140.17934968585533</v>
      </c>
      <c r="G7" s="456">
        <f>AVERAGE(D14:J14)</f>
        <v>140.17934968585533</v>
      </c>
      <c r="H7" s="457"/>
      <c r="I7" s="456">
        <f>AVERAGE(K14:M14)</f>
        <v>132.95642848111984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0.95643792393037352</v>
      </c>
      <c r="F8" s="459">
        <f>AVERAGE(D15:J15,D33:O33)</f>
        <v>0.95613887190560198</v>
      </c>
      <c r="G8" s="460">
        <f>AVERAGE(D15:J15)</f>
        <v>0.95613887190560198</v>
      </c>
      <c r="H8" s="461"/>
      <c r="I8" s="460">
        <f>AVERAGE(K15:M15)</f>
        <v>0.95713571198817371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178</v>
      </c>
      <c r="N9" s="59"/>
      <c r="O9" s="59"/>
      <c r="P9" s="59"/>
      <c r="Q9" s="59"/>
    </row>
    <row r="10" spans="2:17" ht="30" customHeight="1">
      <c r="B10" s="434" t="s">
        <v>2323</v>
      </c>
      <c r="C10" s="435"/>
      <c r="D10" s="436" t="s">
        <v>2324</v>
      </c>
      <c r="E10" s="437"/>
      <c r="F10" s="437"/>
      <c r="G10" s="437"/>
      <c r="H10" s="437"/>
      <c r="I10" s="437"/>
      <c r="J10" s="438"/>
      <c r="K10" s="439" t="s">
        <v>2325</v>
      </c>
      <c r="L10" s="440"/>
      <c r="M10" s="441"/>
      <c r="P10" s="65"/>
      <c r="Q10" s="65"/>
    </row>
    <row r="11" spans="2:17" ht="17.25" customHeight="1">
      <c r="B11" s="442" t="s">
        <v>2326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13</v>
      </c>
      <c r="C13" s="72" t="s">
        <v>2327</v>
      </c>
      <c r="D13" s="73">
        <f>SUMIFS('0127 4度C'!$K:$K,'0127 4度C'!$A:$A,"新豐6線",'0127 4度C'!$B:$B,"平均")</f>
        <v>116.50485436893203</v>
      </c>
      <c r="E13" s="74">
        <f>SUMIFS('0127 4度C'!$K:$K,'0127 4度C'!$A:$A,"新豐2線",'0127 4度C'!$B:$B,"平均")</f>
        <v>83.333333333333329</v>
      </c>
      <c r="F13" s="75">
        <f>SUMIFS('0127 4度C'!$K:$K,'0127 4度C'!$A:$A,"新豐5線",'0127 4度C'!$B:$B,"平均")</f>
        <v>110.16949152542372</v>
      </c>
      <c r="G13" s="75">
        <f>SUMIFS('0127 4度C'!$K:$K,'0127 4度C'!$A:$A,"新豐7線",'0127 4度C'!$B:$B,"平均")</f>
        <v>122.72727272727273</v>
      </c>
      <c r="H13" s="75">
        <f>SUMIFS('0127 4度C'!$K:$K,'0127 4度C'!$A:$A,"新豐3線",'0127 4度C'!$B:$B,"平均")</f>
        <v>300</v>
      </c>
      <c r="I13" s="75">
        <f>SUMIFS('0127 4度C'!$K:$K,'0127 4度C'!$A:$A,"新豐1線",'0127 4度C'!$B:$B,"平均")</f>
        <v>103.72340425531914</v>
      </c>
      <c r="J13" s="76">
        <f>SUMIFS('0127 4度C'!$K:$K,'0127 4度C'!$A:$A,"新豐10線",'0127 4度C'!$B:$B,"平均")</f>
        <v>188.67924528301887</v>
      </c>
      <c r="K13" s="77">
        <f>SUMIFS('0127 4度C'!$K:$K,'0127 4度C'!$A:$A,"新豐8線",'0127 4度C'!$B:$B,"平均")</f>
        <v>132.11009174311926</v>
      </c>
      <c r="L13" s="78">
        <f>SUMIFS('0127 4度C'!$K:$K,'0127 4度C'!$A:$A,"新豐9線",'0127 4度C'!$B:$B,"平均")</f>
        <v>136.17021276595744</v>
      </c>
      <c r="M13" s="76">
        <f>SUMIFS('0127 4度C'!$K:$K,'0127 4度C'!$A:$A,"新豐4線",'0127 4度C'!$B:$B,"平均")</f>
        <v>148.45360824742266</v>
      </c>
    </row>
    <row r="14" spans="2:17" ht="39.6" customHeight="1">
      <c r="B14" s="447"/>
      <c r="C14" s="79" t="s">
        <v>185</v>
      </c>
      <c r="D14" s="80">
        <f>SUMIFS('0127 4度C'!$N:$N,'0127 4度C'!$A:$A,"新豐6線",'0127 4度C'!$B:$B,"平均")</f>
        <v>112.28422732272749</v>
      </c>
      <c r="E14" s="81">
        <f>SUMIFS('0127 4度C'!$N:$N,'0127 4度C'!$A:$A,"新豐2線",'0127 4度C'!$B:$B,"平均")</f>
        <v>79.439441585667964</v>
      </c>
      <c r="F14" s="81">
        <f>SUMIFS('0127 4度C'!$N:$N,'0127 4度C'!$A:$A,"新豐5線",'0127 4度C'!$B:$B,"平均")</f>
        <v>106.00643014721751</v>
      </c>
      <c r="G14" s="81">
        <f>SUMIFS('0127 4度C'!$N:$N,'0127 4度C'!$A:$A,"新豐7線",'0127 4度C'!$B:$B,"平均")</f>
        <v>118.0295220946922</v>
      </c>
      <c r="H14" s="81">
        <f>SUMIFS('0127 4度C'!$N:$N,'0127 4度C'!$A:$A,"新豐3線",'0127 4度C'!$B:$B,"平均")</f>
        <v>287.492034552679</v>
      </c>
      <c r="I14" s="81">
        <f>SUMIFS('0127 4度C'!$N:$N,'0127 4度C'!$A:$A,"新豐1線",'0127 4度C'!$B:$B,"平均")</f>
        <v>96.812312095739955</v>
      </c>
      <c r="J14" s="82">
        <f>SUMIFS('0127 4度C'!$N:$N,'0127 4度C'!$A:$A,"新豐10線",'0127 4度C'!$B:$B,"平均")</f>
        <v>181.19148000226309</v>
      </c>
      <c r="K14" s="83">
        <f>SUMIFS('0127 4度C'!$N:$N,'0127 4度C'!$A:$A,"新豐8線",'0127 4度C'!$B:$B,"平均")</f>
        <v>126.32962683007652</v>
      </c>
      <c r="L14" s="84">
        <f>SUMIFS('0127 4度C'!$N:$N,'0127 4度C'!$A:$A,"新豐9線",'0127 4度C'!$B:$B,"平均")</f>
        <v>130.5127483339777</v>
      </c>
      <c r="M14" s="82">
        <f>SUMIFS('0127 4度C'!$N:$N,'0127 4度C'!$A:$A,"新豐4線",'0127 4度C'!$B:$B,"平均")</f>
        <v>142.0269102793053</v>
      </c>
    </row>
    <row r="15" spans="2:17" ht="40.15" customHeight="1">
      <c r="B15" s="448"/>
      <c r="C15" s="85" t="s">
        <v>186</v>
      </c>
      <c r="D15" s="86">
        <f t="shared" ref="D15:M15" si="0">D14/D13</f>
        <v>0.96377295118674433</v>
      </c>
      <c r="E15" s="87">
        <f t="shared" si="0"/>
        <v>0.95327329902801561</v>
      </c>
      <c r="F15" s="87">
        <f t="shared" si="0"/>
        <v>0.96221221210551289</v>
      </c>
      <c r="G15" s="87">
        <f t="shared" si="0"/>
        <v>0.96172203188267713</v>
      </c>
      <c r="H15" s="87">
        <f t="shared" si="0"/>
        <v>0.95830678184226337</v>
      </c>
      <c r="I15" s="87">
        <f t="shared" si="0"/>
        <v>0.93336998328200582</v>
      </c>
      <c r="J15" s="88">
        <f t="shared" si="0"/>
        <v>0.96031484401199441</v>
      </c>
      <c r="K15" s="86">
        <f t="shared" si="0"/>
        <v>0.95624509197766261</v>
      </c>
      <c r="L15" s="87">
        <f t="shared" si="0"/>
        <v>0.95845299557764874</v>
      </c>
      <c r="M15" s="88">
        <f t="shared" si="0"/>
        <v>0.95670904840920945</v>
      </c>
    </row>
    <row r="16" spans="2:17" ht="17.25" customHeight="1">
      <c r="B16" s="449" t="s">
        <v>2328</v>
      </c>
      <c r="C16" s="89" t="s">
        <v>2329</v>
      </c>
      <c r="D16" s="90">
        <f>VLOOKUP("新豐6線",'0127 4度C'!$A:$T,19,0)</f>
        <v>0.70833333333333337</v>
      </c>
      <c r="E16" s="91">
        <f>VLOOKUP("新豐2線",'0127 4度C'!$A:$T,19,0)</f>
        <v>0.20833333333333334</v>
      </c>
      <c r="F16" s="91">
        <f>VLOOKUP("新豐5線",'0127 4度C'!$A:$T,19,0)</f>
        <v>0.20833333333333334</v>
      </c>
      <c r="G16" s="91">
        <f>VLOOKUP("新豐7線",'0127 4度C'!$A:$T,19,0)</f>
        <v>0.20833333333333334</v>
      </c>
      <c r="H16" s="91">
        <f>VLOOKUP("新豐3線",'0127 4度C'!$A:$T,19,0)</f>
        <v>0.20833333333333334</v>
      </c>
      <c r="I16" s="91">
        <f>VLOOKUP("新豐1線",'0127 4度C'!$A:$T,19,0)</f>
        <v>0.20833333333333334</v>
      </c>
      <c r="J16" s="92">
        <f>VLOOKUP("新豐10線",'0127 4度C'!$A:$T,19,0)</f>
        <v>0.20833333333333334</v>
      </c>
      <c r="K16" s="93">
        <f>VLOOKUP("新豐8線",'0127 4度C'!$A:$T,19,0)</f>
        <v>0.125</v>
      </c>
      <c r="L16" s="94">
        <f>VLOOKUP("新豐9線",'0127 4度C'!$A:$T,19,0)</f>
        <v>0.125</v>
      </c>
      <c r="M16" s="95">
        <f>VLOOKUP("新豐4線",'0127 4度C'!$A:$T,19,0)</f>
        <v>0.125</v>
      </c>
    </row>
    <row r="17" spans="2:13" ht="17.25" customHeight="1">
      <c r="B17" s="450"/>
      <c r="C17" s="89" t="s">
        <v>189</v>
      </c>
      <c r="D17" s="93">
        <f>LOOKUP(2,1/(('0127 4度C'!$A:$A="新豐6線")*('0127 4度C'!$T:$T&lt;&gt;"")),'0127 4度C'!$T:$T)</f>
        <v>0.9145833333333333</v>
      </c>
      <c r="E17" s="91">
        <f>LOOKUP(2,1/(('0127 4度C'!$A:$A="新豐2線")*('0127 4度C'!$T:$T&lt;&gt;"")),'0127 4度C'!$T:$T)</f>
        <v>0.45069444444444451</v>
      </c>
      <c r="F17" s="91">
        <f>LOOKUP(2,1/(('0127 4度C'!$A:$A="新豐5線")*('0127 4度C'!$T:$T&lt;&gt;"")),'0127 4度C'!$T:$T)</f>
        <v>0.91527777777777763</v>
      </c>
      <c r="G17" s="91">
        <f>LOOKUP(2,1/(('0127 4度C'!$A:$A="新豐7線")*('0127 4度C'!$T:$T&lt;&gt;"")),'0127 4度C'!$T:$T)</f>
        <v>0.92013888888888884</v>
      </c>
      <c r="H17" s="91">
        <f>LOOKUP(2,1/(('0127 4度C'!$A:$A="新豐3線")*('0127 4度C'!$T:$T&lt;&gt;"")),'0127 4度C'!$T:$T)</f>
        <v>0.67847222222222192</v>
      </c>
      <c r="I17" s="91">
        <f>LOOKUP(2,1/(('0127 4度C'!$A:$A="新豐1線")*('0127 4度C'!$T:$T&lt;&gt;"")),'0127 4度C'!$T:$T)</f>
        <v>0.91666666666666652</v>
      </c>
      <c r="J17" s="92">
        <f>LOOKUP(2,1/(('0127 4度C'!$A:$A="新豐10線")*('0127 4度C'!$T:$T&lt;&gt;"")),'0127 4度C'!$T:$T)</f>
        <v>0.44652777777777775</v>
      </c>
      <c r="K17" s="90">
        <f>LOOKUP(2,1/(('0127 4度C'!$A:$A="新豐8線")*('0127 4度C'!$T:$T&lt;&gt;"")),'0127 4度C'!$T:$T)</f>
        <v>0.64374999999999993</v>
      </c>
      <c r="L17" s="91">
        <f>LOOKUP(2,1/(('0127 4度C'!$A:$A="新豐9線")*('0127 4度C'!$T:$T&lt;&gt;"")),'0127 4度C'!$T:$T)</f>
        <v>0.6645833333333333</v>
      </c>
      <c r="M17" s="92">
        <f>LOOKUP(2,1/(('0127 4度C'!$A:$A="新豐4線")*('0127 4度C'!$T:$T&lt;&gt;"")),'0127 4度C'!$T:$T)</f>
        <v>0.61944444444444446</v>
      </c>
    </row>
    <row r="18" spans="2:13" ht="17.25" customHeight="1">
      <c r="B18" s="428" t="s">
        <v>2330</v>
      </c>
      <c r="C18" s="96" t="s">
        <v>2331</v>
      </c>
      <c r="D18" s="97">
        <f>SUMIFS('0127 4度C'!$Y:$Y,'0127 4度C'!$A:$A,"新豐6線",'0127 4度C'!$B:$B,"平均")</f>
        <v>0</v>
      </c>
      <c r="E18" s="98">
        <f>SUMIFS('0127 4度C'!$Y:$Y,'0127 4度C'!$A:$A,"新豐2線",'0127 4度C'!$B:$B,"平均")</f>
        <v>0</v>
      </c>
      <c r="F18" s="98">
        <f>SUMIFS('0127 4度C'!$Y:$Y,'0127 4度C'!$A:$A,"新豐5線",'0127 4度C'!$B:$B,"平均")</f>
        <v>0</v>
      </c>
      <c r="G18" s="98">
        <f>SUMIFS('0127 4度C'!$Y:$Y,'0127 4度C'!$A:$A,"新豐7線",'0127 4度C'!$B:$B,"平均")</f>
        <v>0</v>
      </c>
      <c r="H18" s="98">
        <f>SUMIFS('0127 4度C'!$Y:$Y,'0127 4度C'!$A:$A,"新豐3線",'0127 4度C'!$B:$B,"平均")</f>
        <v>0</v>
      </c>
      <c r="I18" s="98">
        <f>SUMIFS('0127 4度C'!$Y:$Y,'0127 4度C'!$A:$A,"新豐1線",'0127 4度C'!$B:$B,"平均")</f>
        <v>0</v>
      </c>
      <c r="J18" s="99">
        <f>SUMIFS('0127 4度C'!$Y:$Y,'0127 4度C'!$A:$A,"新豐10線",'0127 4度C'!$B:$B,"平均")</f>
        <v>0</v>
      </c>
      <c r="K18" s="100">
        <f>SUMIFS('0127 4度C'!$Y:$Y,'0127 4度C'!$A:$A,"新豐8線",'0127 4度C'!$B:$B,"平均")</f>
        <v>0</v>
      </c>
      <c r="L18" s="98">
        <f>SUMIFS('0127 4度C'!$Y:$Y,'0127 4度C'!$A:$A,"新豐9線",'0127 4度C'!$B:$B,"平均")</f>
        <v>0</v>
      </c>
      <c r="M18" s="99">
        <f>SUMIFS('0127 4度C'!$Y:$Y,'0127 4度C'!$A:$A,"新豐4線",'0127 4度C'!$B:$B,"平均")</f>
        <v>0</v>
      </c>
    </row>
    <row r="19" spans="2:13" ht="17.25" customHeight="1">
      <c r="B19" s="429"/>
      <c r="C19" s="96" t="s">
        <v>192</v>
      </c>
      <c r="D19" s="97">
        <f>SUMIFS('0127 4度C'!$Z:$Z,'0127 4度C'!$A:$A,"新豐6線",'0127 4度C'!$B:$B,"平均")</f>
        <v>0</v>
      </c>
      <c r="E19" s="98">
        <f>SUMIFS('0127 4度C'!$Z:$Z,'0127 4度C'!$A:$A,"新豐2線",'0127 4度C'!$B:$B,"平均")</f>
        <v>0</v>
      </c>
      <c r="F19" s="98">
        <f>SUMIFS('0127 4度C'!$Z:$Z,'0127 4度C'!$A:$A,"新豐5線",'0127 4度C'!$B:$B,"平均")</f>
        <v>0</v>
      </c>
      <c r="G19" s="98">
        <f>SUMIFS('0127 4度C'!$Z:$Z,'0127 4度C'!$A:$A,"新豐7線",'0127 4度C'!$B:$B,"平均")</f>
        <v>0</v>
      </c>
      <c r="H19" s="98">
        <f>SUMIFS('0127 4度C'!$Z:$Z,'0127 4度C'!$A:$A,"新豐3線",'0127 4度C'!$B:$B,"平均")</f>
        <v>0</v>
      </c>
      <c r="I19" s="98">
        <f>SUMIFS('0127 4度C'!$Z:$Z,'0127 4度C'!$A:$A,"新豐1線",'0127 4度C'!$B:$B,"平均")</f>
        <v>0</v>
      </c>
      <c r="J19" s="99">
        <f>SUMIFS('0127 4度C'!$Z:$Z,'0127 4度C'!$A:$A,"新豐10線",'0127 4度C'!$B:$B,"平均")</f>
        <v>0</v>
      </c>
      <c r="K19" s="100">
        <f>SUMIFS('0127 4度C'!$Z:$Z,'0127 4度C'!$A:$A,"新豐8線",'0127 4度C'!$B:$B,"平均")</f>
        <v>0</v>
      </c>
      <c r="L19" s="98">
        <f>SUMIFS('0127 4度C'!$Z:$Z,'0127 4度C'!$A:$A,"新豐9線",'0127 4度C'!$B:$B,"平均")</f>
        <v>0</v>
      </c>
      <c r="M19" s="99">
        <f>SUMIFS('0127 4度C'!$Z:$Z,'0127 4度C'!$A:$A,"新豐4線",'0127 4度C'!$B:$B,"平均")</f>
        <v>0</v>
      </c>
    </row>
    <row r="20" spans="2:13" ht="17.25" customHeight="1">
      <c r="B20" s="428" t="s">
        <v>193</v>
      </c>
      <c r="C20" s="96" t="s">
        <v>2331</v>
      </c>
      <c r="D20" s="97">
        <f>SUMIFS('0127 4度C'!$AC:$AC,'0127 4度C'!$A:$A,"新豐6線",'0127 4度C'!$B:$B,"平均")</f>
        <v>2</v>
      </c>
      <c r="E20" s="98">
        <f>SUMIFS('0127 4度C'!$AC:$AC,'0127 4度C'!$A:$A,"新豐2線",'0127 4度C'!$B:$B,"平均")</f>
        <v>2</v>
      </c>
      <c r="F20" s="98">
        <f>SUMIFS('0127 4度C'!$AC:$AC,'0127 4度C'!$A:$A,"新豐5線",'0127 4度C'!$B:$B,"平均")</f>
        <v>3</v>
      </c>
      <c r="G20" s="98">
        <f>SUMIFS('0127 4度C'!$AC:$AC,'0127 4度C'!$A:$A,"新豐7線",'0127 4度C'!$B:$B,"平均")</f>
        <v>3</v>
      </c>
      <c r="H20" s="98">
        <f>SUMIFS('0127 4度C'!$AC:$AC,'0127 4度C'!$A:$A,"新豐3線",'0127 4度C'!$B:$B,"平均")</f>
        <v>0</v>
      </c>
      <c r="I20" s="98">
        <f>SUMIFS('0127 4度C'!$AC:$AC,'0127 4度C'!$A:$A,"新豐1線",'0127 4度C'!$B:$B,"平均")</f>
        <v>5</v>
      </c>
      <c r="J20" s="99">
        <f>SUMIFS('0127 4度C'!$AC:$AC,'0127 4度C'!$A:$A,"新豐10線",'0127 4度C'!$B:$B,"平均")</f>
        <v>1</v>
      </c>
      <c r="K20" s="100">
        <f>SUMIFS('0127 4度C'!$AC:$AC,'0127 4度C'!$A:$A,"新豐8線",'0127 4度C'!$B:$B,"平均")</f>
        <v>8</v>
      </c>
      <c r="L20" s="98">
        <f>SUMIFS('0127 4度C'!$AC:$AC,'0127 4度C'!$A:$A,"新豐9線",'0127 4度C'!$B:$B,"平均")</f>
        <v>8</v>
      </c>
      <c r="M20" s="99">
        <f>SUMIFS('0127 4度C'!$AC:$AC,'0127 4度C'!$A:$A,"新豐4線",'0127 4度C'!$B:$B,"平均")</f>
        <v>7</v>
      </c>
    </row>
    <row r="21" spans="2:13" ht="17.25" customHeight="1">
      <c r="B21" s="429"/>
      <c r="C21" s="96" t="s">
        <v>194</v>
      </c>
      <c r="D21" s="97">
        <f>SUMIFS('0127 4度C'!$AD:$AD,'0127 4度C'!$A:$A,"新豐6線",'0127 4度C'!$B:$B,"平均")</f>
        <v>0</v>
      </c>
      <c r="E21" s="98">
        <f>SUMIFS('0127 4度C'!$AD:$AD,'0127 4度C'!$A:$A,"新豐2線",'0127 4度C'!$B:$B,"平均")</f>
        <v>0</v>
      </c>
      <c r="F21" s="98">
        <f>SUMIFS('0127 4度C'!$AD:$AD,'0127 4度C'!$A:$A,"新豐5線",'0127 4度C'!$B:$B,"平均")</f>
        <v>0</v>
      </c>
      <c r="G21" s="98">
        <f>SUMIFS('0127 4度C'!$AD:$AD,'0127 4度C'!$A:$A,"新豐7線",'0127 4度C'!$B:$B,"平均")</f>
        <v>0</v>
      </c>
      <c r="H21" s="98">
        <f>SUMIFS('0127 4度C'!$AD:$AD,'0127 4度C'!$A:$A,"新豐3線",'0127 4度C'!$B:$B,"平均")</f>
        <v>0</v>
      </c>
      <c r="I21" s="98">
        <f>SUMIFS('0127 4度C'!$AD:$AD,'0127 4度C'!$A:$A,"新豐1線",'0127 4度C'!$B:$B,"平均")</f>
        <v>0</v>
      </c>
      <c r="J21" s="99">
        <f>SUMIFS('0127 4度C'!$AD:$AD,'0127 4度C'!$A:$A,"新豐10線",'0127 4度C'!$B:$B,"平均")</f>
        <v>0</v>
      </c>
      <c r="K21" s="100">
        <f>SUMIFS('0127 4度C'!$AD:$AD,'0127 4度C'!$A:$A,"新豐8線",'0127 4度C'!$B:$B,"平均")</f>
        <v>0</v>
      </c>
      <c r="L21" s="98">
        <f>SUMIFS('0127 4度C'!$AD:$AD,'0127 4度C'!$A:$A,"新豐9線",'0127 4度C'!$B:$B,"平均")</f>
        <v>0</v>
      </c>
      <c r="M21" s="99">
        <f>SUMIFS('0127 4度C'!$AD:$AD,'0127 4度C'!$A:$A,"新豐4線",'0127 4度C'!$B:$B,"平均")</f>
        <v>0</v>
      </c>
    </row>
    <row r="22" spans="2:13" ht="17.25" customHeight="1">
      <c r="B22" s="430" t="s">
        <v>2332</v>
      </c>
      <c r="C22" s="431"/>
      <c r="D22" s="101">
        <f>SUMIFS('0127 4度C'!$I:$I,'0127 4度C'!$A:$A,"新豐6線",'0127 4度C'!$B:$B,"平均")</f>
        <v>17.166666666666668</v>
      </c>
      <c r="E22" s="102">
        <f>SUMIFS('0127 4度C'!$I:$I,'0127 4度C'!$A:$A,"新豐2線",'0127 4度C'!$B:$B,"平均")</f>
        <v>18</v>
      </c>
      <c r="F22" s="102">
        <f>SUMIFS('0127 4度C'!$I:$I,'0127 4度C'!$A:$A,"新豐5線",'0127 4度C'!$B:$B,"平均")</f>
        <v>16.857142857142858</v>
      </c>
      <c r="G22" s="102">
        <f>SUMIFS('0127 4度C'!$I:$I,'0127 4度C'!$A:$A,"新豐7線",'0127 4度C'!$B:$B,"平均")</f>
        <v>15.714285714285714</v>
      </c>
      <c r="H22" s="102">
        <f>SUMIFS('0127 4度C'!$I:$I,'0127 4度C'!$A:$A,"新豐3線",'0127 4度C'!$B:$B,"平均")</f>
        <v>10</v>
      </c>
      <c r="I22" s="102">
        <f>SUMIFS('0127 4度C'!$I:$I,'0127 4度C'!$A:$A,"新豐1線",'0127 4度C'!$B:$B,"平均")</f>
        <v>18.8</v>
      </c>
      <c r="J22" s="103">
        <f>SUMIFS('0127 4度C'!$I:$I,'0127 4度C'!$A:$A,"新豐10線",'0127 4度C'!$B:$B,"平均")</f>
        <v>10.6</v>
      </c>
      <c r="K22" s="101">
        <f>SUMIFS('0127 4度C'!$I:$I,'0127 4度C'!$A:$A,"新豐8線",'0127 4度C'!$B:$B,"平均")</f>
        <v>18.166666666666668</v>
      </c>
      <c r="L22" s="102">
        <f>SUMIFS('0127 4度C'!$I:$I,'0127 4度C'!$A:$A,"新豐9線",'0127 4度C'!$B:$B,"平均")</f>
        <v>17.625</v>
      </c>
      <c r="M22" s="103">
        <f>SUMIFS('0127 4度C'!$I:$I,'0127 4度C'!$A:$A,"新豐4線",'0127 4度C'!$B:$B,"平均")</f>
        <v>16.166666666666668</v>
      </c>
    </row>
    <row r="23" spans="2:13" ht="17.25" customHeight="1">
      <c r="B23" s="430" t="s">
        <v>2333</v>
      </c>
      <c r="C23" s="431"/>
      <c r="D23" s="104" t="s">
        <v>157</v>
      </c>
      <c r="E23" s="105" t="s">
        <v>158</v>
      </c>
      <c r="F23" s="105" t="s">
        <v>2334</v>
      </c>
      <c r="G23" s="105" t="s">
        <v>197</v>
      </c>
      <c r="H23" s="105" t="s">
        <v>159</v>
      </c>
      <c r="I23" s="105" t="s">
        <v>157</v>
      </c>
      <c r="J23" s="106" t="s">
        <v>159</v>
      </c>
      <c r="K23" s="104" t="s">
        <v>199</v>
      </c>
      <c r="L23" s="105" t="s">
        <v>2335</v>
      </c>
      <c r="M23" s="106" t="s">
        <v>2335</v>
      </c>
    </row>
    <row r="24" spans="2:13" ht="17.25" customHeight="1">
      <c r="B24" s="430" t="s">
        <v>2336</v>
      </c>
      <c r="C24" s="431"/>
      <c r="D24" s="104"/>
      <c r="E24" s="105"/>
      <c r="F24" s="105" t="s">
        <v>2337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202</v>
      </c>
      <c r="C25" s="433"/>
      <c r="D25" s="107"/>
      <c r="E25" s="108" t="s">
        <v>203</v>
      </c>
      <c r="F25" s="426" t="s">
        <v>2338</v>
      </c>
      <c r="G25" s="427"/>
      <c r="H25" s="108" t="s">
        <v>2339</v>
      </c>
      <c r="I25" s="108" t="s">
        <v>206</v>
      </c>
      <c r="J25" s="109" t="s">
        <v>2339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2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2340</v>
      </c>
      <c r="D1" s="3">
        <f>SUM(F5:F81)</f>
        <v>161464</v>
      </c>
      <c r="E1" s="398" t="s">
        <v>2341</v>
      </c>
      <c r="F1" s="1">
        <f>SUM(G5:G81)</f>
        <v>5522272.9699999988</v>
      </c>
      <c r="G1" s="1" t="s">
        <v>2342</v>
      </c>
      <c r="H1" s="5">
        <f>L11+L14+L57+L68+L22+L74+L37+L46+L30+L81</f>
        <v>159.09642857142856</v>
      </c>
      <c r="I1" s="542" t="s">
        <v>4</v>
      </c>
      <c r="J1" s="542"/>
      <c r="K1" s="542"/>
      <c r="L1" s="542" t="s">
        <v>2343</v>
      </c>
      <c r="M1" s="542"/>
      <c r="N1" s="542"/>
      <c r="O1" s="542" t="s">
        <v>2344</v>
      </c>
      <c r="P1" s="542"/>
      <c r="Q1" s="542"/>
      <c r="R1" s="542"/>
      <c r="S1" s="542" t="s">
        <v>2345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156" t="s">
        <v>8</v>
      </c>
      <c r="AD1" s="7" t="s">
        <v>2346</v>
      </c>
      <c r="AE1" s="542" t="s">
        <v>268</v>
      </c>
      <c r="AF1" s="544"/>
      <c r="AG1" s="544"/>
    </row>
    <row r="2" spans="1:33" ht="26.25" customHeight="1">
      <c r="A2" s="49">
        <v>46049</v>
      </c>
      <c r="B2" s="50" t="s">
        <v>517</v>
      </c>
      <c r="C2" s="2" t="s">
        <v>2347</v>
      </c>
      <c r="D2" s="10">
        <f>AVERAGE(N11,N14,N57,N68,N22,N74,N30,N37,N46,N81)</f>
        <v>138.01247332443467</v>
      </c>
      <c r="E2" s="11" t="s">
        <v>14</v>
      </c>
      <c r="F2" s="12">
        <f>F1/D1</f>
        <v>34.201264492394586</v>
      </c>
      <c r="G2" s="1" t="s">
        <v>15</v>
      </c>
      <c r="H2" s="410">
        <f>COUNT(H5:H81)</f>
        <v>11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SUM(Y11+Y14+Y22+Y30+Y37+Y46+Y57+Y68+Y74+Y81)</f>
        <v>0</v>
      </c>
      <c r="Z2" s="14">
        <f>SUM(Z11+Z14+Z22+Z30+Z37+Z46+Z57+Z68+Z74+Z81)</f>
        <v>0</v>
      </c>
      <c r="AA2" s="543"/>
      <c r="AB2" s="543"/>
      <c r="AC2" s="157">
        <v>39</v>
      </c>
      <c r="AD2" s="14">
        <f>SUM(AD11+AD14+AD22+AD30+AD37+AD46+AD57+AD68+AD74+AD81)</f>
        <v>0</v>
      </c>
      <c r="AE2" s="544"/>
      <c r="AF2" s="544"/>
      <c r="AG2" s="544"/>
    </row>
    <row r="3" spans="1:33" ht="40.5" customHeight="1">
      <c r="A3" s="491" t="s">
        <v>2348</v>
      </c>
      <c r="B3" s="491" t="s">
        <v>272</v>
      </c>
      <c r="C3" s="491" t="s">
        <v>2349</v>
      </c>
      <c r="D3" s="491"/>
      <c r="E3" s="540" t="s">
        <v>2350</v>
      </c>
      <c r="F3" s="491" t="s">
        <v>2351</v>
      </c>
      <c r="G3" s="540" t="s">
        <v>276</v>
      </c>
      <c r="H3" s="533" t="s">
        <v>2352</v>
      </c>
      <c r="I3" s="531" t="s">
        <v>278</v>
      </c>
      <c r="J3" s="528" t="s">
        <v>24</v>
      </c>
      <c r="K3" s="538" t="s">
        <v>13</v>
      </c>
      <c r="L3" s="531" t="s">
        <v>278</v>
      </c>
      <c r="M3" s="528" t="s">
        <v>24</v>
      </c>
      <c r="N3" s="538" t="s">
        <v>13</v>
      </c>
      <c r="O3" s="531" t="s">
        <v>2353</v>
      </c>
      <c r="P3" s="538" t="s">
        <v>2347</v>
      </c>
      <c r="Q3" s="529" t="s">
        <v>2354</v>
      </c>
      <c r="R3" s="507" t="s">
        <v>26</v>
      </c>
      <c r="S3" s="539" t="s">
        <v>27</v>
      </c>
      <c r="T3" s="539"/>
      <c r="U3" s="533" t="s">
        <v>28</v>
      </c>
      <c r="V3" s="533" t="s">
        <v>29</v>
      </c>
      <c r="W3" s="491" t="s">
        <v>30</v>
      </c>
      <c r="X3" s="491"/>
      <c r="Y3" s="534" t="s">
        <v>2355</v>
      </c>
      <c r="Z3" s="495"/>
      <c r="AA3" s="535" t="s">
        <v>2356</v>
      </c>
      <c r="AB3" s="536"/>
      <c r="AC3" s="534" t="s">
        <v>287</v>
      </c>
      <c r="AD3" s="495"/>
      <c r="AE3" s="528" t="s">
        <v>24</v>
      </c>
      <c r="AF3" s="529" t="s">
        <v>25</v>
      </c>
      <c r="AG3" s="507" t="s">
        <v>26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409" t="s">
        <v>37</v>
      </c>
      <c r="T4" s="409" t="s">
        <v>38</v>
      </c>
      <c r="U4" s="533"/>
      <c r="V4" s="533"/>
      <c r="W4" s="398" t="s">
        <v>39</v>
      </c>
      <c r="X4" s="398" t="s">
        <v>2357</v>
      </c>
      <c r="Y4" s="400" t="s">
        <v>191</v>
      </c>
      <c r="Z4" s="400" t="s">
        <v>2358</v>
      </c>
      <c r="AA4" s="537"/>
      <c r="AB4" s="536"/>
      <c r="AC4" s="400" t="s">
        <v>2359</v>
      </c>
      <c r="AD4" s="400" t="s">
        <v>2360</v>
      </c>
      <c r="AE4" s="528"/>
      <c r="AF4" s="529"/>
      <c r="AG4" s="507"/>
    </row>
    <row r="5" spans="1:33">
      <c r="A5" s="530" t="s">
        <v>45</v>
      </c>
      <c r="B5" s="42" t="s">
        <v>103</v>
      </c>
      <c r="C5" s="532" t="s">
        <v>120</v>
      </c>
      <c r="D5" s="532"/>
      <c r="E5" s="42">
        <v>50.67</v>
      </c>
      <c r="F5" s="409">
        <v>1334</v>
      </c>
      <c r="G5" s="398">
        <f t="shared" ref="G5:G10" si="0">E5*F5</f>
        <v>67593.78</v>
      </c>
      <c r="H5" s="411" t="s">
        <v>79</v>
      </c>
      <c r="I5" s="407">
        <v>17</v>
      </c>
      <c r="J5" s="37">
        <v>2000</v>
      </c>
      <c r="K5" s="17">
        <f t="shared" ref="K5:K68" si="1">J5/I5</f>
        <v>117.64705882352941</v>
      </c>
      <c r="L5" s="407">
        <v>17</v>
      </c>
      <c r="M5" s="18">
        <f t="shared" ref="M5:M10" si="2">F5/V5*60</f>
        <v>1905.7142857142851</v>
      </c>
      <c r="N5" s="17">
        <f t="shared" ref="N5:N68" si="3">M5/L5</f>
        <v>112.10084033613441</v>
      </c>
      <c r="O5" s="19">
        <f t="shared" ref="O5:O68" si="4">L5-I5</f>
        <v>0</v>
      </c>
      <c r="P5" s="20">
        <f t="shared" ref="P5:P68" si="5">N5-K5</f>
        <v>-5.5462184873949951</v>
      </c>
      <c r="Q5" s="401">
        <f t="shared" ref="Q5:Q68" si="6">N5/K5</f>
        <v>0.95285714285714251</v>
      </c>
      <c r="R5" s="489">
        <f>Q11</f>
        <v>0.96377295118674433</v>
      </c>
      <c r="S5" s="40">
        <v>0.70833333333333337</v>
      </c>
      <c r="T5" s="40">
        <v>0.73750000000000004</v>
      </c>
      <c r="U5" s="398"/>
      <c r="V5" s="408">
        <f t="shared" ref="V5:V10" si="7">(T5-S5)*24*60</f>
        <v>42.000000000000014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7" si="8">M5-J5</f>
        <v>-94.285714285714903</v>
      </c>
      <c r="AF5" s="401">
        <f t="shared" ref="AF5:AF68" si="9">M5/J5</f>
        <v>0.95285714285714251</v>
      </c>
      <c r="AG5" s="489">
        <f>AF11</f>
        <v>0.96377295118674433</v>
      </c>
    </row>
    <row r="6" spans="1:33">
      <c r="A6" s="531" t="s">
        <v>2361</v>
      </c>
      <c r="B6" s="42" t="s">
        <v>103</v>
      </c>
      <c r="C6" s="532" t="s">
        <v>121</v>
      </c>
      <c r="D6" s="532"/>
      <c r="E6" s="42">
        <v>54.09</v>
      </c>
      <c r="F6" s="409">
        <v>1290</v>
      </c>
      <c r="G6" s="398">
        <f t="shared" si="0"/>
        <v>69776.100000000006</v>
      </c>
      <c r="H6" s="411" t="s">
        <v>79</v>
      </c>
      <c r="I6" s="407">
        <v>19</v>
      </c>
      <c r="J6" s="37">
        <v>2000</v>
      </c>
      <c r="K6" s="17">
        <f t="shared" si="1"/>
        <v>105.26315789473684</v>
      </c>
      <c r="L6" s="407">
        <v>19</v>
      </c>
      <c r="M6" s="18">
        <f t="shared" si="2"/>
        <v>1934.9999999999991</v>
      </c>
      <c r="N6" s="17">
        <f t="shared" si="3"/>
        <v>101.84210526315785</v>
      </c>
      <c r="O6" s="19">
        <f t="shared" si="4"/>
        <v>0</v>
      </c>
      <c r="P6" s="20">
        <f t="shared" si="5"/>
        <v>-3.4210526315789878</v>
      </c>
      <c r="Q6" s="401">
        <f t="shared" si="6"/>
        <v>0.96749999999999958</v>
      </c>
      <c r="R6" s="489"/>
      <c r="S6" s="40">
        <v>0.74097222222222225</v>
      </c>
      <c r="T6" s="40">
        <v>0.76875000000000004</v>
      </c>
      <c r="U6" s="398">
        <f t="shared" ref="U6:U10" si="10">IF(S6=TIME(17,0,0),"",(S6-T5)*24*60)</f>
        <v>4.9999999999999822</v>
      </c>
      <c r="V6" s="408">
        <f t="shared" si="7"/>
        <v>40.000000000000014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-65.000000000000909</v>
      </c>
      <c r="AF6" s="401">
        <f t="shared" si="9"/>
        <v>0.96749999999999958</v>
      </c>
      <c r="AG6" s="489"/>
    </row>
    <row r="7" spans="1:33">
      <c r="A7" s="531" t="s">
        <v>2361</v>
      </c>
      <c r="B7" s="42" t="s">
        <v>103</v>
      </c>
      <c r="C7" s="523" t="s">
        <v>122</v>
      </c>
      <c r="D7" s="524"/>
      <c r="E7" s="42">
        <v>50.29</v>
      </c>
      <c r="F7" s="409">
        <v>948</v>
      </c>
      <c r="G7" s="398">
        <f t="shared" si="0"/>
        <v>47674.92</v>
      </c>
      <c r="H7" s="411" t="s">
        <v>79</v>
      </c>
      <c r="I7" s="407">
        <v>16</v>
      </c>
      <c r="J7" s="37">
        <v>2000</v>
      </c>
      <c r="K7" s="17">
        <f t="shared" si="1"/>
        <v>125</v>
      </c>
      <c r="L7" s="407">
        <v>16</v>
      </c>
      <c r="M7" s="18">
        <f t="shared" si="2"/>
        <v>1961.3793103448238</v>
      </c>
      <c r="N7" s="17">
        <f t="shared" si="3"/>
        <v>122.58620689655149</v>
      </c>
      <c r="O7" s="19">
        <f t="shared" si="4"/>
        <v>0</v>
      </c>
      <c r="P7" s="20">
        <f t="shared" si="5"/>
        <v>-2.4137931034485121</v>
      </c>
      <c r="Q7" s="401">
        <f t="shared" si="6"/>
        <v>0.98068965517241191</v>
      </c>
      <c r="R7" s="489"/>
      <c r="S7" s="40">
        <v>0.77430555555555558</v>
      </c>
      <c r="T7" s="40">
        <v>0.79444444444444451</v>
      </c>
      <c r="U7" s="398">
        <f t="shared" si="10"/>
        <v>7.9999999999999716</v>
      </c>
      <c r="V7" s="408">
        <f t="shared" si="7"/>
        <v>29.000000000000057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-38.620689655176193</v>
      </c>
      <c r="AF7" s="401">
        <f t="shared" si="9"/>
        <v>0.98068965517241191</v>
      </c>
      <c r="AG7" s="489"/>
    </row>
    <row r="8" spans="1:33">
      <c r="A8" s="531" t="s">
        <v>2362</v>
      </c>
      <c r="B8" s="42" t="s">
        <v>103</v>
      </c>
      <c r="C8" s="523" t="s">
        <v>1708</v>
      </c>
      <c r="D8" s="524"/>
      <c r="E8" s="42">
        <v>57.3</v>
      </c>
      <c r="F8" s="409">
        <v>700</v>
      </c>
      <c r="G8" s="398">
        <f t="shared" si="0"/>
        <v>40110</v>
      </c>
      <c r="H8" s="411">
        <v>2</v>
      </c>
      <c r="I8" s="407">
        <v>15</v>
      </c>
      <c r="J8" s="37">
        <v>2000</v>
      </c>
      <c r="K8" s="17">
        <f t="shared" si="1"/>
        <v>133.33333333333334</v>
      </c>
      <c r="L8" s="407">
        <v>15</v>
      </c>
      <c r="M8" s="18">
        <f t="shared" si="2"/>
        <v>1909.0909090909158</v>
      </c>
      <c r="N8" s="17">
        <f t="shared" si="3"/>
        <v>127.27272727272772</v>
      </c>
      <c r="O8" s="19">
        <f t="shared" si="4"/>
        <v>0</v>
      </c>
      <c r="P8" s="20">
        <f t="shared" si="5"/>
        <v>-6.0606060606056218</v>
      </c>
      <c r="Q8" s="401">
        <f t="shared" si="6"/>
        <v>0.95454545454545781</v>
      </c>
      <c r="R8" s="489"/>
      <c r="S8" s="40">
        <v>0.79791666666666672</v>
      </c>
      <c r="T8" s="40">
        <v>0.81319444444444444</v>
      </c>
      <c r="U8" s="398">
        <f t="shared" si="10"/>
        <v>4.9999999999999822</v>
      </c>
      <c r="V8" s="408">
        <f t="shared" si="7"/>
        <v>21.999999999999922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-90.909090909084171</v>
      </c>
      <c r="AF8" s="401">
        <f t="shared" si="9"/>
        <v>0.95454545454545792</v>
      </c>
      <c r="AG8" s="489"/>
    </row>
    <row r="9" spans="1:33">
      <c r="A9" s="531" t="s">
        <v>45</v>
      </c>
      <c r="B9" s="42" t="s">
        <v>103</v>
      </c>
      <c r="C9" s="523" t="s">
        <v>515</v>
      </c>
      <c r="D9" s="524"/>
      <c r="E9" s="42">
        <v>50.67</v>
      </c>
      <c r="F9" s="409">
        <v>1149</v>
      </c>
      <c r="G9" s="398">
        <f t="shared" si="0"/>
        <v>58219.83</v>
      </c>
      <c r="H9" s="411" t="s">
        <v>79</v>
      </c>
      <c r="I9" s="407">
        <v>21</v>
      </c>
      <c r="J9" s="37">
        <v>2000</v>
      </c>
      <c r="K9" s="17">
        <f t="shared" si="1"/>
        <v>95.238095238095241</v>
      </c>
      <c r="L9" s="407">
        <v>21</v>
      </c>
      <c r="M9" s="18">
        <f t="shared" si="2"/>
        <v>1914.9999999999986</v>
      </c>
      <c r="N9" s="17">
        <f t="shared" si="3"/>
        <v>91.190476190476119</v>
      </c>
      <c r="O9" s="19">
        <f t="shared" si="4"/>
        <v>0</v>
      </c>
      <c r="P9" s="20">
        <f t="shared" si="5"/>
        <v>-4.0476190476191221</v>
      </c>
      <c r="Q9" s="401">
        <f t="shared" si="6"/>
        <v>0.95749999999999924</v>
      </c>
      <c r="R9" s="489"/>
      <c r="S9" s="40">
        <v>0.81805555555555554</v>
      </c>
      <c r="T9" s="40">
        <v>0.84305555555555556</v>
      </c>
      <c r="U9" s="398">
        <f t="shared" si="10"/>
        <v>6.9999999999999751</v>
      </c>
      <c r="V9" s="408">
        <f t="shared" si="7"/>
        <v>36.000000000000028</v>
      </c>
      <c r="W9" s="23">
        <f>T9</f>
        <v>0.84305555555555556</v>
      </c>
      <c r="X9" s="23">
        <f>S10</f>
        <v>0.88402777777777775</v>
      </c>
      <c r="Y9" s="26"/>
      <c r="Z9" s="26"/>
      <c r="AA9" s="503"/>
      <c r="AB9" s="504"/>
      <c r="AC9" s="155"/>
      <c r="AD9" s="27"/>
      <c r="AE9" s="19">
        <f t="shared" si="8"/>
        <v>-85.000000000001364</v>
      </c>
      <c r="AF9" s="401">
        <f t="shared" si="9"/>
        <v>0.95749999999999935</v>
      </c>
      <c r="AG9" s="489"/>
    </row>
    <row r="10" spans="1:33">
      <c r="A10" s="531" t="s">
        <v>45</v>
      </c>
      <c r="B10" s="42" t="s">
        <v>103</v>
      </c>
      <c r="C10" s="523" t="s">
        <v>1708</v>
      </c>
      <c r="D10" s="524"/>
      <c r="E10" s="42">
        <v>57.3</v>
      </c>
      <c r="F10" s="409">
        <v>1422</v>
      </c>
      <c r="G10" s="398">
        <f t="shared" si="0"/>
        <v>81480.599999999991</v>
      </c>
      <c r="H10" s="411" t="s">
        <v>79</v>
      </c>
      <c r="I10" s="407">
        <v>15</v>
      </c>
      <c r="J10" s="37">
        <v>2000</v>
      </c>
      <c r="K10" s="17">
        <f t="shared" si="1"/>
        <v>133.33333333333334</v>
      </c>
      <c r="L10" s="407">
        <v>15</v>
      </c>
      <c r="M10" s="18">
        <f t="shared" si="2"/>
        <v>1939.0909090909092</v>
      </c>
      <c r="N10" s="17">
        <f t="shared" si="3"/>
        <v>129.27272727272728</v>
      </c>
      <c r="O10" s="19">
        <f t="shared" si="4"/>
        <v>0</v>
      </c>
      <c r="P10" s="20">
        <f t="shared" si="5"/>
        <v>-4.0606060606060623</v>
      </c>
      <c r="Q10" s="401">
        <f t="shared" si="6"/>
        <v>0.96954545454545449</v>
      </c>
      <c r="R10" s="489"/>
      <c r="S10" s="40">
        <v>0.88402777777777775</v>
      </c>
      <c r="T10" s="40">
        <v>0.9145833333333333</v>
      </c>
      <c r="U10" s="398">
        <f t="shared" si="10"/>
        <v>58.99999999999995</v>
      </c>
      <c r="V10" s="408">
        <f t="shared" si="7"/>
        <v>44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-60.909090909090764</v>
      </c>
      <c r="AF10" s="401">
        <f t="shared" si="9"/>
        <v>0.9695454545454546</v>
      </c>
      <c r="AG10" s="489"/>
    </row>
    <row r="11" spans="1:33">
      <c r="A11" s="531" t="s">
        <v>2361</v>
      </c>
      <c r="B11" s="42" t="s">
        <v>71</v>
      </c>
      <c r="C11" s="494"/>
      <c r="D11" s="494"/>
      <c r="E11" s="402"/>
      <c r="F11" s="44"/>
      <c r="G11" s="17"/>
      <c r="H11" s="409"/>
      <c r="I11" s="30">
        <v>17.166666666666668</v>
      </c>
      <c r="J11" s="37">
        <v>2000</v>
      </c>
      <c r="K11" s="17">
        <f t="shared" si="1"/>
        <v>116.50485436893203</v>
      </c>
      <c r="L11" s="30">
        <v>17.166666666666668</v>
      </c>
      <c r="M11" s="18">
        <f>AVERAGE(M5:M10)</f>
        <v>1927.5459023734886</v>
      </c>
      <c r="N11" s="17">
        <f t="shared" si="3"/>
        <v>112.28422732272749</v>
      </c>
      <c r="O11" s="19">
        <f t="shared" si="4"/>
        <v>0</v>
      </c>
      <c r="P11" s="20">
        <f t="shared" si="5"/>
        <v>-4.220627046204541</v>
      </c>
      <c r="Q11" s="401">
        <f t="shared" si="6"/>
        <v>0.96377295118674433</v>
      </c>
      <c r="R11" s="489"/>
      <c r="S11" s="40"/>
      <c r="T11" s="40"/>
      <c r="U11" s="398"/>
      <c r="V11" s="408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v>2</v>
      </c>
      <c r="AD11" s="31">
        <f>SUM(AD5:AD10)</f>
        <v>0</v>
      </c>
      <c r="AE11" s="19">
        <f t="shared" si="8"/>
        <v>-72.454097626511384</v>
      </c>
      <c r="AF11" s="401">
        <f t="shared" si="9"/>
        <v>0.96377295118674433</v>
      </c>
      <c r="AG11" s="489"/>
    </row>
    <row r="12" spans="1:33" ht="15.75" customHeight="1">
      <c r="A12" s="527" t="s">
        <v>50</v>
      </c>
      <c r="B12" s="42" t="s">
        <v>100</v>
      </c>
      <c r="C12" s="523" t="s">
        <v>124</v>
      </c>
      <c r="D12" s="524"/>
      <c r="E12" s="42">
        <v>39.619999999999997</v>
      </c>
      <c r="F12" s="409">
        <v>3151</v>
      </c>
      <c r="G12" s="398">
        <f t="shared" ref="G12:G13" si="11">E12*F12</f>
        <v>124842.62</v>
      </c>
      <c r="H12" s="411" t="s">
        <v>79</v>
      </c>
      <c r="I12" s="407">
        <v>19</v>
      </c>
      <c r="J12" s="37">
        <v>1500</v>
      </c>
      <c r="K12" s="17">
        <f t="shared" si="1"/>
        <v>78.94736842105263</v>
      </c>
      <c r="L12" s="407">
        <v>19</v>
      </c>
      <c r="M12" s="18">
        <f t="shared" ref="M12:M13" si="12">F12/V12*60</f>
        <v>1432.2727272727266</v>
      </c>
      <c r="N12" s="17">
        <f t="shared" si="3"/>
        <v>75.382775119617193</v>
      </c>
      <c r="O12" s="19">
        <f t="shared" si="4"/>
        <v>0</v>
      </c>
      <c r="P12" s="20">
        <f t="shared" si="5"/>
        <v>-3.564593301435437</v>
      </c>
      <c r="Q12" s="401">
        <f t="shared" si="6"/>
        <v>0.9548484848484845</v>
      </c>
      <c r="R12" s="489">
        <f>Q14</f>
        <v>0.95327329902801561</v>
      </c>
      <c r="S12" s="40">
        <v>0.20833333333333334</v>
      </c>
      <c r="T12" s="40">
        <v>0.30000000000000004</v>
      </c>
      <c r="U12" s="398"/>
      <c r="V12" s="408">
        <f t="shared" ref="V12:V13" si="13">(T12-S12)*24*60</f>
        <v>132.00000000000006</v>
      </c>
      <c r="W12" s="23"/>
      <c r="X12" s="23"/>
      <c r="Y12" s="23"/>
      <c r="Z12" s="23"/>
      <c r="AA12" s="491"/>
      <c r="AB12" s="491"/>
      <c r="AC12" s="154">
        <v>2</v>
      </c>
      <c r="AD12" s="25"/>
      <c r="AE12" s="19">
        <f t="shared" si="8"/>
        <v>-67.72727272727343</v>
      </c>
      <c r="AF12" s="401">
        <f t="shared" si="9"/>
        <v>0.95484848484848439</v>
      </c>
      <c r="AG12" s="489">
        <f>AF14</f>
        <v>0.95327329902801561</v>
      </c>
    </row>
    <row r="13" spans="1:33" ht="15.75" customHeight="1">
      <c r="A13" s="527" t="s">
        <v>2363</v>
      </c>
      <c r="B13" s="42" t="s">
        <v>100</v>
      </c>
      <c r="C13" s="523" t="s">
        <v>125</v>
      </c>
      <c r="D13" s="524"/>
      <c r="E13" s="42">
        <v>39.799999999999997</v>
      </c>
      <c r="F13" s="409">
        <v>5044</v>
      </c>
      <c r="G13" s="398">
        <f t="shared" si="11"/>
        <v>200751.19999999998</v>
      </c>
      <c r="H13" s="411" t="s">
        <v>79</v>
      </c>
      <c r="I13" s="407">
        <v>17</v>
      </c>
      <c r="J13" s="37">
        <v>1500</v>
      </c>
      <c r="K13" s="17">
        <f t="shared" si="1"/>
        <v>88.235294117647058</v>
      </c>
      <c r="L13" s="407">
        <v>17</v>
      </c>
      <c r="M13" s="18">
        <f t="shared" si="12"/>
        <v>1427.5471698113204</v>
      </c>
      <c r="N13" s="17">
        <f t="shared" si="3"/>
        <v>83.97336293007767</v>
      </c>
      <c r="O13" s="19">
        <f t="shared" si="4"/>
        <v>0</v>
      </c>
      <c r="P13" s="20">
        <f t="shared" si="5"/>
        <v>-4.2619311875693882</v>
      </c>
      <c r="Q13" s="401">
        <f t="shared" si="6"/>
        <v>0.95169811320754694</v>
      </c>
      <c r="R13" s="489"/>
      <c r="S13" s="40">
        <v>0.30347222222222225</v>
      </c>
      <c r="T13" s="40">
        <v>0.45069444444444451</v>
      </c>
      <c r="U13" s="398">
        <f t="shared" ref="U13" si="14">IF(S13=TIME(17,0,0),"",(S13-T12)*24*60)</f>
        <v>4.9999999999999822</v>
      </c>
      <c r="V13" s="408">
        <f t="shared" si="13"/>
        <v>212.00000000000006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-72.452830188679627</v>
      </c>
      <c r="AF13" s="401">
        <f t="shared" si="9"/>
        <v>0.95169811320754694</v>
      </c>
      <c r="AG13" s="489"/>
    </row>
    <row r="14" spans="1:33" ht="16.5" customHeight="1">
      <c r="A14" s="527" t="s">
        <v>2363</v>
      </c>
      <c r="B14" s="42" t="s">
        <v>71</v>
      </c>
      <c r="C14" s="494"/>
      <c r="D14" s="494"/>
      <c r="E14" s="402"/>
      <c r="F14" s="37"/>
      <c r="G14" s="18"/>
      <c r="H14" s="409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1429.9099485420234</v>
      </c>
      <c r="N14" s="17">
        <f t="shared" si="3"/>
        <v>79.439441585667964</v>
      </c>
      <c r="O14" s="19">
        <f t="shared" si="4"/>
        <v>0</v>
      </c>
      <c r="P14" s="20">
        <f t="shared" si="5"/>
        <v>-3.8938917476653643</v>
      </c>
      <c r="Q14" s="401">
        <f t="shared" si="6"/>
        <v>0.95327329902801561</v>
      </c>
      <c r="R14" s="489"/>
      <c r="S14" s="40"/>
      <c r="T14" s="40"/>
      <c r="U14" s="17"/>
      <c r="V14" s="408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v>2</v>
      </c>
      <c r="AD14" s="31">
        <f>SUM(AD12:AD13)</f>
        <v>0</v>
      </c>
      <c r="AE14" s="19">
        <f t="shared" si="8"/>
        <v>-70.090051457976642</v>
      </c>
      <c r="AF14" s="401">
        <f t="shared" si="9"/>
        <v>0.95327329902801561</v>
      </c>
      <c r="AG14" s="489"/>
    </row>
    <row r="15" spans="1:33" ht="16.5" customHeight="1">
      <c r="A15" s="525" t="s">
        <v>52</v>
      </c>
      <c r="B15" s="409" t="s">
        <v>126</v>
      </c>
      <c r="C15" s="515" t="s">
        <v>127</v>
      </c>
      <c r="D15" s="515"/>
      <c r="E15" s="42">
        <v>41</v>
      </c>
      <c r="F15" s="409">
        <v>2223</v>
      </c>
      <c r="G15" s="398">
        <f t="shared" ref="G15:G21" si="15">E15*F15</f>
        <v>91143</v>
      </c>
      <c r="H15" s="411" t="s">
        <v>79</v>
      </c>
      <c r="I15" s="407">
        <v>26</v>
      </c>
      <c r="J15" s="37">
        <v>1500</v>
      </c>
      <c r="K15" s="17">
        <f t="shared" si="1"/>
        <v>57.692307692307693</v>
      </c>
      <c r="L15" s="407">
        <v>26</v>
      </c>
      <c r="M15" s="18">
        <f t="shared" ref="M15:M21" si="16">F15/V15*60</f>
        <v>1434.1935483870964</v>
      </c>
      <c r="N15" s="17">
        <f t="shared" si="3"/>
        <v>55.161290322580626</v>
      </c>
      <c r="O15" s="19">
        <f t="shared" si="4"/>
        <v>0</v>
      </c>
      <c r="P15" s="20">
        <f t="shared" si="5"/>
        <v>-2.531017369727067</v>
      </c>
      <c r="Q15" s="401">
        <f t="shared" si="6"/>
        <v>0.95612903225806423</v>
      </c>
      <c r="R15" s="489">
        <f>Q22</f>
        <v>0.96221221210551289</v>
      </c>
      <c r="S15" s="40">
        <v>0.20833333333333334</v>
      </c>
      <c r="T15" s="40">
        <v>0.2729166666666667</v>
      </c>
      <c r="U15" s="398"/>
      <c r="V15" s="408">
        <f t="shared" ref="V15:V21" si="17">(T15-S15)*24*60</f>
        <v>93.000000000000028</v>
      </c>
      <c r="W15" s="28"/>
      <c r="X15" s="28"/>
      <c r="Y15" s="28"/>
      <c r="Z15" s="28"/>
      <c r="AA15" s="491"/>
      <c r="AB15" s="491"/>
      <c r="AC15" s="154">
        <v>3</v>
      </c>
      <c r="AD15" s="25"/>
      <c r="AE15" s="19">
        <f t="shared" si="8"/>
        <v>-65.806451612903629</v>
      </c>
      <c r="AF15" s="401">
        <f t="shared" si="9"/>
        <v>0.95612903225806423</v>
      </c>
      <c r="AG15" s="489">
        <f>AF22</f>
        <v>0.96221221210551289</v>
      </c>
    </row>
    <row r="16" spans="1:33" ht="16.5" customHeight="1">
      <c r="A16" s="526" t="s">
        <v>2364</v>
      </c>
      <c r="B16" s="409" t="s">
        <v>128</v>
      </c>
      <c r="C16" s="515" t="s">
        <v>129</v>
      </c>
      <c r="D16" s="515"/>
      <c r="E16" s="42">
        <v>72.400000000000006</v>
      </c>
      <c r="F16" s="409">
        <v>853</v>
      </c>
      <c r="G16" s="398">
        <f t="shared" si="15"/>
        <v>61757.200000000004</v>
      </c>
      <c r="H16" s="411" t="s">
        <v>79</v>
      </c>
      <c r="I16" s="407">
        <v>18</v>
      </c>
      <c r="J16" s="37">
        <v>1500</v>
      </c>
      <c r="K16" s="17">
        <f t="shared" si="1"/>
        <v>83.333333333333329</v>
      </c>
      <c r="L16" s="407">
        <v>18</v>
      </c>
      <c r="M16" s="18">
        <f t="shared" si="16"/>
        <v>1462.2857142857126</v>
      </c>
      <c r="N16" s="17">
        <f t="shared" si="3"/>
        <v>81.238095238095141</v>
      </c>
      <c r="O16" s="19">
        <f t="shared" si="4"/>
        <v>0</v>
      </c>
      <c r="P16" s="20">
        <f t="shared" si="5"/>
        <v>-2.0952380952381873</v>
      </c>
      <c r="Q16" s="401">
        <f t="shared" si="6"/>
        <v>0.97485714285714176</v>
      </c>
      <c r="R16" s="489"/>
      <c r="S16" s="40">
        <v>0.27847222222222223</v>
      </c>
      <c r="T16" s="40">
        <v>0.30277777777777781</v>
      </c>
      <c r="U16" s="398">
        <f t="shared" ref="U16:U21" si="18">IF(S16=TIME(17,0,0),"",(S16-T15)*24*60)</f>
        <v>7.9999999999999716</v>
      </c>
      <c r="V16" s="408">
        <f t="shared" si="17"/>
        <v>35.000000000000036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-37.714285714287371</v>
      </c>
      <c r="AF16" s="401">
        <f t="shared" si="9"/>
        <v>0.97485714285714176</v>
      </c>
      <c r="AG16" s="489"/>
    </row>
    <row r="17" spans="1:33" ht="16.5" customHeight="1">
      <c r="A17" s="526" t="s">
        <v>2364</v>
      </c>
      <c r="B17" s="409" t="s">
        <v>103</v>
      </c>
      <c r="C17" s="515" t="s">
        <v>123</v>
      </c>
      <c r="D17" s="515"/>
      <c r="E17" s="42">
        <v>50.98</v>
      </c>
      <c r="F17" s="409">
        <v>1000</v>
      </c>
      <c r="G17" s="398">
        <f t="shared" si="15"/>
        <v>50980</v>
      </c>
      <c r="H17" s="411">
        <v>2</v>
      </c>
      <c r="I17" s="407">
        <v>16</v>
      </c>
      <c r="J17" s="37">
        <v>2000</v>
      </c>
      <c r="K17" s="17">
        <f t="shared" si="1"/>
        <v>125</v>
      </c>
      <c r="L17" s="407">
        <v>16</v>
      </c>
      <c r="M17" s="18">
        <f t="shared" si="16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401">
        <f t="shared" si="6"/>
        <v>0.96774193548386944</v>
      </c>
      <c r="R17" s="489"/>
      <c r="S17" s="40">
        <v>0.70833333333333337</v>
      </c>
      <c r="T17" s="40">
        <v>0.72986111111111118</v>
      </c>
      <c r="U17" s="398" t="str">
        <f t="shared" si="18"/>
        <v/>
      </c>
      <c r="V17" s="408">
        <f t="shared" si="17"/>
        <v>31.00000000000005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-64.516129032261006</v>
      </c>
      <c r="AF17" s="401">
        <f t="shared" si="9"/>
        <v>0.96774193548386944</v>
      </c>
      <c r="AG17" s="489"/>
    </row>
    <row r="18" spans="1:33" ht="16.5" customHeight="1">
      <c r="A18" s="526" t="s">
        <v>2364</v>
      </c>
      <c r="B18" s="409" t="s">
        <v>103</v>
      </c>
      <c r="C18" s="515" t="s">
        <v>132</v>
      </c>
      <c r="D18" s="515"/>
      <c r="E18" s="42">
        <v>50.92</v>
      </c>
      <c r="F18" s="409">
        <v>700</v>
      </c>
      <c r="G18" s="398">
        <f t="shared" si="15"/>
        <v>35644</v>
      </c>
      <c r="H18" s="411">
        <v>2</v>
      </c>
      <c r="I18" s="407">
        <v>15</v>
      </c>
      <c r="J18" s="37">
        <v>2000</v>
      </c>
      <c r="K18" s="17">
        <f t="shared" si="1"/>
        <v>133.33333333333334</v>
      </c>
      <c r="L18" s="407">
        <v>15</v>
      </c>
      <c r="M18" s="18">
        <f t="shared" si="16"/>
        <v>1909.0909090909158</v>
      </c>
      <c r="N18" s="17">
        <f t="shared" si="3"/>
        <v>127.27272727272772</v>
      </c>
      <c r="O18" s="19">
        <f t="shared" si="4"/>
        <v>0</v>
      </c>
      <c r="P18" s="20">
        <f t="shared" si="5"/>
        <v>-6.0606060606056218</v>
      </c>
      <c r="Q18" s="401">
        <f t="shared" si="6"/>
        <v>0.95454545454545781</v>
      </c>
      <c r="R18" s="489"/>
      <c r="S18" s="40">
        <v>0.73472222222222228</v>
      </c>
      <c r="T18" s="40">
        <v>0.75</v>
      </c>
      <c r="U18" s="398">
        <f t="shared" si="18"/>
        <v>6.9999999999999751</v>
      </c>
      <c r="V18" s="408">
        <f t="shared" si="17"/>
        <v>21.999999999999922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-90.909090909084171</v>
      </c>
      <c r="AF18" s="401">
        <f t="shared" si="9"/>
        <v>0.95454545454545792</v>
      </c>
      <c r="AG18" s="489"/>
    </row>
    <row r="19" spans="1:33" ht="16.5" customHeight="1">
      <c r="A19" s="526" t="s">
        <v>2364</v>
      </c>
      <c r="B19" s="409" t="s">
        <v>103</v>
      </c>
      <c r="C19" s="515" t="s">
        <v>133</v>
      </c>
      <c r="D19" s="515"/>
      <c r="E19" s="42">
        <v>50.67</v>
      </c>
      <c r="F19" s="409">
        <v>1677</v>
      </c>
      <c r="G19" s="398">
        <f t="shared" si="15"/>
        <v>84973.59</v>
      </c>
      <c r="H19" s="411" t="s">
        <v>79</v>
      </c>
      <c r="I19" s="407">
        <v>15</v>
      </c>
      <c r="J19" s="37">
        <v>2000</v>
      </c>
      <c r="K19" s="17">
        <f t="shared" si="1"/>
        <v>133.33333333333334</v>
      </c>
      <c r="L19" s="407">
        <v>15</v>
      </c>
      <c r="M19" s="18">
        <f t="shared" si="16"/>
        <v>1935.0000000000009</v>
      </c>
      <c r="N19" s="17">
        <f t="shared" si="3"/>
        <v>129.00000000000006</v>
      </c>
      <c r="O19" s="19">
        <f t="shared" si="4"/>
        <v>0</v>
      </c>
      <c r="P19" s="20">
        <f t="shared" si="5"/>
        <v>-4.333333333333286</v>
      </c>
      <c r="Q19" s="401">
        <f t="shared" si="6"/>
        <v>0.96750000000000036</v>
      </c>
      <c r="R19" s="489"/>
      <c r="S19" s="40">
        <v>0.75347222222222221</v>
      </c>
      <c r="T19" s="40">
        <v>0.7895833333333333</v>
      </c>
      <c r="U19" s="398">
        <f t="shared" si="18"/>
        <v>4.9999999999999822</v>
      </c>
      <c r="V19" s="408">
        <f t="shared" si="17"/>
        <v>51.999999999999972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-64.999999999999091</v>
      </c>
      <c r="AF19" s="401">
        <f t="shared" si="9"/>
        <v>0.96750000000000047</v>
      </c>
      <c r="AG19" s="489"/>
    </row>
    <row r="20" spans="1:33" ht="16.5" customHeight="1">
      <c r="A20" s="526" t="s">
        <v>2364</v>
      </c>
      <c r="B20" s="409" t="s">
        <v>103</v>
      </c>
      <c r="C20" s="521" t="s">
        <v>134</v>
      </c>
      <c r="D20" s="522"/>
      <c r="E20" s="42">
        <v>57.3</v>
      </c>
      <c r="F20" s="409">
        <v>1986</v>
      </c>
      <c r="G20" s="398">
        <f t="shared" si="15"/>
        <v>113797.79999999999</v>
      </c>
      <c r="H20" s="411" t="s">
        <v>79</v>
      </c>
      <c r="I20" s="407">
        <v>13</v>
      </c>
      <c r="J20" s="37">
        <v>2000</v>
      </c>
      <c r="K20" s="17">
        <f t="shared" si="1"/>
        <v>153.84615384615384</v>
      </c>
      <c r="L20" s="407">
        <v>13</v>
      </c>
      <c r="M20" s="18">
        <f t="shared" si="16"/>
        <v>1921.9354838709694</v>
      </c>
      <c r="N20" s="17">
        <f t="shared" si="3"/>
        <v>147.84119106699765</v>
      </c>
      <c r="O20" s="19">
        <f t="shared" si="4"/>
        <v>0</v>
      </c>
      <c r="P20" s="20">
        <f t="shared" si="5"/>
        <v>-6.0049627791561875</v>
      </c>
      <c r="Q20" s="401">
        <f t="shared" si="6"/>
        <v>0.96096774193548473</v>
      </c>
      <c r="R20" s="489"/>
      <c r="S20" s="40">
        <v>0.7944444444444444</v>
      </c>
      <c r="T20" s="40">
        <v>0.83749999999999991</v>
      </c>
      <c r="U20" s="398">
        <f t="shared" si="18"/>
        <v>6.9999999999999751</v>
      </c>
      <c r="V20" s="408">
        <f t="shared" si="17"/>
        <v>61.999999999999943</v>
      </c>
      <c r="W20" s="23">
        <f>T20</f>
        <v>0.83749999999999991</v>
      </c>
      <c r="X20" s="23">
        <f>S21</f>
        <v>0.87916666666666654</v>
      </c>
      <c r="Y20" s="26"/>
      <c r="Z20" s="26"/>
      <c r="AA20" s="503"/>
      <c r="AB20" s="504"/>
      <c r="AC20" s="154"/>
      <c r="AD20" s="25"/>
      <c r="AE20" s="19">
        <f t="shared" si="8"/>
        <v>-78.064516129030608</v>
      </c>
      <c r="AF20" s="401">
        <f t="shared" si="9"/>
        <v>0.96096774193548473</v>
      </c>
      <c r="AG20" s="489"/>
    </row>
    <row r="21" spans="1:33" ht="16.5" customHeight="1">
      <c r="A21" s="526" t="s">
        <v>52</v>
      </c>
      <c r="B21" s="409" t="s">
        <v>103</v>
      </c>
      <c r="C21" s="405" t="s">
        <v>132</v>
      </c>
      <c r="D21" s="406"/>
      <c r="E21" s="42">
        <v>50.92</v>
      </c>
      <c r="F21" s="409">
        <v>1656</v>
      </c>
      <c r="G21" s="398">
        <f t="shared" si="15"/>
        <v>84323.520000000004</v>
      </c>
      <c r="H21" s="411" t="s">
        <v>79</v>
      </c>
      <c r="I21" s="407">
        <v>15</v>
      </c>
      <c r="J21" s="37">
        <v>2000</v>
      </c>
      <c r="K21" s="17">
        <f t="shared" si="1"/>
        <v>133.33333333333334</v>
      </c>
      <c r="L21" s="407">
        <v>15</v>
      </c>
      <c r="M21" s="18">
        <f t="shared" si="16"/>
        <v>1910.7692307692319</v>
      </c>
      <c r="N21" s="17">
        <f t="shared" si="3"/>
        <v>127.38461538461546</v>
      </c>
      <c r="O21" s="19">
        <f t="shared" si="4"/>
        <v>0</v>
      </c>
      <c r="P21" s="20">
        <f t="shared" si="5"/>
        <v>-5.948717948717885</v>
      </c>
      <c r="Q21" s="401">
        <f t="shared" si="6"/>
        <v>0.95538461538461583</v>
      </c>
      <c r="R21" s="489"/>
      <c r="S21" s="40">
        <v>0.87916666666666654</v>
      </c>
      <c r="T21" s="40">
        <v>0.91527777777777763</v>
      </c>
      <c r="U21" s="398">
        <f t="shared" si="18"/>
        <v>59.999999999999943</v>
      </c>
      <c r="V21" s="408">
        <f t="shared" si="17"/>
        <v>51.999999999999972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-89.230769230768146</v>
      </c>
      <c r="AF21" s="401">
        <f t="shared" si="9"/>
        <v>0.95538461538461594</v>
      </c>
      <c r="AG21" s="489"/>
    </row>
    <row r="22" spans="1:33" ht="16.5" customHeight="1">
      <c r="A22" s="526" t="s">
        <v>52</v>
      </c>
      <c r="B22" s="42" t="s">
        <v>71</v>
      </c>
      <c r="C22" s="494"/>
      <c r="D22" s="494"/>
      <c r="E22" s="402"/>
      <c r="F22" s="44"/>
      <c r="G22" s="17"/>
      <c r="H22" s="409"/>
      <c r="I22" s="30">
        <v>16.857142857142858</v>
      </c>
      <c r="J22" s="37">
        <v>1857.1428571428571</v>
      </c>
      <c r="K22" s="17">
        <f t="shared" si="1"/>
        <v>110.16949152542372</v>
      </c>
      <c r="L22" s="30">
        <v>16.857142857142858</v>
      </c>
      <c r="M22" s="18">
        <f>AVERAGE(M15:M21)</f>
        <v>1786.9655367673811</v>
      </c>
      <c r="N22" s="17">
        <f t="shared" si="3"/>
        <v>106.00643014721751</v>
      </c>
      <c r="O22" s="19">
        <f t="shared" si="4"/>
        <v>0</v>
      </c>
      <c r="P22" s="20">
        <f t="shared" si="5"/>
        <v>-4.1630613782062085</v>
      </c>
      <c r="Q22" s="401">
        <f t="shared" si="6"/>
        <v>0.96221221210551289</v>
      </c>
      <c r="R22" s="489"/>
      <c r="S22" s="40"/>
      <c r="T22" s="40"/>
      <c r="U22" s="398"/>
      <c r="V22" s="408"/>
      <c r="W22" s="17"/>
      <c r="X22" s="17"/>
      <c r="Y22" s="31">
        <f>SUM(Y15:Y21)</f>
        <v>0</v>
      </c>
      <c r="Z22" s="31">
        <f>SUM(Z15:Z21)</f>
        <v>0</v>
      </c>
      <c r="AA22" s="495"/>
      <c r="AB22" s="495"/>
      <c r="AC22" s="31">
        <v>3</v>
      </c>
      <c r="AD22" s="31">
        <f>SUM(AD15:AD21)</f>
        <v>0</v>
      </c>
      <c r="AE22" s="19">
        <f t="shared" si="8"/>
        <v>-70.177320375476029</v>
      </c>
      <c r="AF22" s="401">
        <f t="shared" si="9"/>
        <v>0.96221221210551289</v>
      </c>
      <c r="AG22" s="489"/>
    </row>
    <row r="23" spans="1:33" ht="15.75" customHeight="1">
      <c r="A23" s="519" t="s">
        <v>56</v>
      </c>
      <c r="B23" s="42" t="s">
        <v>126</v>
      </c>
      <c r="C23" s="515" t="s">
        <v>135</v>
      </c>
      <c r="D23" s="515"/>
      <c r="E23" s="42">
        <v>43.14</v>
      </c>
      <c r="F23" s="409">
        <v>1070</v>
      </c>
      <c r="G23" s="398">
        <f t="shared" ref="G23:G29" si="19">E23*F23</f>
        <v>46159.8</v>
      </c>
      <c r="H23" s="411" t="s">
        <v>79</v>
      </c>
      <c r="I23" s="407">
        <v>17</v>
      </c>
      <c r="J23" s="37">
        <v>2000</v>
      </c>
      <c r="K23" s="17">
        <f t="shared" si="1"/>
        <v>117.64705882352941</v>
      </c>
      <c r="L23" s="407">
        <v>17</v>
      </c>
      <c r="M23" s="18">
        <f t="shared" ref="M23:M29" si="20">F23/V23*60</f>
        <v>1945.4545454545453</v>
      </c>
      <c r="N23" s="17">
        <f t="shared" si="3"/>
        <v>114.43850267379678</v>
      </c>
      <c r="O23" s="19">
        <f t="shared" si="4"/>
        <v>0</v>
      </c>
      <c r="P23" s="20">
        <f t="shared" si="5"/>
        <v>-3.2085561497326296</v>
      </c>
      <c r="Q23" s="401">
        <f t="shared" si="6"/>
        <v>0.97272727272727266</v>
      </c>
      <c r="R23" s="489">
        <f>Q30</f>
        <v>0.96172203188267713</v>
      </c>
      <c r="S23" s="40">
        <v>0.20833333333333334</v>
      </c>
      <c r="T23" s="40">
        <v>0.23125000000000001</v>
      </c>
      <c r="U23" s="398"/>
      <c r="V23" s="408">
        <f t="shared" ref="V23:V29" si="21">(T23-S23)*24*60</f>
        <v>33</v>
      </c>
      <c r="W23" s="28"/>
      <c r="X23" s="28"/>
      <c r="Y23" s="28"/>
      <c r="Z23" s="28"/>
      <c r="AA23" s="491"/>
      <c r="AB23" s="491"/>
      <c r="AC23" s="154">
        <v>3</v>
      </c>
      <c r="AD23" s="25"/>
      <c r="AE23" s="19">
        <f t="shared" si="8"/>
        <v>-54.545454545454731</v>
      </c>
      <c r="AF23" s="401">
        <f t="shared" si="9"/>
        <v>0.97272727272727266</v>
      </c>
      <c r="AG23" s="489">
        <f>AF30</f>
        <v>0.96172203188267702</v>
      </c>
    </row>
    <row r="24" spans="1:33" ht="15.75" customHeight="1">
      <c r="A24" s="520" t="s">
        <v>2365</v>
      </c>
      <c r="B24" s="42" t="s">
        <v>103</v>
      </c>
      <c r="C24" s="515" t="s">
        <v>137</v>
      </c>
      <c r="D24" s="515"/>
      <c r="E24" s="42">
        <v>57.73</v>
      </c>
      <c r="F24" s="409">
        <v>2410</v>
      </c>
      <c r="G24" s="398">
        <f t="shared" si="19"/>
        <v>139129.29999999999</v>
      </c>
      <c r="H24" s="411" t="s">
        <v>79</v>
      </c>
      <c r="I24" s="407">
        <v>14</v>
      </c>
      <c r="J24" s="37">
        <v>2000</v>
      </c>
      <c r="K24" s="17">
        <f t="shared" si="1"/>
        <v>142.85714285714286</v>
      </c>
      <c r="L24" s="407">
        <v>14</v>
      </c>
      <c r="M24" s="18">
        <f t="shared" si="20"/>
        <v>1927.9999999999995</v>
      </c>
      <c r="N24" s="17">
        <f t="shared" si="3"/>
        <v>137.71428571428569</v>
      </c>
      <c r="O24" s="19">
        <f t="shared" si="4"/>
        <v>0</v>
      </c>
      <c r="P24" s="20">
        <f t="shared" si="5"/>
        <v>-5.1428571428571672</v>
      </c>
      <c r="Q24" s="401">
        <f t="shared" si="6"/>
        <v>0.96399999999999986</v>
      </c>
      <c r="R24" s="489"/>
      <c r="S24" s="40">
        <v>0.23680555555555557</v>
      </c>
      <c r="T24" s="40">
        <v>0.28888888888888892</v>
      </c>
      <c r="U24" s="398">
        <f t="shared" ref="U24:U29" si="22">IF(S24=TIME(17,0,0),"",(S24-T23)*24*60)</f>
        <v>8.0000000000000107</v>
      </c>
      <c r="V24" s="408">
        <f t="shared" si="21"/>
        <v>75.000000000000014</v>
      </c>
      <c r="W24" s="23"/>
      <c r="X24" s="398"/>
      <c r="Y24" s="398"/>
      <c r="Z24" s="398"/>
      <c r="AA24" s="491"/>
      <c r="AB24" s="491"/>
      <c r="AC24" s="154"/>
      <c r="AD24" s="25"/>
      <c r="AE24" s="19">
        <f t="shared" si="8"/>
        <v>-72.000000000000455</v>
      </c>
      <c r="AF24" s="401">
        <f t="shared" si="9"/>
        <v>0.96399999999999975</v>
      </c>
      <c r="AG24" s="489"/>
    </row>
    <row r="25" spans="1:33" ht="15.75" customHeight="1">
      <c r="A25" s="520" t="s">
        <v>56</v>
      </c>
      <c r="B25" s="42" t="s">
        <v>103</v>
      </c>
      <c r="C25" s="515" t="s">
        <v>138</v>
      </c>
      <c r="D25" s="515"/>
      <c r="E25" s="42">
        <v>53.68</v>
      </c>
      <c r="F25" s="409">
        <v>1481</v>
      </c>
      <c r="G25" s="398">
        <f t="shared" si="19"/>
        <v>79500.08</v>
      </c>
      <c r="H25" s="411" t="s">
        <v>79</v>
      </c>
      <c r="I25" s="407">
        <v>16</v>
      </c>
      <c r="J25" s="37">
        <v>2000</v>
      </c>
      <c r="K25" s="17">
        <f t="shared" si="1"/>
        <v>125</v>
      </c>
      <c r="L25" s="407">
        <v>16</v>
      </c>
      <c r="M25" s="18">
        <f t="shared" si="20"/>
        <v>1931.7391304347827</v>
      </c>
      <c r="N25" s="17">
        <f t="shared" si="3"/>
        <v>120.73369565217392</v>
      </c>
      <c r="O25" s="19">
        <f t="shared" si="4"/>
        <v>0</v>
      </c>
      <c r="P25" s="20">
        <f t="shared" si="5"/>
        <v>-4.2663043478260789</v>
      </c>
      <c r="Q25" s="401">
        <f t="shared" si="6"/>
        <v>0.96586956521739142</v>
      </c>
      <c r="R25" s="489"/>
      <c r="S25" s="40">
        <v>0.29444444444444445</v>
      </c>
      <c r="T25" s="40">
        <v>0.3263888888888889</v>
      </c>
      <c r="U25" s="398">
        <f t="shared" si="22"/>
        <v>7.9999999999999716</v>
      </c>
      <c r="V25" s="408">
        <f t="shared" si="21"/>
        <v>46</v>
      </c>
      <c r="W25" s="23"/>
      <c r="X25" s="398"/>
      <c r="Y25" s="398"/>
      <c r="Z25" s="398"/>
      <c r="AA25" s="491"/>
      <c r="AB25" s="491"/>
      <c r="AC25" s="154"/>
      <c r="AD25" s="25"/>
      <c r="AE25" s="19">
        <f t="shared" si="8"/>
        <v>-68.260869565217263</v>
      </c>
      <c r="AF25" s="401">
        <f t="shared" si="9"/>
        <v>0.96586956521739142</v>
      </c>
      <c r="AG25" s="489"/>
    </row>
    <row r="26" spans="1:33" ht="15.75" customHeight="1">
      <c r="A26" s="520" t="s">
        <v>2365</v>
      </c>
      <c r="B26" s="42" t="s">
        <v>103</v>
      </c>
      <c r="C26" s="515" t="s">
        <v>140</v>
      </c>
      <c r="D26" s="515"/>
      <c r="E26" s="42">
        <v>50.49</v>
      </c>
      <c r="F26" s="409">
        <v>2069</v>
      </c>
      <c r="G26" s="398">
        <f t="shared" si="19"/>
        <v>104463.81</v>
      </c>
      <c r="H26" s="411" t="s">
        <v>79</v>
      </c>
      <c r="I26" s="407">
        <v>15</v>
      </c>
      <c r="J26" s="37">
        <v>2000</v>
      </c>
      <c r="K26" s="17">
        <f t="shared" si="1"/>
        <v>133.33333333333334</v>
      </c>
      <c r="L26" s="407">
        <v>15</v>
      </c>
      <c r="M26" s="18">
        <f t="shared" si="20"/>
        <v>1909.8461538461561</v>
      </c>
      <c r="N26" s="17">
        <f t="shared" si="3"/>
        <v>127.32307692307707</v>
      </c>
      <c r="O26" s="19">
        <f t="shared" si="4"/>
        <v>0</v>
      </c>
      <c r="P26" s="20">
        <f t="shared" si="5"/>
        <v>-6.0102564102562752</v>
      </c>
      <c r="Q26" s="401">
        <f t="shared" si="6"/>
        <v>0.95492307692307798</v>
      </c>
      <c r="R26" s="489"/>
      <c r="S26" s="40">
        <v>0.70833333333333337</v>
      </c>
      <c r="T26" s="40">
        <v>0.75347222222222221</v>
      </c>
      <c r="U26" s="398" t="str">
        <f t="shared" si="22"/>
        <v/>
      </c>
      <c r="V26" s="408">
        <f t="shared" si="21"/>
        <v>64.999999999999929</v>
      </c>
      <c r="W26" s="23"/>
      <c r="X26" s="398"/>
      <c r="Y26" s="398"/>
      <c r="Z26" s="398"/>
      <c r="AA26" s="491"/>
      <c r="AB26" s="491"/>
      <c r="AC26" s="154"/>
      <c r="AD26" s="25"/>
      <c r="AE26" s="19">
        <f t="shared" si="8"/>
        <v>-90.153846153843915</v>
      </c>
      <c r="AF26" s="401">
        <f t="shared" si="9"/>
        <v>0.9549230769230781</v>
      </c>
      <c r="AG26" s="489"/>
    </row>
    <row r="27" spans="1:33" ht="15.75" customHeight="1">
      <c r="A27" s="520" t="s">
        <v>2365</v>
      </c>
      <c r="B27" s="42" t="s">
        <v>103</v>
      </c>
      <c r="C27" s="515" t="s">
        <v>516</v>
      </c>
      <c r="D27" s="515"/>
      <c r="E27" s="42">
        <v>50.67</v>
      </c>
      <c r="F27" s="409">
        <v>1313</v>
      </c>
      <c r="G27" s="398">
        <f t="shared" si="19"/>
        <v>66529.710000000006</v>
      </c>
      <c r="H27" s="411" t="s">
        <v>79</v>
      </c>
      <c r="I27" s="407">
        <v>16</v>
      </c>
      <c r="J27" s="37">
        <v>2000</v>
      </c>
      <c r="K27" s="17">
        <f t="shared" si="1"/>
        <v>125</v>
      </c>
      <c r="L27" s="407">
        <v>16</v>
      </c>
      <c r="M27" s="18">
        <f t="shared" si="20"/>
        <v>1921.4634146341459</v>
      </c>
      <c r="N27" s="17">
        <f t="shared" si="3"/>
        <v>120.09146341463412</v>
      </c>
      <c r="O27" s="19">
        <f t="shared" si="4"/>
        <v>0</v>
      </c>
      <c r="P27" s="20">
        <f t="shared" si="5"/>
        <v>-4.90853658536588</v>
      </c>
      <c r="Q27" s="401">
        <f t="shared" si="6"/>
        <v>0.96073170731707291</v>
      </c>
      <c r="R27" s="489"/>
      <c r="S27" s="40">
        <v>0.75902777777777775</v>
      </c>
      <c r="T27" s="40">
        <v>0.78749999999999998</v>
      </c>
      <c r="U27" s="398">
        <f t="shared" si="22"/>
        <v>7.9999999999999716</v>
      </c>
      <c r="V27" s="408">
        <f t="shared" si="21"/>
        <v>41.000000000000014</v>
      </c>
      <c r="W27" s="23"/>
      <c r="X27" s="398"/>
      <c r="Y27" s="398"/>
      <c r="Z27" s="398"/>
      <c r="AA27" s="491"/>
      <c r="AB27" s="491"/>
      <c r="AC27" s="154"/>
      <c r="AD27" s="25"/>
      <c r="AE27" s="19">
        <f t="shared" si="8"/>
        <v>-78.53658536585408</v>
      </c>
      <c r="AF27" s="401">
        <f t="shared" si="9"/>
        <v>0.96073170731707291</v>
      </c>
      <c r="AG27" s="489"/>
    </row>
    <row r="28" spans="1:33" ht="15.75" customHeight="1">
      <c r="A28" s="520" t="s">
        <v>56</v>
      </c>
      <c r="B28" s="42" t="s">
        <v>103</v>
      </c>
      <c r="C28" s="515" t="s">
        <v>142</v>
      </c>
      <c r="D28" s="515"/>
      <c r="E28" s="42">
        <v>53.68</v>
      </c>
      <c r="F28" s="409">
        <v>2047</v>
      </c>
      <c r="G28" s="398">
        <f t="shared" si="19"/>
        <v>109882.96</v>
      </c>
      <c r="H28" s="411" t="s">
        <v>79</v>
      </c>
      <c r="I28" s="407">
        <v>16</v>
      </c>
      <c r="J28" s="37">
        <v>1500</v>
      </c>
      <c r="K28" s="17">
        <f t="shared" si="1"/>
        <v>93.75</v>
      </c>
      <c r="L28" s="407">
        <v>16</v>
      </c>
      <c r="M28" s="18">
        <f t="shared" si="20"/>
        <v>1428.1395348837207</v>
      </c>
      <c r="N28" s="17">
        <f t="shared" si="3"/>
        <v>89.258720930232542</v>
      </c>
      <c r="O28" s="19">
        <f t="shared" si="4"/>
        <v>0</v>
      </c>
      <c r="P28" s="20">
        <f t="shared" si="5"/>
        <v>-4.4912790697674581</v>
      </c>
      <c r="Q28" s="401">
        <f t="shared" si="6"/>
        <v>0.9520930232558138</v>
      </c>
      <c r="R28" s="489"/>
      <c r="S28" s="40">
        <v>0.79166666666666663</v>
      </c>
      <c r="T28" s="40">
        <v>0.85138888888888886</v>
      </c>
      <c r="U28" s="398">
        <f t="shared" si="22"/>
        <v>5.9999999999999787</v>
      </c>
      <c r="V28" s="408">
        <f t="shared" si="21"/>
        <v>86.000000000000014</v>
      </c>
      <c r="W28" s="23">
        <f>T28</f>
        <v>0.85138888888888886</v>
      </c>
      <c r="X28" s="23">
        <f>S29</f>
        <v>0.89027777777777772</v>
      </c>
      <c r="Y28" s="28"/>
      <c r="Z28" s="28"/>
      <c r="AA28" s="491"/>
      <c r="AB28" s="491"/>
      <c r="AC28" s="154"/>
      <c r="AD28" s="25"/>
      <c r="AE28" s="19">
        <f t="shared" si="8"/>
        <v>-71.860465116279329</v>
      </c>
      <c r="AF28" s="401">
        <f t="shared" si="9"/>
        <v>0.9520930232558138</v>
      </c>
      <c r="AG28" s="489"/>
    </row>
    <row r="29" spans="1:33" ht="15.75" customHeight="1">
      <c r="A29" s="520" t="s">
        <v>2365</v>
      </c>
      <c r="B29" s="42" t="s">
        <v>103</v>
      </c>
      <c r="C29" s="515" t="s">
        <v>123</v>
      </c>
      <c r="D29" s="515"/>
      <c r="E29" s="42">
        <v>50.98</v>
      </c>
      <c r="F29" s="409">
        <v>1375</v>
      </c>
      <c r="G29" s="398">
        <f t="shared" si="19"/>
        <v>70097.5</v>
      </c>
      <c r="H29" s="411" t="s">
        <v>79</v>
      </c>
      <c r="I29" s="407">
        <v>16</v>
      </c>
      <c r="J29" s="37">
        <v>2000</v>
      </c>
      <c r="K29" s="17">
        <f t="shared" si="1"/>
        <v>125</v>
      </c>
      <c r="L29" s="407">
        <v>16</v>
      </c>
      <c r="M29" s="18">
        <f t="shared" si="20"/>
        <v>1918.6046511627903</v>
      </c>
      <c r="N29" s="17">
        <f t="shared" si="3"/>
        <v>119.9127906976744</v>
      </c>
      <c r="O29" s="19">
        <f t="shared" si="4"/>
        <v>0</v>
      </c>
      <c r="P29" s="20">
        <f t="shared" si="5"/>
        <v>-5.0872093023256042</v>
      </c>
      <c r="Q29" s="401">
        <f t="shared" si="6"/>
        <v>0.95930232558139517</v>
      </c>
      <c r="R29" s="489"/>
      <c r="S29" s="40">
        <v>0.89027777777777772</v>
      </c>
      <c r="T29" s="40">
        <v>0.92013888888888884</v>
      </c>
      <c r="U29" s="398">
        <f t="shared" si="22"/>
        <v>55.999999999999957</v>
      </c>
      <c r="V29" s="408">
        <f t="shared" si="21"/>
        <v>43.000000000000007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-81.395348837209667</v>
      </c>
      <c r="AF29" s="401">
        <f t="shared" si="9"/>
        <v>0.95930232558139517</v>
      </c>
      <c r="AG29" s="489"/>
    </row>
    <row r="30" spans="1:33" ht="15.75" customHeight="1">
      <c r="A30" s="520" t="s">
        <v>56</v>
      </c>
      <c r="B30" s="42" t="s">
        <v>2366</v>
      </c>
      <c r="C30" s="494"/>
      <c r="D30" s="494"/>
      <c r="E30" s="402"/>
      <c r="F30" s="409"/>
      <c r="G30" s="398"/>
      <c r="H30" s="409"/>
      <c r="I30" s="30">
        <v>15.714285714285714</v>
      </c>
      <c r="J30" s="37">
        <v>1928.5714285714287</v>
      </c>
      <c r="K30" s="17">
        <f t="shared" si="1"/>
        <v>122.72727272727273</v>
      </c>
      <c r="L30" s="30">
        <v>15.714285714285714</v>
      </c>
      <c r="M30" s="18">
        <f>AVERAGE(M23:M29)</f>
        <v>1854.7496329165915</v>
      </c>
      <c r="N30" s="17">
        <f t="shared" si="3"/>
        <v>118.0295220946922</v>
      </c>
      <c r="O30" s="19">
        <f t="shared" si="4"/>
        <v>0</v>
      </c>
      <c r="P30" s="20">
        <f t="shared" si="5"/>
        <v>-4.6977506325805365</v>
      </c>
      <c r="Q30" s="401">
        <f t="shared" si="6"/>
        <v>0.96172203188267713</v>
      </c>
      <c r="R30" s="489"/>
      <c r="S30" s="40"/>
      <c r="T30" s="40"/>
      <c r="U30" s="17"/>
      <c r="V30" s="408"/>
      <c r="W30" s="17"/>
      <c r="X30" s="17"/>
      <c r="Y30" s="31">
        <f>SUM(Y23:Y29)</f>
        <v>0</v>
      </c>
      <c r="Z30" s="31">
        <f>SUM(Z23:Z29)</f>
        <v>0</v>
      </c>
      <c r="AA30" s="495"/>
      <c r="AB30" s="495"/>
      <c r="AC30" s="31">
        <v>3</v>
      </c>
      <c r="AD30" s="31">
        <f>SUM(AD23:AD29)</f>
        <v>0</v>
      </c>
      <c r="AE30" s="19">
        <f t="shared" si="8"/>
        <v>-73.82179565483716</v>
      </c>
      <c r="AF30" s="401">
        <f t="shared" si="9"/>
        <v>0.96172203188267702</v>
      </c>
      <c r="AG30" s="489"/>
    </row>
    <row r="31" spans="1:33" ht="15.75" customHeight="1">
      <c r="A31" s="518" t="s">
        <v>59</v>
      </c>
      <c r="B31" s="42" t="s">
        <v>80</v>
      </c>
      <c r="C31" s="515" t="s">
        <v>81</v>
      </c>
      <c r="D31" s="515"/>
      <c r="E31" s="42">
        <v>31.29</v>
      </c>
      <c r="F31" s="409">
        <v>3600</v>
      </c>
      <c r="G31" s="398">
        <f t="shared" ref="G31:G36" si="23">E31*F31</f>
        <v>112644</v>
      </c>
      <c r="H31" s="411">
        <v>2</v>
      </c>
      <c r="I31" s="407">
        <v>18</v>
      </c>
      <c r="J31" s="37">
        <v>2400</v>
      </c>
      <c r="K31" s="17">
        <f t="shared" si="1"/>
        <v>133.33333333333334</v>
      </c>
      <c r="L31" s="407">
        <v>18</v>
      </c>
      <c r="M31" s="18">
        <f t="shared" ref="M31:M36" si="24">F31/V31*60</f>
        <v>2297.872340425532</v>
      </c>
      <c r="N31" s="17">
        <f t="shared" si="3"/>
        <v>127.65957446808511</v>
      </c>
      <c r="O31" s="19">
        <f t="shared" si="4"/>
        <v>0</v>
      </c>
      <c r="P31" s="20">
        <f t="shared" si="5"/>
        <v>-5.6737588652482316</v>
      </c>
      <c r="Q31" s="401">
        <f t="shared" si="6"/>
        <v>0.95744680851063824</v>
      </c>
      <c r="R31" s="489">
        <f>Q37</f>
        <v>0.95624509197766261</v>
      </c>
      <c r="S31" s="40">
        <v>0.125</v>
      </c>
      <c r="T31" s="40">
        <v>0.19027777777777777</v>
      </c>
      <c r="U31" s="398"/>
      <c r="V31" s="408">
        <f t="shared" ref="V31:V36" si="25">(T31-S31)*24*60</f>
        <v>93.999999999999986</v>
      </c>
      <c r="W31" s="23">
        <f>T31</f>
        <v>0.19027777777777777</v>
      </c>
      <c r="X31" s="23">
        <f>S32</f>
        <v>0.21041666666666667</v>
      </c>
      <c r="Y31" s="23"/>
      <c r="Z31" s="23"/>
      <c r="AA31" s="491"/>
      <c r="AB31" s="491"/>
      <c r="AC31" s="154">
        <v>8</v>
      </c>
      <c r="AD31" s="25"/>
      <c r="AE31" s="19">
        <f t="shared" si="8"/>
        <v>-102.127659574468</v>
      </c>
      <c r="AF31" s="401">
        <f t="shared" si="9"/>
        <v>0.95744680851063835</v>
      </c>
      <c r="AG31" s="489">
        <f>AF37</f>
        <v>0.95624509197766261</v>
      </c>
    </row>
    <row r="32" spans="1:33" ht="15.75" customHeight="1">
      <c r="A32" s="518" t="s">
        <v>59</v>
      </c>
      <c r="B32" s="42" t="s">
        <v>80</v>
      </c>
      <c r="C32" s="515" t="s">
        <v>82</v>
      </c>
      <c r="D32" s="515"/>
      <c r="E32" s="42">
        <v>26.2</v>
      </c>
      <c r="F32" s="409">
        <v>4620</v>
      </c>
      <c r="G32" s="398">
        <f t="shared" si="23"/>
        <v>121044</v>
      </c>
      <c r="H32" s="411" t="s">
        <v>79</v>
      </c>
      <c r="I32" s="407">
        <v>20</v>
      </c>
      <c r="J32" s="37">
        <v>2400</v>
      </c>
      <c r="K32" s="17">
        <f t="shared" si="1"/>
        <v>120</v>
      </c>
      <c r="L32" s="407">
        <v>20</v>
      </c>
      <c r="M32" s="18">
        <f t="shared" si="24"/>
        <v>2290.909090909091</v>
      </c>
      <c r="N32" s="17">
        <f t="shared" si="3"/>
        <v>114.54545454545455</v>
      </c>
      <c r="O32" s="19">
        <f t="shared" si="4"/>
        <v>0</v>
      </c>
      <c r="P32" s="20">
        <f t="shared" si="5"/>
        <v>-5.4545454545454533</v>
      </c>
      <c r="Q32" s="401">
        <f t="shared" si="6"/>
        <v>0.95454545454545459</v>
      </c>
      <c r="R32" s="489"/>
      <c r="S32" s="40">
        <v>0.21041666666666667</v>
      </c>
      <c r="T32" s="40">
        <v>0.29444444444444445</v>
      </c>
      <c r="U32" s="398">
        <f t="shared" ref="U32:U36" si="26">(S32-T31)*24*60</f>
        <v>29.000000000000018</v>
      </c>
      <c r="V32" s="408">
        <f t="shared" si="25"/>
        <v>121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-109.09090909090901</v>
      </c>
      <c r="AF32" s="401">
        <f t="shared" si="9"/>
        <v>0.95454545454545459</v>
      </c>
      <c r="AG32" s="489"/>
    </row>
    <row r="33" spans="1:33" ht="15.75" customHeight="1">
      <c r="A33" s="518" t="s">
        <v>59</v>
      </c>
      <c r="B33" s="42" t="s">
        <v>80</v>
      </c>
      <c r="C33" s="515" t="s">
        <v>83</v>
      </c>
      <c r="D33" s="515"/>
      <c r="E33" s="42">
        <v>25.99</v>
      </c>
      <c r="F33" s="409">
        <v>3953</v>
      </c>
      <c r="G33" s="398">
        <f t="shared" si="23"/>
        <v>102738.46999999999</v>
      </c>
      <c r="H33" s="411" t="s">
        <v>79</v>
      </c>
      <c r="I33" s="407">
        <v>14</v>
      </c>
      <c r="J33" s="37">
        <v>2400</v>
      </c>
      <c r="K33" s="17">
        <f t="shared" si="1"/>
        <v>171.42857142857142</v>
      </c>
      <c r="L33" s="407">
        <v>14</v>
      </c>
      <c r="M33" s="18">
        <f t="shared" si="24"/>
        <v>2302.7184466019407</v>
      </c>
      <c r="N33" s="17">
        <f t="shared" si="3"/>
        <v>164.47988904299578</v>
      </c>
      <c r="O33" s="19">
        <f t="shared" si="4"/>
        <v>0</v>
      </c>
      <c r="P33" s="20">
        <f t="shared" si="5"/>
        <v>-6.948682385575637</v>
      </c>
      <c r="Q33" s="401">
        <f t="shared" si="6"/>
        <v>0.95946601941747545</v>
      </c>
      <c r="R33" s="489"/>
      <c r="S33" s="40">
        <v>0.29930555555555555</v>
      </c>
      <c r="T33" s="40">
        <v>0.37083333333333335</v>
      </c>
      <c r="U33" s="398">
        <f t="shared" si="26"/>
        <v>6.9999999999999751</v>
      </c>
      <c r="V33" s="408">
        <f t="shared" si="25"/>
        <v>103.00000000000003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-97.281553398059259</v>
      </c>
      <c r="AF33" s="401">
        <f t="shared" si="9"/>
        <v>0.95946601941747534</v>
      </c>
      <c r="AG33" s="489"/>
    </row>
    <row r="34" spans="1:33" ht="15.75" customHeight="1">
      <c r="A34" s="518" t="s">
        <v>2367</v>
      </c>
      <c r="B34" s="42" t="s">
        <v>80</v>
      </c>
      <c r="C34" s="515" t="s">
        <v>84</v>
      </c>
      <c r="D34" s="515"/>
      <c r="E34" s="42">
        <v>20.52</v>
      </c>
      <c r="F34" s="409">
        <v>3881</v>
      </c>
      <c r="G34" s="398">
        <f t="shared" si="23"/>
        <v>79638.12</v>
      </c>
      <c r="H34" s="411" t="s">
        <v>79</v>
      </c>
      <c r="I34" s="407">
        <v>18</v>
      </c>
      <c r="J34" s="37">
        <v>2400</v>
      </c>
      <c r="K34" s="17">
        <f t="shared" si="1"/>
        <v>133.33333333333334</v>
      </c>
      <c r="L34" s="407">
        <v>18</v>
      </c>
      <c r="M34" s="18">
        <f t="shared" si="24"/>
        <v>2305.5445544554464</v>
      </c>
      <c r="N34" s="17">
        <f t="shared" si="3"/>
        <v>128.08580858085813</v>
      </c>
      <c r="O34" s="19">
        <f t="shared" si="4"/>
        <v>0</v>
      </c>
      <c r="P34" s="20">
        <f t="shared" si="5"/>
        <v>-5.2475247524752149</v>
      </c>
      <c r="Q34" s="401">
        <f t="shared" si="6"/>
        <v>0.96064356435643594</v>
      </c>
      <c r="R34" s="489"/>
      <c r="S34" s="40">
        <v>0.375</v>
      </c>
      <c r="T34" s="40">
        <v>0.44513888888888886</v>
      </c>
      <c r="U34" s="398">
        <f t="shared" si="26"/>
        <v>5.9999999999999787</v>
      </c>
      <c r="V34" s="408">
        <f t="shared" si="25"/>
        <v>100.99999999999996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-94.455445544553641</v>
      </c>
      <c r="AF34" s="401">
        <f t="shared" si="9"/>
        <v>0.96064356435643594</v>
      </c>
      <c r="AG34" s="489"/>
    </row>
    <row r="35" spans="1:33" ht="15.75" customHeight="1">
      <c r="A35" s="518" t="s">
        <v>59</v>
      </c>
      <c r="B35" s="42" t="s">
        <v>80</v>
      </c>
      <c r="C35" s="515" t="s">
        <v>85</v>
      </c>
      <c r="D35" s="515"/>
      <c r="E35" s="42">
        <v>25.98</v>
      </c>
      <c r="F35" s="409">
        <v>3052</v>
      </c>
      <c r="G35" s="398">
        <f t="shared" si="23"/>
        <v>79290.960000000006</v>
      </c>
      <c r="H35" s="411" t="s">
        <v>79</v>
      </c>
      <c r="I35" s="407">
        <v>21</v>
      </c>
      <c r="J35" s="37">
        <v>2400</v>
      </c>
      <c r="K35" s="17">
        <f t="shared" si="1"/>
        <v>114.28571428571429</v>
      </c>
      <c r="L35" s="407">
        <v>21</v>
      </c>
      <c r="M35" s="18">
        <f t="shared" si="24"/>
        <v>2288.9999999999991</v>
      </c>
      <c r="N35" s="17">
        <f t="shared" si="3"/>
        <v>108.99999999999996</v>
      </c>
      <c r="O35" s="19">
        <f t="shared" si="4"/>
        <v>0</v>
      </c>
      <c r="P35" s="20">
        <f t="shared" si="5"/>
        <v>-5.2857142857143344</v>
      </c>
      <c r="Q35" s="401">
        <f t="shared" si="6"/>
        <v>0.95374999999999954</v>
      </c>
      <c r="R35" s="489"/>
      <c r="S35" s="40">
        <v>0.44999999999999996</v>
      </c>
      <c r="T35" s="40">
        <v>0.50555555555555554</v>
      </c>
      <c r="U35" s="398">
        <f t="shared" si="26"/>
        <v>6.9999999999999751</v>
      </c>
      <c r="V35" s="408">
        <f t="shared" si="25"/>
        <v>80.000000000000028</v>
      </c>
      <c r="W35" s="23">
        <f>T35</f>
        <v>0.50555555555555554</v>
      </c>
      <c r="X35" s="23">
        <f>S36</f>
        <v>0.54722222222222217</v>
      </c>
      <c r="Y35" s="23"/>
      <c r="Z35" s="23"/>
      <c r="AA35" s="491"/>
      <c r="AB35" s="491"/>
      <c r="AC35" s="154"/>
      <c r="AD35" s="25"/>
      <c r="AE35" s="19">
        <f t="shared" si="8"/>
        <v>-111.00000000000091</v>
      </c>
      <c r="AF35" s="401">
        <f t="shared" si="9"/>
        <v>0.95374999999999965</v>
      </c>
      <c r="AG35" s="489"/>
    </row>
    <row r="36" spans="1:33" ht="15.75" customHeight="1">
      <c r="A36" s="518" t="s">
        <v>59</v>
      </c>
      <c r="B36" s="42" t="s">
        <v>80</v>
      </c>
      <c r="C36" s="515" t="s">
        <v>81</v>
      </c>
      <c r="D36" s="515"/>
      <c r="E36" s="42">
        <v>31.29</v>
      </c>
      <c r="F36" s="409">
        <v>5291</v>
      </c>
      <c r="G36" s="398">
        <f t="shared" si="23"/>
        <v>165555.38999999998</v>
      </c>
      <c r="H36" s="411" t="s">
        <v>79</v>
      </c>
      <c r="I36" s="407">
        <v>18</v>
      </c>
      <c r="J36" s="37">
        <v>2400</v>
      </c>
      <c r="K36" s="17">
        <f t="shared" si="1"/>
        <v>133.33333333333334</v>
      </c>
      <c r="L36" s="407">
        <v>18</v>
      </c>
      <c r="M36" s="18">
        <f t="shared" si="24"/>
        <v>2283.8848920863306</v>
      </c>
      <c r="N36" s="17">
        <f t="shared" si="3"/>
        <v>126.88249400479614</v>
      </c>
      <c r="O36" s="19">
        <f t="shared" si="4"/>
        <v>0</v>
      </c>
      <c r="P36" s="20">
        <f t="shared" si="5"/>
        <v>-6.4508393285371994</v>
      </c>
      <c r="Q36" s="401">
        <f t="shared" si="6"/>
        <v>0.95161870503597101</v>
      </c>
      <c r="R36" s="489"/>
      <c r="S36" s="40">
        <v>0.54722222222222217</v>
      </c>
      <c r="T36" s="40">
        <v>0.64374999999999993</v>
      </c>
      <c r="U36" s="398">
        <f t="shared" si="26"/>
        <v>59.999999999999943</v>
      </c>
      <c r="V36" s="408">
        <f t="shared" si="25"/>
        <v>139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-116.11510791366936</v>
      </c>
      <c r="AF36" s="401">
        <f t="shared" si="9"/>
        <v>0.95161870503597112</v>
      </c>
      <c r="AG36" s="489"/>
    </row>
    <row r="37" spans="1:33" ht="15.75" customHeight="1">
      <c r="A37" s="518" t="s">
        <v>2367</v>
      </c>
      <c r="B37" s="42" t="s">
        <v>71</v>
      </c>
      <c r="C37" s="494"/>
      <c r="D37" s="494"/>
      <c r="E37" s="402"/>
      <c r="F37" s="409"/>
      <c r="G37" s="398"/>
      <c r="H37" s="409"/>
      <c r="I37" s="30">
        <v>18.166666666666668</v>
      </c>
      <c r="J37" s="37">
        <v>2400</v>
      </c>
      <c r="K37" s="17">
        <f t="shared" si="1"/>
        <v>132.11009174311926</v>
      </c>
      <c r="L37" s="30">
        <v>18.166666666666668</v>
      </c>
      <c r="M37" s="18">
        <f>AVERAGE(M31:M36)</f>
        <v>2294.9882207463902</v>
      </c>
      <c r="N37" s="17">
        <f t="shared" si="3"/>
        <v>126.32962683007652</v>
      </c>
      <c r="O37" s="19">
        <f t="shared" si="4"/>
        <v>0</v>
      </c>
      <c r="P37" s="20">
        <f t="shared" si="5"/>
        <v>-5.780464913042735</v>
      </c>
      <c r="Q37" s="401">
        <f t="shared" si="6"/>
        <v>0.95624509197766261</v>
      </c>
      <c r="R37" s="489"/>
      <c r="S37" s="40"/>
      <c r="T37" s="40"/>
      <c r="U37" s="398"/>
      <c r="V37" s="408"/>
      <c r="W37" s="398"/>
      <c r="X37" s="398"/>
      <c r="Y37" s="31">
        <f>SUM(Y31:Y36)</f>
        <v>0</v>
      </c>
      <c r="Z37" s="31">
        <f>SUM(Z31:Z36)</f>
        <v>0</v>
      </c>
      <c r="AA37" s="495"/>
      <c r="AB37" s="495"/>
      <c r="AC37" s="31">
        <v>8</v>
      </c>
      <c r="AD37" s="31">
        <f>SUM(AD31:AD36)</f>
        <v>0</v>
      </c>
      <c r="AE37" s="19">
        <f t="shared" si="8"/>
        <v>-105.0117792536098</v>
      </c>
      <c r="AF37" s="401">
        <f t="shared" si="9"/>
        <v>0.95624509197766261</v>
      </c>
      <c r="AG37" s="489"/>
    </row>
    <row r="38" spans="1:33" ht="15.75" customHeight="1">
      <c r="A38" s="516" t="s">
        <v>61</v>
      </c>
      <c r="B38" s="42" t="s">
        <v>80</v>
      </c>
      <c r="C38" s="490" t="s">
        <v>87</v>
      </c>
      <c r="D38" s="490"/>
      <c r="E38" s="42">
        <v>26.2</v>
      </c>
      <c r="F38" s="409">
        <v>3400</v>
      </c>
      <c r="G38" s="398">
        <f t="shared" ref="G38:G45" si="27">E38*F38</f>
        <v>89080</v>
      </c>
      <c r="H38" s="411">
        <v>2</v>
      </c>
      <c r="I38" s="407">
        <v>18</v>
      </c>
      <c r="J38" s="37">
        <v>2400</v>
      </c>
      <c r="K38" s="17">
        <f t="shared" si="1"/>
        <v>133.33333333333334</v>
      </c>
      <c r="L38" s="407">
        <v>18</v>
      </c>
      <c r="M38" s="18">
        <f t="shared" ref="M38:M45" si="28">F38/V38*60</f>
        <v>2292.1348314606744</v>
      </c>
      <c r="N38" s="17">
        <f t="shared" si="3"/>
        <v>127.34082397003746</v>
      </c>
      <c r="O38" s="19">
        <f t="shared" si="4"/>
        <v>0</v>
      </c>
      <c r="P38" s="20">
        <f t="shared" si="5"/>
        <v>-5.9925093632958806</v>
      </c>
      <c r="Q38" s="401">
        <f t="shared" si="6"/>
        <v>0.9550561797752809</v>
      </c>
      <c r="R38" s="489">
        <f>Q46</f>
        <v>0.95845299557764874</v>
      </c>
      <c r="S38" s="40">
        <v>0.125</v>
      </c>
      <c r="T38" s="40">
        <v>0.18680555555555556</v>
      </c>
      <c r="U38" s="398"/>
      <c r="V38" s="408">
        <f t="shared" ref="V38:V45" si="29">(T38-S38)*24*60</f>
        <v>89</v>
      </c>
      <c r="W38" s="28">
        <f>T38</f>
        <v>0.18680555555555556</v>
      </c>
      <c r="X38" s="28">
        <f>S39</f>
        <v>0.20555555555555557</v>
      </c>
      <c r="Y38" s="28"/>
      <c r="Z38" s="28"/>
      <c r="AA38" s="491"/>
      <c r="AB38" s="491"/>
      <c r="AC38" s="154">
        <v>8</v>
      </c>
      <c r="AD38" s="25"/>
      <c r="AE38" s="19">
        <f t="shared" si="8"/>
        <v>-107.86516853932562</v>
      </c>
      <c r="AF38" s="401">
        <f t="shared" si="9"/>
        <v>0.95505617977528101</v>
      </c>
      <c r="AG38" s="489">
        <f>AF46</f>
        <v>0.95845299557764885</v>
      </c>
    </row>
    <row r="39" spans="1:33" ht="15.75" customHeight="1">
      <c r="A39" s="516" t="s">
        <v>61</v>
      </c>
      <c r="B39" s="42" t="s">
        <v>80</v>
      </c>
      <c r="C39" s="490" t="s">
        <v>88</v>
      </c>
      <c r="D39" s="490"/>
      <c r="E39" s="42">
        <v>26.18</v>
      </c>
      <c r="F39" s="409">
        <v>2091</v>
      </c>
      <c r="G39" s="398">
        <f t="shared" si="27"/>
        <v>54742.38</v>
      </c>
      <c r="H39" s="411" t="s">
        <v>79</v>
      </c>
      <c r="I39" s="407">
        <v>19</v>
      </c>
      <c r="J39" s="37">
        <v>2400</v>
      </c>
      <c r="K39" s="17">
        <f t="shared" si="1"/>
        <v>126.31578947368421</v>
      </c>
      <c r="L39" s="407">
        <v>19</v>
      </c>
      <c r="M39" s="18">
        <f t="shared" si="28"/>
        <v>2323.333333333333</v>
      </c>
      <c r="N39" s="17">
        <f t="shared" si="3"/>
        <v>122.28070175438594</v>
      </c>
      <c r="O39" s="19">
        <f t="shared" si="4"/>
        <v>0</v>
      </c>
      <c r="P39" s="20">
        <f t="shared" si="5"/>
        <v>-4.0350877192982608</v>
      </c>
      <c r="Q39" s="401">
        <f t="shared" si="6"/>
        <v>0.96805555555555545</v>
      </c>
      <c r="R39" s="489"/>
      <c r="S39" s="40">
        <v>0.20555555555555557</v>
      </c>
      <c r="T39" s="40">
        <v>0.24305555555555558</v>
      </c>
      <c r="U39" s="398">
        <f t="shared" ref="U39:U45" si="30">(S39-T38)*24*60</f>
        <v>27.000000000000025</v>
      </c>
      <c r="V39" s="408">
        <f t="shared" si="29"/>
        <v>54.000000000000007</v>
      </c>
      <c r="W39" s="398"/>
      <c r="X39" s="398"/>
      <c r="Y39" s="398"/>
      <c r="Z39" s="398"/>
      <c r="AA39" s="491"/>
      <c r="AB39" s="491"/>
      <c r="AC39" s="154"/>
      <c r="AD39" s="25"/>
      <c r="AE39" s="19">
        <f t="shared" si="8"/>
        <v>-76.66666666666697</v>
      </c>
      <c r="AF39" s="401">
        <f t="shared" si="9"/>
        <v>0.96805555555555545</v>
      </c>
      <c r="AG39" s="489"/>
    </row>
    <row r="40" spans="1:33">
      <c r="A40" s="517" t="s">
        <v>61</v>
      </c>
      <c r="B40" s="42" t="s">
        <v>80</v>
      </c>
      <c r="C40" s="490" t="s">
        <v>89</v>
      </c>
      <c r="D40" s="490"/>
      <c r="E40" s="42">
        <v>26.39</v>
      </c>
      <c r="F40" s="409">
        <v>5573</v>
      </c>
      <c r="G40" s="398">
        <f t="shared" si="27"/>
        <v>147071.47</v>
      </c>
      <c r="H40" s="411" t="s">
        <v>79</v>
      </c>
      <c r="I40" s="407">
        <v>19</v>
      </c>
      <c r="J40" s="37">
        <v>2400</v>
      </c>
      <c r="K40" s="17">
        <f t="shared" si="1"/>
        <v>126.31578947368421</v>
      </c>
      <c r="L40" s="407">
        <v>19</v>
      </c>
      <c r="M40" s="18">
        <f t="shared" si="28"/>
        <v>2290.2739726027398</v>
      </c>
      <c r="N40" s="17">
        <f t="shared" si="3"/>
        <v>120.5407354001442</v>
      </c>
      <c r="O40" s="19">
        <f t="shared" si="4"/>
        <v>0</v>
      </c>
      <c r="P40" s="20">
        <f t="shared" si="5"/>
        <v>-5.7750540735400051</v>
      </c>
      <c r="Q40" s="401">
        <f t="shared" si="6"/>
        <v>0.95428082191780828</v>
      </c>
      <c r="R40" s="489"/>
      <c r="S40" s="40">
        <v>0.2479166666666667</v>
      </c>
      <c r="T40" s="40">
        <v>0.34930555555555559</v>
      </c>
      <c r="U40" s="398">
        <f t="shared" si="30"/>
        <v>7.0000000000000151</v>
      </c>
      <c r="V40" s="408">
        <f t="shared" si="29"/>
        <v>146</v>
      </c>
      <c r="W40" s="398"/>
      <c r="X40" s="398"/>
      <c r="Y40" s="398"/>
      <c r="Z40" s="398"/>
      <c r="AA40" s="491"/>
      <c r="AB40" s="491"/>
      <c r="AC40" s="154"/>
      <c r="AD40" s="25"/>
      <c r="AE40" s="19">
        <f t="shared" si="8"/>
        <v>-109.72602739726017</v>
      </c>
      <c r="AF40" s="401">
        <f t="shared" si="9"/>
        <v>0.95428082191780828</v>
      </c>
      <c r="AG40" s="489"/>
    </row>
    <row r="41" spans="1:33">
      <c r="A41" s="517" t="s">
        <v>61</v>
      </c>
      <c r="B41" s="42" t="s">
        <v>80</v>
      </c>
      <c r="C41" s="490" t="s">
        <v>90</v>
      </c>
      <c r="D41" s="490"/>
      <c r="E41" s="42">
        <v>22.69</v>
      </c>
      <c r="F41" s="409">
        <v>1420</v>
      </c>
      <c r="G41" s="398">
        <f t="shared" si="27"/>
        <v>32219.800000000003</v>
      </c>
      <c r="H41" s="411" t="s">
        <v>79</v>
      </c>
      <c r="I41" s="407">
        <v>15</v>
      </c>
      <c r="J41" s="37">
        <v>2400</v>
      </c>
      <c r="K41" s="17">
        <f t="shared" si="1"/>
        <v>160</v>
      </c>
      <c r="L41" s="407">
        <v>15</v>
      </c>
      <c r="M41" s="18">
        <f t="shared" si="28"/>
        <v>2302.7027027027011</v>
      </c>
      <c r="N41" s="17">
        <f t="shared" si="3"/>
        <v>153.5135135135134</v>
      </c>
      <c r="O41" s="19">
        <f t="shared" si="4"/>
        <v>0</v>
      </c>
      <c r="P41" s="20">
        <f t="shared" si="5"/>
        <v>-6.4864864864865979</v>
      </c>
      <c r="Q41" s="401">
        <f t="shared" si="6"/>
        <v>0.95945945945945876</v>
      </c>
      <c r="R41" s="489"/>
      <c r="S41" s="40">
        <v>0.3527777777777778</v>
      </c>
      <c r="T41" s="40">
        <v>0.37847222222222227</v>
      </c>
      <c r="U41" s="398">
        <f t="shared" si="30"/>
        <v>4.9999999999999822</v>
      </c>
      <c r="V41" s="408">
        <f t="shared" si="29"/>
        <v>37.000000000000028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-97.297297297298883</v>
      </c>
      <c r="AF41" s="401">
        <f t="shared" si="9"/>
        <v>0.95945945945945876</v>
      </c>
      <c r="AG41" s="489"/>
    </row>
    <row r="42" spans="1:33">
      <c r="A42" s="517" t="s">
        <v>61</v>
      </c>
      <c r="B42" s="42" t="s">
        <v>80</v>
      </c>
      <c r="C42" s="490" t="s">
        <v>91</v>
      </c>
      <c r="D42" s="490"/>
      <c r="E42" s="42">
        <v>24.45</v>
      </c>
      <c r="F42" s="409">
        <v>2409</v>
      </c>
      <c r="G42" s="398">
        <f t="shared" si="27"/>
        <v>58900.049999999996</v>
      </c>
      <c r="H42" s="411" t="s">
        <v>79</v>
      </c>
      <c r="I42" s="407">
        <v>20</v>
      </c>
      <c r="J42" s="37">
        <v>2400</v>
      </c>
      <c r="K42" s="17">
        <f t="shared" si="1"/>
        <v>120</v>
      </c>
      <c r="L42" s="407">
        <v>20</v>
      </c>
      <c r="M42" s="18">
        <f t="shared" si="28"/>
        <v>2294.2857142857138</v>
      </c>
      <c r="N42" s="17">
        <f t="shared" si="3"/>
        <v>114.71428571428569</v>
      </c>
      <c r="O42" s="19">
        <f t="shared" si="4"/>
        <v>0</v>
      </c>
      <c r="P42" s="20">
        <f t="shared" si="5"/>
        <v>-5.285714285714306</v>
      </c>
      <c r="Q42" s="401">
        <f t="shared" si="6"/>
        <v>0.95595238095238078</v>
      </c>
      <c r="R42" s="489"/>
      <c r="S42" s="40">
        <v>0.38194444444444448</v>
      </c>
      <c r="T42" s="40">
        <v>0.42569444444444449</v>
      </c>
      <c r="U42" s="398">
        <f t="shared" si="30"/>
        <v>4.9999999999999822</v>
      </c>
      <c r="V42" s="408">
        <f t="shared" si="29"/>
        <v>63.000000000000014</v>
      </c>
      <c r="W42" s="23"/>
      <c r="X42" s="23"/>
      <c r="Y42" s="23"/>
      <c r="Z42" s="23"/>
      <c r="AA42" s="491"/>
      <c r="AB42" s="491"/>
      <c r="AC42" s="154"/>
      <c r="AD42" s="25"/>
      <c r="AE42" s="19">
        <f t="shared" si="8"/>
        <v>-105.71428571428623</v>
      </c>
      <c r="AF42" s="401">
        <f t="shared" si="9"/>
        <v>0.95595238095238078</v>
      </c>
      <c r="AG42" s="489"/>
    </row>
    <row r="43" spans="1:33">
      <c r="A43" s="517" t="s">
        <v>2368</v>
      </c>
      <c r="B43" s="42" t="s">
        <v>80</v>
      </c>
      <c r="C43" s="490" t="s">
        <v>1224</v>
      </c>
      <c r="D43" s="490"/>
      <c r="E43" s="42">
        <v>22.69</v>
      </c>
      <c r="F43" s="409">
        <v>3300</v>
      </c>
      <c r="G43" s="398">
        <f t="shared" si="27"/>
        <v>74877</v>
      </c>
      <c r="H43" s="411">
        <v>2</v>
      </c>
      <c r="I43" s="407">
        <v>16</v>
      </c>
      <c r="J43" s="37">
        <v>2400</v>
      </c>
      <c r="K43" s="17">
        <f t="shared" si="1"/>
        <v>150</v>
      </c>
      <c r="L43" s="407">
        <v>16</v>
      </c>
      <c r="M43" s="18">
        <f t="shared" si="28"/>
        <v>2302.3255813953483</v>
      </c>
      <c r="N43" s="17">
        <f t="shared" si="3"/>
        <v>143.89534883720927</v>
      </c>
      <c r="O43" s="19">
        <f t="shared" si="4"/>
        <v>0</v>
      </c>
      <c r="P43" s="20">
        <f t="shared" si="5"/>
        <v>-6.1046511627907307</v>
      </c>
      <c r="Q43" s="401">
        <f t="shared" si="6"/>
        <v>0.95930232558139517</v>
      </c>
      <c r="R43" s="489"/>
      <c r="S43" s="40">
        <v>0.43125000000000002</v>
      </c>
      <c r="T43" s="40">
        <v>0.49097222222222225</v>
      </c>
      <c r="U43" s="398">
        <f t="shared" si="30"/>
        <v>7.9999999999999716</v>
      </c>
      <c r="V43" s="408">
        <f t="shared" si="29"/>
        <v>86.000000000000014</v>
      </c>
      <c r="W43" s="23">
        <f>T43</f>
        <v>0.49097222222222225</v>
      </c>
      <c r="X43" s="23">
        <f>S44</f>
        <v>0.53333333333333333</v>
      </c>
      <c r="Y43" s="23"/>
      <c r="Z43" s="23"/>
      <c r="AA43" s="491"/>
      <c r="AB43" s="491"/>
      <c r="AC43" s="154"/>
      <c r="AD43" s="25"/>
      <c r="AE43" s="19">
        <f t="shared" si="8"/>
        <v>-97.674418604651692</v>
      </c>
      <c r="AF43" s="401">
        <f t="shared" si="9"/>
        <v>0.95930232558139517</v>
      </c>
      <c r="AG43" s="489"/>
    </row>
    <row r="44" spans="1:33">
      <c r="A44" s="517" t="s">
        <v>2368</v>
      </c>
      <c r="B44" s="42" t="s">
        <v>80</v>
      </c>
      <c r="C44" s="490" t="s">
        <v>1224</v>
      </c>
      <c r="D44" s="490"/>
      <c r="E44" s="42">
        <v>22.69</v>
      </c>
      <c r="F44" s="409">
        <v>4422</v>
      </c>
      <c r="G44" s="398">
        <f t="shared" si="27"/>
        <v>100335.18000000001</v>
      </c>
      <c r="H44" s="411" t="s">
        <v>79</v>
      </c>
      <c r="I44" s="407">
        <v>16</v>
      </c>
      <c r="J44" s="37">
        <v>2400</v>
      </c>
      <c r="K44" s="17">
        <f t="shared" si="1"/>
        <v>150</v>
      </c>
      <c r="L44" s="407">
        <v>16</v>
      </c>
      <c r="M44" s="18">
        <f t="shared" si="28"/>
        <v>2287.2413793103433</v>
      </c>
      <c r="N44" s="17">
        <f t="shared" si="3"/>
        <v>142.95258620689646</v>
      </c>
      <c r="O44" s="19">
        <f t="shared" si="4"/>
        <v>0</v>
      </c>
      <c r="P44" s="20">
        <f t="shared" si="5"/>
        <v>-7.0474137931035443</v>
      </c>
      <c r="Q44" s="401">
        <f t="shared" si="6"/>
        <v>0.95301724137930965</v>
      </c>
      <c r="R44" s="489"/>
      <c r="S44" s="40">
        <v>0.53333333333333333</v>
      </c>
      <c r="T44" s="40">
        <v>0.61388888888888893</v>
      </c>
      <c r="U44" s="398">
        <f t="shared" si="30"/>
        <v>60.999999999999943</v>
      </c>
      <c r="V44" s="408">
        <f t="shared" si="29"/>
        <v>116.00000000000007</v>
      </c>
      <c r="W44" s="23"/>
      <c r="X44" s="23"/>
      <c r="Y44" s="26"/>
      <c r="Z44" s="26"/>
      <c r="AA44" s="503"/>
      <c r="AB44" s="504"/>
      <c r="AC44" s="154"/>
      <c r="AD44" s="25"/>
      <c r="AE44" s="19">
        <f t="shared" si="8"/>
        <v>-112.75862068965671</v>
      </c>
      <c r="AF44" s="401">
        <f t="shared" si="9"/>
        <v>0.95301724137930965</v>
      </c>
      <c r="AG44" s="489"/>
    </row>
    <row r="45" spans="1:33">
      <c r="A45" s="517" t="s">
        <v>61</v>
      </c>
      <c r="B45" s="42" t="s">
        <v>80</v>
      </c>
      <c r="C45" s="490" t="s">
        <v>87</v>
      </c>
      <c r="D45" s="490"/>
      <c r="E45" s="42">
        <v>26.2</v>
      </c>
      <c r="F45" s="409">
        <v>2618</v>
      </c>
      <c r="G45" s="398">
        <f t="shared" si="27"/>
        <v>68591.599999999991</v>
      </c>
      <c r="H45" s="411" t="s">
        <v>79</v>
      </c>
      <c r="I45" s="407">
        <v>18</v>
      </c>
      <c r="J45" s="37">
        <v>2400</v>
      </c>
      <c r="K45" s="17">
        <f t="shared" si="1"/>
        <v>133.33333333333334</v>
      </c>
      <c r="L45" s="407">
        <v>18</v>
      </c>
      <c r="M45" s="18">
        <f t="shared" si="28"/>
        <v>2310.0000000000032</v>
      </c>
      <c r="N45" s="17">
        <f t="shared" si="3"/>
        <v>128.33333333333351</v>
      </c>
      <c r="O45" s="19">
        <f t="shared" si="4"/>
        <v>0</v>
      </c>
      <c r="P45" s="20">
        <f t="shared" si="5"/>
        <v>-4.9999999999998295</v>
      </c>
      <c r="Q45" s="401">
        <f t="shared" si="6"/>
        <v>0.96250000000000124</v>
      </c>
      <c r="R45" s="489"/>
      <c r="S45" s="40">
        <v>0.61736111111111114</v>
      </c>
      <c r="T45" s="40">
        <v>0.6645833333333333</v>
      </c>
      <c r="U45" s="398">
        <f t="shared" si="30"/>
        <v>4.9999999999999822</v>
      </c>
      <c r="V45" s="408">
        <f t="shared" si="29"/>
        <v>67.999999999999915</v>
      </c>
      <c r="W45" s="23"/>
      <c r="X45" s="23"/>
      <c r="Y45" s="26"/>
      <c r="Z45" s="26"/>
      <c r="AA45" s="503"/>
      <c r="AB45" s="504"/>
      <c r="AC45" s="154"/>
      <c r="AD45" s="25"/>
      <c r="AE45" s="19">
        <f t="shared" si="8"/>
        <v>-89.999999999996817</v>
      </c>
      <c r="AF45" s="401">
        <f t="shared" si="9"/>
        <v>0.96250000000000135</v>
      </c>
      <c r="AG45" s="489"/>
    </row>
    <row r="46" spans="1:33">
      <c r="A46" s="517" t="s">
        <v>61</v>
      </c>
      <c r="B46" s="44" t="s">
        <v>71</v>
      </c>
      <c r="C46" s="494"/>
      <c r="D46" s="494"/>
      <c r="E46" s="402"/>
      <c r="F46" s="44"/>
      <c r="G46" s="17"/>
      <c r="H46" s="409"/>
      <c r="I46" s="30">
        <v>17.625</v>
      </c>
      <c r="J46" s="37">
        <v>2400</v>
      </c>
      <c r="K46" s="17">
        <f t="shared" si="1"/>
        <v>136.17021276595744</v>
      </c>
      <c r="L46" s="30">
        <v>17.625</v>
      </c>
      <c r="M46" s="18">
        <f>AVERAGE(M38:M45)</f>
        <v>2300.2871893863571</v>
      </c>
      <c r="N46" s="17">
        <f t="shared" si="3"/>
        <v>130.5127483339777</v>
      </c>
      <c r="O46" s="19">
        <f t="shared" si="4"/>
        <v>0</v>
      </c>
      <c r="P46" s="20">
        <f t="shared" si="5"/>
        <v>-5.6574644319797471</v>
      </c>
      <c r="Q46" s="401">
        <f t="shared" si="6"/>
        <v>0.95845299557764874</v>
      </c>
      <c r="R46" s="489"/>
      <c r="S46" s="40"/>
      <c r="T46" s="40"/>
      <c r="U46" s="17"/>
      <c r="V46" s="408"/>
      <c r="W46" s="17"/>
      <c r="X46" s="17"/>
      <c r="Y46" s="31">
        <f>SUM(Y38:Y45)</f>
        <v>0</v>
      </c>
      <c r="Z46" s="31">
        <f>SUM(Z38:Z45)</f>
        <v>0</v>
      </c>
      <c r="AA46" s="495"/>
      <c r="AB46" s="495"/>
      <c r="AC46" s="31">
        <v>8</v>
      </c>
      <c r="AD46" s="31">
        <f>SUM(AD38:AD45)</f>
        <v>0</v>
      </c>
      <c r="AE46" s="19">
        <f t="shared" si="8"/>
        <v>-99.712810613642887</v>
      </c>
      <c r="AF46" s="401">
        <f t="shared" si="9"/>
        <v>0.95845299557764885</v>
      </c>
      <c r="AG46" s="489"/>
    </row>
    <row r="47" spans="1:33" ht="15.75" customHeight="1">
      <c r="A47" s="512" t="s">
        <v>65</v>
      </c>
      <c r="B47" s="42" t="s">
        <v>93</v>
      </c>
      <c r="C47" s="501" t="s">
        <v>94</v>
      </c>
      <c r="D47" s="502"/>
      <c r="E47" s="42">
        <v>21.13</v>
      </c>
      <c r="F47" s="409">
        <v>2100</v>
      </c>
      <c r="G47" s="398">
        <f t="shared" ref="G47:G56" si="31">E47*F47</f>
        <v>44373</v>
      </c>
      <c r="H47" s="411">
        <v>2</v>
      </c>
      <c r="I47" s="407">
        <v>10</v>
      </c>
      <c r="J47" s="37">
        <v>3000</v>
      </c>
      <c r="K47" s="17">
        <f t="shared" si="1"/>
        <v>300</v>
      </c>
      <c r="L47" s="407">
        <v>10</v>
      </c>
      <c r="M47" s="18">
        <f t="shared" ref="M47:M56" si="32">F47/V47*60</f>
        <v>2863.6363636363635</v>
      </c>
      <c r="N47" s="18">
        <f t="shared" si="3"/>
        <v>286.36363636363637</v>
      </c>
      <c r="O47" s="19">
        <f t="shared" si="4"/>
        <v>0</v>
      </c>
      <c r="P47" s="20">
        <f t="shared" si="5"/>
        <v>-13.636363636363626</v>
      </c>
      <c r="Q47" s="401">
        <f t="shared" si="6"/>
        <v>0.95454545454545459</v>
      </c>
      <c r="R47" s="509">
        <f>Q57</f>
        <v>0.95830678184226337</v>
      </c>
      <c r="S47" s="40">
        <v>0.20833333333333334</v>
      </c>
      <c r="T47" s="40">
        <v>0.2388888888888889</v>
      </c>
      <c r="U47" s="28"/>
      <c r="V47" s="408">
        <f t="shared" ref="V47:V56" si="33">(T47-S47)*24*60</f>
        <v>44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-136.36363636363649</v>
      </c>
      <c r="AF47" s="401">
        <f t="shared" si="9"/>
        <v>0.95454545454545447</v>
      </c>
      <c r="AG47" s="509">
        <f>AF57</f>
        <v>0.95830678184226326</v>
      </c>
    </row>
    <row r="48" spans="1:33" ht="15.75" customHeight="1">
      <c r="A48" s="513" t="s">
        <v>2369</v>
      </c>
      <c r="B48" s="42" t="s">
        <v>93</v>
      </c>
      <c r="C48" s="501" t="s">
        <v>95</v>
      </c>
      <c r="D48" s="502"/>
      <c r="E48" s="42">
        <v>27.17</v>
      </c>
      <c r="F48" s="409">
        <v>3700</v>
      </c>
      <c r="G48" s="398">
        <f t="shared" si="31"/>
        <v>100529</v>
      </c>
      <c r="H48" s="411">
        <v>2</v>
      </c>
      <c r="I48" s="407">
        <v>10</v>
      </c>
      <c r="J48" s="37">
        <v>3000</v>
      </c>
      <c r="K48" s="17">
        <f t="shared" si="1"/>
        <v>300</v>
      </c>
      <c r="L48" s="407">
        <v>10</v>
      </c>
      <c r="M48" s="18">
        <f t="shared" si="32"/>
        <v>2883.1168831168829</v>
      </c>
      <c r="N48" s="18">
        <f t="shared" si="3"/>
        <v>288.31168831168827</v>
      </c>
      <c r="O48" s="19">
        <f t="shared" si="4"/>
        <v>0</v>
      </c>
      <c r="P48" s="20">
        <f t="shared" si="5"/>
        <v>-11.688311688311728</v>
      </c>
      <c r="Q48" s="401">
        <f t="shared" si="6"/>
        <v>0.96103896103896091</v>
      </c>
      <c r="R48" s="510"/>
      <c r="S48" s="40">
        <v>0.24236111111111111</v>
      </c>
      <c r="T48" s="40">
        <v>0.29583333333333334</v>
      </c>
      <c r="U48" s="398">
        <f t="shared" ref="U48:U56" si="34">(S48-T47)*24*60</f>
        <v>4.9999999999999822</v>
      </c>
      <c r="V48" s="408">
        <f t="shared" si="33"/>
        <v>77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-116.88311688311705</v>
      </c>
      <c r="AF48" s="401">
        <f t="shared" si="9"/>
        <v>0.96103896103896103</v>
      </c>
      <c r="AG48" s="510"/>
    </row>
    <row r="49" spans="1:33" ht="15.75" customHeight="1">
      <c r="A49" s="513" t="s">
        <v>65</v>
      </c>
      <c r="B49" s="42" t="s">
        <v>93</v>
      </c>
      <c r="C49" s="501" t="s">
        <v>96</v>
      </c>
      <c r="D49" s="502"/>
      <c r="E49" s="42">
        <v>35.119999999999997</v>
      </c>
      <c r="F49" s="409">
        <v>3000</v>
      </c>
      <c r="G49" s="398">
        <f t="shared" si="31"/>
        <v>105359.99999999999</v>
      </c>
      <c r="H49" s="411">
        <v>2</v>
      </c>
      <c r="I49" s="407">
        <v>10</v>
      </c>
      <c r="J49" s="37">
        <v>3000</v>
      </c>
      <c r="K49" s="17">
        <f t="shared" si="1"/>
        <v>300</v>
      </c>
      <c r="L49" s="407">
        <v>10</v>
      </c>
      <c r="M49" s="18">
        <f t="shared" si="32"/>
        <v>2857.1428571428564</v>
      </c>
      <c r="N49" s="18">
        <f t="shared" si="3"/>
        <v>285.71428571428567</v>
      </c>
      <c r="O49" s="19">
        <f t="shared" si="4"/>
        <v>0</v>
      </c>
      <c r="P49" s="20">
        <f t="shared" si="5"/>
        <v>-14.285714285714334</v>
      </c>
      <c r="Q49" s="401">
        <f t="shared" si="6"/>
        <v>0.95238095238095222</v>
      </c>
      <c r="R49" s="510"/>
      <c r="S49" s="40">
        <v>0.3</v>
      </c>
      <c r="T49" s="40">
        <v>0.34375</v>
      </c>
      <c r="U49" s="398">
        <f t="shared" si="34"/>
        <v>5.9999999999999787</v>
      </c>
      <c r="V49" s="408">
        <f t="shared" si="33"/>
        <v>63.000000000000014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-142.85714285714357</v>
      </c>
      <c r="AF49" s="401">
        <f t="shared" si="9"/>
        <v>0.95238095238095211</v>
      </c>
      <c r="AG49" s="510"/>
    </row>
    <row r="50" spans="1:33" ht="15.75" customHeight="1">
      <c r="A50" s="513" t="s">
        <v>65</v>
      </c>
      <c r="B50" s="42" t="s">
        <v>93</v>
      </c>
      <c r="C50" s="501" t="s">
        <v>110</v>
      </c>
      <c r="D50" s="502"/>
      <c r="E50" s="42">
        <v>26.78</v>
      </c>
      <c r="F50" s="409">
        <v>2648</v>
      </c>
      <c r="G50" s="398">
        <f t="shared" si="31"/>
        <v>70913.440000000002</v>
      </c>
      <c r="H50" s="411" t="s">
        <v>79</v>
      </c>
      <c r="I50" s="407">
        <v>10</v>
      </c>
      <c r="J50" s="37">
        <v>3000</v>
      </c>
      <c r="K50" s="17">
        <f t="shared" si="1"/>
        <v>300</v>
      </c>
      <c r="L50" s="407">
        <v>10</v>
      </c>
      <c r="M50" s="18">
        <f t="shared" si="32"/>
        <v>2888.7272727272748</v>
      </c>
      <c r="N50" s="18">
        <f t="shared" si="3"/>
        <v>288.8727272727275</v>
      </c>
      <c r="O50" s="19">
        <f t="shared" si="4"/>
        <v>0</v>
      </c>
      <c r="P50" s="20">
        <f t="shared" si="5"/>
        <v>-11.127272727272498</v>
      </c>
      <c r="Q50" s="401">
        <f t="shared" si="6"/>
        <v>0.96290909090909171</v>
      </c>
      <c r="R50" s="510"/>
      <c r="S50" s="40">
        <v>0.34930555555555554</v>
      </c>
      <c r="T50" s="40">
        <v>0.38749999999999996</v>
      </c>
      <c r="U50" s="398">
        <f t="shared" si="34"/>
        <v>7.9999999999999716</v>
      </c>
      <c r="V50" s="408">
        <f t="shared" si="33"/>
        <v>54.999999999999964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-111.27272727272521</v>
      </c>
      <c r="AF50" s="401">
        <f t="shared" si="9"/>
        <v>0.9629090909090916</v>
      </c>
      <c r="AG50" s="510"/>
    </row>
    <row r="51" spans="1:33" ht="15.75" customHeight="1">
      <c r="A51" s="513" t="s">
        <v>2369</v>
      </c>
      <c r="B51" s="42" t="s">
        <v>93</v>
      </c>
      <c r="C51" s="501" t="s">
        <v>99</v>
      </c>
      <c r="D51" s="502"/>
      <c r="E51" s="42">
        <v>32.020000000000003</v>
      </c>
      <c r="F51" s="409">
        <v>2084</v>
      </c>
      <c r="G51" s="398">
        <f t="shared" si="31"/>
        <v>66729.680000000008</v>
      </c>
      <c r="H51" s="411" t="s">
        <v>79</v>
      </c>
      <c r="I51" s="407">
        <v>11</v>
      </c>
      <c r="J51" s="37">
        <v>3000</v>
      </c>
      <c r="K51" s="17">
        <f t="shared" si="1"/>
        <v>272.72727272727275</v>
      </c>
      <c r="L51" s="407">
        <v>11</v>
      </c>
      <c r="M51" s="18">
        <f t="shared" si="32"/>
        <v>2907.9069767441856</v>
      </c>
      <c r="N51" s="18">
        <f t="shared" si="3"/>
        <v>264.35517970401685</v>
      </c>
      <c r="O51" s="19">
        <f t="shared" si="4"/>
        <v>0</v>
      </c>
      <c r="P51" s="20">
        <f t="shared" si="5"/>
        <v>-8.3720930232558999</v>
      </c>
      <c r="Q51" s="401">
        <f t="shared" si="6"/>
        <v>0.96930232558139506</v>
      </c>
      <c r="R51" s="510"/>
      <c r="S51" s="40">
        <v>0.39097222222222217</v>
      </c>
      <c r="T51" s="40">
        <v>0.42083333333333328</v>
      </c>
      <c r="U51" s="398">
        <f t="shared" si="34"/>
        <v>4.9999999999999822</v>
      </c>
      <c r="V51" s="408">
        <f t="shared" si="33"/>
        <v>43.000000000000007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-92.093023255814387</v>
      </c>
      <c r="AF51" s="401">
        <f t="shared" si="9"/>
        <v>0.96930232558139517</v>
      </c>
      <c r="AG51" s="510"/>
    </row>
    <row r="52" spans="1:33" ht="15.75" customHeight="1">
      <c r="A52" s="513" t="s">
        <v>2369</v>
      </c>
      <c r="B52" s="42" t="s">
        <v>93</v>
      </c>
      <c r="C52" s="501" t="s">
        <v>112</v>
      </c>
      <c r="D52" s="502"/>
      <c r="E52" s="42">
        <v>35.869999999999997</v>
      </c>
      <c r="F52" s="409">
        <v>3404</v>
      </c>
      <c r="G52" s="398">
        <f t="shared" si="31"/>
        <v>122101.48</v>
      </c>
      <c r="H52" s="411" t="s">
        <v>79</v>
      </c>
      <c r="I52" s="407">
        <v>9</v>
      </c>
      <c r="J52" s="37">
        <v>3000</v>
      </c>
      <c r="K52" s="17">
        <f t="shared" si="1"/>
        <v>333.33333333333331</v>
      </c>
      <c r="L52" s="407">
        <v>9</v>
      </c>
      <c r="M52" s="18">
        <f t="shared" si="32"/>
        <v>2876.6197183098598</v>
      </c>
      <c r="N52" s="18">
        <f t="shared" si="3"/>
        <v>319.62441314553996</v>
      </c>
      <c r="O52" s="19">
        <f t="shared" si="4"/>
        <v>0</v>
      </c>
      <c r="P52" s="20">
        <f t="shared" si="5"/>
        <v>-13.708920187793353</v>
      </c>
      <c r="Q52" s="401">
        <f t="shared" si="6"/>
        <v>0.95887323943661995</v>
      </c>
      <c r="R52" s="510"/>
      <c r="S52" s="40">
        <v>0.42638888888888882</v>
      </c>
      <c r="T52" s="40">
        <v>0.47569444444444436</v>
      </c>
      <c r="U52" s="398">
        <f t="shared" si="34"/>
        <v>7.9999999999999716</v>
      </c>
      <c r="V52" s="408">
        <f t="shared" si="33"/>
        <v>70.999999999999986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-123.38028169014024</v>
      </c>
      <c r="AF52" s="401">
        <f t="shared" si="9"/>
        <v>0.95887323943661995</v>
      </c>
      <c r="AG52" s="510"/>
    </row>
    <row r="53" spans="1:33" ht="15.75" customHeight="1">
      <c r="A53" s="513" t="s">
        <v>2369</v>
      </c>
      <c r="B53" s="42" t="s">
        <v>93</v>
      </c>
      <c r="C53" s="501" t="s">
        <v>1778</v>
      </c>
      <c r="D53" s="502"/>
      <c r="E53" s="42">
        <v>44.03</v>
      </c>
      <c r="F53" s="409">
        <v>1900</v>
      </c>
      <c r="G53" s="398">
        <f t="shared" si="31"/>
        <v>83657</v>
      </c>
      <c r="H53" s="411" t="s">
        <v>79</v>
      </c>
      <c r="I53" s="407">
        <v>10</v>
      </c>
      <c r="J53" s="37">
        <v>3000</v>
      </c>
      <c r="K53" s="17">
        <f t="shared" si="1"/>
        <v>300</v>
      </c>
      <c r="L53" s="407">
        <v>10</v>
      </c>
      <c r="M53" s="18">
        <f t="shared" si="32"/>
        <v>2850.0000000000045</v>
      </c>
      <c r="N53" s="18">
        <f t="shared" si="3"/>
        <v>285.00000000000045</v>
      </c>
      <c r="O53" s="19">
        <f t="shared" si="4"/>
        <v>0</v>
      </c>
      <c r="P53" s="20">
        <f t="shared" si="5"/>
        <v>-14.999999999999545</v>
      </c>
      <c r="Q53" s="401">
        <f t="shared" si="6"/>
        <v>0.95000000000000151</v>
      </c>
      <c r="R53" s="510"/>
      <c r="S53" s="40">
        <v>0.4812499999999999</v>
      </c>
      <c r="T53" s="40">
        <v>0.50902777777777763</v>
      </c>
      <c r="U53" s="398">
        <f t="shared" si="34"/>
        <v>7.9999999999999716</v>
      </c>
      <c r="V53" s="408">
        <f t="shared" si="33"/>
        <v>39.999999999999936</v>
      </c>
      <c r="W53" s="23">
        <f>T53</f>
        <v>0.50902777777777763</v>
      </c>
      <c r="X53" s="23">
        <f>S54</f>
        <v>0.54861111111111094</v>
      </c>
      <c r="Y53" s="26"/>
      <c r="Z53" s="26"/>
      <c r="AA53" s="503"/>
      <c r="AB53" s="504"/>
      <c r="AC53" s="154" t="s">
        <v>79</v>
      </c>
      <c r="AD53" s="25"/>
      <c r="AE53" s="19">
        <f t="shared" si="8"/>
        <v>-149.99999999999545</v>
      </c>
      <c r="AF53" s="401">
        <f t="shared" si="9"/>
        <v>0.95000000000000151</v>
      </c>
      <c r="AG53" s="510"/>
    </row>
    <row r="54" spans="1:33" ht="15.75" customHeight="1">
      <c r="A54" s="513" t="s">
        <v>2369</v>
      </c>
      <c r="B54" s="42" t="s">
        <v>93</v>
      </c>
      <c r="C54" s="501" t="s">
        <v>94</v>
      </c>
      <c r="D54" s="502"/>
      <c r="E54" s="42">
        <v>21.13</v>
      </c>
      <c r="F54" s="409">
        <v>2950</v>
      </c>
      <c r="G54" s="398">
        <f t="shared" si="31"/>
        <v>62333.5</v>
      </c>
      <c r="H54" s="411" t="s">
        <v>79</v>
      </c>
      <c r="I54" s="407">
        <v>10</v>
      </c>
      <c r="J54" s="37">
        <v>3000</v>
      </c>
      <c r="K54" s="17">
        <f t="shared" si="1"/>
        <v>300</v>
      </c>
      <c r="L54" s="407">
        <v>10</v>
      </c>
      <c r="M54" s="18">
        <f t="shared" si="32"/>
        <v>2854.8387096774218</v>
      </c>
      <c r="N54" s="18">
        <f t="shared" si="3"/>
        <v>285.48387096774218</v>
      </c>
      <c r="O54" s="19">
        <f t="shared" si="4"/>
        <v>0</v>
      </c>
      <c r="P54" s="20">
        <f t="shared" si="5"/>
        <v>-14.516129032257822</v>
      </c>
      <c r="Q54" s="401">
        <f t="shared" si="6"/>
        <v>0.95161290322580727</v>
      </c>
      <c r="R54" s="510"/>
      <c r="S54" s="40">
        <v>0.54861111111111094</v>
      </c>
      <c r="T54" s="40">
        <v>0.59166666666666645</v>
      </c>
      <c r="U54" s="398">
        <f t="shared" si="34"/>
        <v>56.999999999999957</v>
      </c>
      <c r="V54" s="408">
        <f t="shared" si="33"/>
        <v>61.999999999999943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-145.16129032257822</v>
      </c>
      <c r="AF54" s="401">
        <f t="shared" si="9"/>
        <v>0.95161290322580727</v>
      </c>
      <c r="AG54" s="510"/>
    </row>
    <row r="55" spans="1:33" ht="15.75" customHeight="1">
      <c r="A55" s="513" t="s">
        <v>65</v>
      </c>
      <c r="B55" s="42" t="s">
        <v>93</v>
      </c>
      <c r="C55" s="501" t="s">
        <v>95</v>
      </c>
      <c r="D55" s="502"/>
      <c r="E55" s="42">
        <v>27.17</v>
      </c>
      <c r="F55" s="409">
        <v>3063</v>
      </c>
      <c r="G55" s="398">
        <f t="shared" si="31"/>
        <v>83221.710000000006</v>
      </c>
      <c r="H55" s="411" t="s">
        <v>79</v>
      </c>
      <c r="I55" s="407">
        <v>10</v>
      </c>
      <c r="J55" s="37">
        <v>3000</v>
      </c>
      <c r="K55" s="17">
        <f t="shared" si="1"/>
        <v>300</v>
      </c>
      <c r="L55" s="407">
        <v>10</v>
      </c>
      <c r="M55" s="18">
        <f t="shared" si="32"/>
        <v>2871.5625000000032</v>
      </c>
      <c r="N55" s="18">
        <f t="shared" si="3"/>
        <v>287.15625000000034</v>
      </c>
      <c r="O55" s="19">
        <f t="shared" si="4"/>
        <v>0</v>
      </c>
      <c r="P55" s="20">
        <f t="shared" si="5"/>
        <v>-12.843749999999659</v>
      </c>
      <c r="Q55" s="401">
        <f t="shared" si="6"/>
        <v>0.95718750000000119</v>
      </c>
      <c r="R55" s="510"/>
      <c r="S55" s="40">
        <v>0.59652777777777755</v>
      </c>
      <c r="T55" s="40">
        <v>0.64097222222222194</v>
      </c>
      <c r="U55" s="398">
        <f t="shared" si="34"/>
        <v>6.9999999999999751</v>
      </c>
      <c r="V55" s="408">
        <f t="shared" si="33"/>
        <v>63.999999999999929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-128.43749999999682</v>
      </c>
      <c r="AF55" s="401">
        <f t="shared" si="9"/>
        <v>0.95718750000000108</v>
      </c>
      <c r="AG55" s="510"/>
    </row>
    <row r="56" spans="1:33" ht="15.75" customHeight="1">
      <c r="A56" s="513" t="s">
        <v>65</v>
      </c>
      <c r="B56" s="42" t="s">
        <v>93</v>
      </c>
      <c r="C56" s="501" t="s">
        <v>96</v>
      </c>
      <c r="D56" s="502"/>
      <c r="E56" s="42">
        <v>35.119999999999997</v>
      </c>
      <c r="F56" s="409">
        <v>2220</v>
      </c>
      <c r="G56" s="398">
        <f t="shared" si="31"/>
        <v>77966.399999999994</v>
      </c>
      <c r="H56" s="411" t="s">
        <v>79</v>
      </c>
      <c r="I56" s="407">
        <v>10</v>
      </c>
      <c r="J56" s="37">
        <v>3000</v>
      </c>
      <c r="K56" s="17">
        <f t="shared" si="1"/>
        <v>300</v>
      </c>
      <c r="L56" s="407">
        <v>10</v>
      </c>
      <c r="M56" s="18">
        <f t="shared" si="32"/>
        <v>2895.6521739130435</v>
      </c>
      <c r="N56" s="18">
        <f t="shared" si="3"/>
        <v>289.56521739130437</v>
      </c>
      <c r="O56" s="19">
        <f t="shared" si="4"/>
        <v>0</v>
      </c>
      <c r="P56" s="20">
        <f t="shared" si="5"/>
        <v>-10.434782608695627</v>
      </c>
      <c r="Q56" s="401">
        <f t="shared" si="6"/>
        <v>0.96521739130434792</v>
      </c>
      <c r="R56" s="510"/>
      <c r="S56" s="40">
        <v>0.64652777777777748</v>
      </c>
      <c r="T56" s="40">
        <v>0.67847222222222192</v>
      </c>
      <c r="U56" s="398">
        <f t="shared" si="34"/>
        <v>7.9999999999999716</v>
      </c>
      <c r="V56" s="408">
        <f t="shared" si="33"/>
        <v>46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-104.3478260869565</v>
      </c>
      <c r="AF56" s="401">
        <f t="shared" si="9"/>
        <v>0.9652173913043478</v>
      </c>
      <c r="AG56" s="510"/>
    </row>
    <row r="57" spans="1:33" ht="15.75" customHeight="1">
      <c r="A57" s="514" t="s">
        <v>65</v>
      </c>
      <c r="B57" s="42" t="s">
        <v>71</v>
      </c>
      <c r="C57" s="492"/>
      <c r="D57" s="493"/>
      <c r="E57" s="399"/>
      <c r="F57" s="409"/>
      <c r="G57" s="398"/>
      <c r="H57" s="409"/>
      <c r="I57" s="30">
        <v>10</v>
      </c>
      <c r="J57" s="37">
        <v>3000</v>
      </c>
      <c r="K57" s="17">
        <f t="shared" si="1"/>
        <v>300</v>
      </c>
      <c r="L57" s="30">
        <v>10</v>
      </c>
      <c r="M57" s="18">
        <f>AVERAGE(M47:M56)</f>
        <v>2874.9203455267898</v>
      </c>
      <c r="N57" s="17">
        <f t="shared" si="3"/>
        <v>287.492034552679</v>
      </c>
      <c r="O57" s="19">
        <f t="shared" si="4"/>
        <v>0</v>
      </c>
      <c r="P57" s="20">
        <f t="shared" si="5"/>
        <v>-12.507965447320998</v>
      </c>
      <c r="Q57" s="401">
        <f t="shared" si="6"/>
        <v>0.95830678184226337</v>
      </c>
      <c r="R57" s="511"/>
      <c r="S57" s="40"/>
      <c r="T57" s="40"/>
      <c r="U57" s="398"/>
      <c r="V57" s="408"/>
      <c r="W57" s="23"/>
      <c r="X57" s="23"/>
      <c r="Y57" s="31">
        <f>SUM(Y47:Y56)</f>
        <v>0</v>
      </c>
      <c r="Z57" s="31">
        <f>SUM(Z47:Z56)</f>
        <v>0</v>
      </c>
      <c r="AA57" s="505"/>
      <c r="AB57" s="506"/>
      <c r="AC57" s="31">
        <v>0</v>
      </c>
      <c r="AD57" s="31">
        <f>SUM(AD47:AD56)</f>
        <v>0</v>
      </c>
      <c r="AE57" s="19">
        <f t="shared" si="8"/>
        <v>-125.07965447321021</v>
      </c>
      <c r="AF57" s="401">
        <f t="shared" si="9"/>
        <v>0.95830678184226326</v>
      </c>
      <c r="AG57" s="511"/>
    </row>
    <row r="58" spans="1:33" ht="15.75" customHeight="1">
      <c r="A58" s="507" t="s">
        <v>2370</v>
      </c>
      <c r="B58" s="42" t="s">
        <v>100</v>
      </c>
      <c r="C58" s="490" t="s">
        <v>101</v>
      </c>
      <c r="D58" s="490"/>
      <c r="E58" s="42">
        <v>46</v>
      </c>
      <c r="F58" s="46">
        <v>1494</v>
      </c>
      <c r="G58" s="398">
        <f t="shared" ref="G58:G67" si="35">E58*F58</f>
        <v>68724</v>
      </c>
      <c r="H58" s="411" t="s">
        <v>79</v>
      </c>
      <c r="I58" s="407">
        <v>17</v>
      </c>
      <c r="J58" s="37">
        <v>2000</v>
      </c>
      <c r="K58" s="17">
        <f t="shared" si="1"/>
        <v>117.64705882352941</v>
      </c>
      <c r="L58" s="407">
        <v>17</v>
      </c>
      <c r="M58" s="18">
        <f t="shared" ref="M58:M67" si="36">F58/V58*60</f>
        <v>1907.2340425531918</v>
      </c>
      <c r="N58" s="18">
        <f t="shared" si="3"/>
        <v>112.19023779724658</v>
      </c>
      <c r="O58" s="19">
        <f t="shared" si="4"/>
        <v>0</v>
      </c>
      <c r="P58" s="20">
        <f t="shared" si="5"/>
        <v>-5.4568210262828245</v>
      </c>
      <c r="Q58" s="401">
        <f t="shared" si="6"/>
        <v>0.95361702127659598</v>
      </c>
      <c r="R58" s="489">
        <f>Q68</f>
        <v>0.93336998328200582</v>
      </c>
      <c r="S58" s="40">
        <v>0.20833333333333334</v>
      </c>
      <c r="T58" s="40">
        <v>0.24097222222222223</v>
      </c>
      <c r="U58" s="28"/>
      <c r="V58" s="408">
        <f t="shared" ref="V58:V67" si="37">(T58-S58)*24*60</f>
        <v>46.999999999999993</v>
      </c>
      <c r="W58" s="28"/>
      <c r="X58" s="28"/>
      <c r="Y58" s="28"/>
      <c r="Z58" s="28"/>
      <c r="AA58" s="491"/>
      <c r="AB58" s="491"/>
      <c r="AC58" s="154">
        <v>5</v>
      </c>
      <c r="AD58" s="25"/>
      <c r="AE58" s="19">
        <f t="shared" si="8"/>
        <v>-92.765957446808216</v>
      </c>
      <c r="AF58" s="401">
        <f t="shared" si="9"/>
        <v>0.95361702127659587</v>
      </c>
      <c r="AG58" s="489">
        <f>AF68</f>
        <v>0.93336998328200571</v>
      </c>
    </row>
    <row r="59" spans="1:33" ht="15.75" customHeight="1">
      <c r="A59" s="507" t="s">
        <v>2370</v>
      </c>
      <c r="B59" s="42" t="s">
        <v>100</v>
      </c>
      <c r="C59" s="490" t="s">
        <v>102</v>
      </c>
      <c r="D59" s="490"/>
      <c r="E59" s="42">
        <v>46</v>
      </c>
      <c r="F59" s="46">
        <v>1594</v>
      </c>
      <c r="G59" s="398">
        <f t="shared" si="35"/>
        <v>73324</v>
      </c>
      <c r="H59" s="411" t="s">
        <v>79</v>
      </c>
      <c r="I59" s="407">
        <v>17</v>
      </c>
      <c r="J59" s="37">
        <v>2000</v>
      </c>
      <c r="K59" s="17">
        <f t="shared" si="1"/>
        <v>117.64705882352941</v>
      </c>
      <c r="L59" s="407">
        <v>17</v>
      </c>
      <c r="M59" s="18">
        <f t="shared" si="36"/>
        <v>1912.8000000000006</v>
      </c>
      <c r="N59" s="18">
        <f t="shared" si="3"/>
        <v>112.51764705882357</v>
      </c>
      <c r="O59" s="19">
        <f t="shared" si="4"/>
        <v>0</v>
      </c>
      <c r="P59" s="20">
        <f t="shared" si="5"/>
        <v>-5.1294117647058357</v>
      </c>
      <c r="Q59" s="401">
        <f t="shared" si="6"/>
        <v>0.95640000000000036</v>
      </c>
      <c r="R59" s="489"/>
      <c r="S59" s="40">
        <v>0.24583333333333335</v>
      </c>
      <c r="T59" s="40">
        <v>0.28055555555555556</v>
      </c>
      <c r="U59" s="398">
        <f t="shared" ref="U59:U67" si="38">IF(S59=TIME(17,0,0),"",(S59-T58)*24*60)</f>
        <v>7.0000000000000151</v>
      </c>
      <c r="V59" s="408">
        <f t="shared" si="37"/>
        <v>49.999999999999986</v>
      </c>
      <c r="W59" s="23"/>
      <c r="X59" s="23"/>
      <c r="Y59" s="23"/>
      <c r="Z59" s="23"/>
      <c r="AA59" s="491"/>
      <c r="AB59" s="491"/>
      <c r="AC59" s="154"/>
      <c r="AD59" s="25"/>
      <c r="AE59" s="19">
        <f t="shared" si="8"/>
        <v>-87.199999999999363</v>
      </c>
      <c r="AF59" s="401">
        <f t="shared" si="9"/>
        <v>0.95640000000000036</v>
      </c>
      <c r="AG59" s="489"/>
    </row>
    <row r="60" spans="1:33" ht="15.75" customHeight="1">
      <c r="A60" s="507" t="s">
        <v>2370</v>
      </c>
      <c r="B60" s="42" t="s">
        <v>103</v>
      </c>
      <c r="C60" s="501" t="s">
        <v>105</v>
      </c>
      <c r="D60" s="502"/>
      <c r="E60" s="42">
        <v>56.43</v>
      </c>
      <c r="F60" s="46">
        <v>1950</v>
      </c>
      <c r="G60" s="398">
        <f t="shared" si="35"/>
        <v>110038.5</v>
      </c>
      <c r="H60" s="411" t="s">
        <v>79</v>
      </c>
      <c r="I60" s="407">
        <v>22</v>
      </c>
      <c r="J60" s="37">
        <v>2000</v>
      </c>
      <c r="K60" s="17">
        <f t="shared" si="1"/>
        <v>90.909090909090907</v>
      </c>
      <c r="L60" s="407">
        <v>22</v>
      </c>
      <c r="M60" s="18">
        <f t="shared" si="36"/>
        <v>1772.7272727272727</v>
      </c>
      <c r="N60" s="18">
        <f t="shared" si="3"/>
        <v>80.578512396694222</v>
      </c>
      <c r="O60" s="19">
        <f t="shared" si="4"/>
        <v>0</v>
      </c>
      <c r="P60" s="20">
        <f t="shared" si="5"/>
        <v>-10.330578512396684</v>
      </c>
      <c r="Q60" s="401">
        <f t="shared" si="6"/>
        <v>0.88636363636363646</v>
      </c>
      <c r="R60" s="489"/>
      <c r="S60" s="40">
        <v>0.28541666666666665</v>
      </c>
      <c r="T60" s="40">
        <v>0.33124999999999999</v>
      </c>
      <c r="U60" s="398">
        <f t="shared" si="38"/>
        <v>6.9999999999999751</v>
      </c>
      <c r="V60" s="408">
        <f t="shared" si="37"/>
        <v>66</v>
      </c>
      <c r="W60" s="23"/>
      <c r="X60" s="23"/>
      <c r="Y60" s="26"/>
      <c r="Z60" s="26"/>
      <c r="AA60" s="491"/>
      <c r="AB60" s="491"/>
      <c r="AC60" s="154"/>
      <c r="AD60" s="25"/>
      <c r="AE60" s="19">
        <f t="shared" si="8"/>
        <v>-227.27272727272725</v>
      </c>
      <c r="AF60" s="401">
        <f t="shared" si="9"/>
        <v>0.88636363636363635</v>
      </c>
      <c r="AG60" s="489"/>
    </row>
    <row r="61" spans="1:33" ht="15.75" customHeight="1">
      <c r="A61" s="507" t="s">
        <v>2370</v>
      </c>
      <c r="B61" s="42" t="s">
        <v>103</v>
      </c>
      <c r="C61" s="403" t="s">
        <v>518</v>
      </c>
      <c r="D61" s="404"/>
      <c r="E61" s="42">
        <v>51.75</v>
      </c>
      <c r="F61" s="46">
        <v>1850</v>
      </c>
      <c r="G61" s="398">
        <f t="shared" si="35"/>
        <v>95737.5</v>
      </c>
      <c r="H61" s="411" t="s">
        <v>79</v>
      </c>
      <c r="I61" s="407">
        <v>25</v>
      </c>
      <c r="J61" s="37">
        <v>2000</v>
      </c>
      <c r="K61" s="17">
        <f t="shared" si="1"/>
        <v>80</v>
      </c>
      <c r="L61" s="407">
        <v>25</v>
      </c>
      <c r="M61" s="18">
        <f t="shared" si="36"/>
        <v>1707.6923076923074</v>
      </c>
      <c r="N61" s="18">
        <f t="shared" si="3"/>
        <v>68.307692307692292</v>
      </c>
      <c r="O61" s="19">
        <f t="shared" si="4"/>
        <v>0</v>
      </c>
      <c r="P61" s="20">
        <f t="shared" si="5"/>
        <v>-11.692307692307708</v>
      </c>
      <c r="Q61" s="401">
        <f t="shared" si="6"/>
        <v>0.8538461538461537</v>
      </c>
      <c r="R61" s="489"/>
      <c r="S61" s="40">
        <v>0.3347222222222222</v>
      </c>
      <c r="T61" s="40">
        <v>0.37986111111111109</v>
      </c>
      <c r="U61" s="398">
        <f t="shared" si="38"/>
        <v>4.9999999999999822</v>
      </c>
      <c r="V61" s="408">
        <f t="shared" si="37"/>
        <v>65.000000000000014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-292.30769230769261</v>
      </c>
      <c r="AF61" s="401">
        <f t="shared" si="9"/>
        <v>0.8538461538461537</v>
      </c>
      <c r="AG61" s="489"/>
    </row>
    <row r="62" spans="1:33" ht="15.75" customHeight="1">
      <c r="A62" s="507" t="s">
        <v>2370</v>
      </c>
      <c r="B62" s="42" t="s">
        <v>103</v>
      </c>
      <c r="C62" s="403" t="s">
        <v>1781</v>
      </c>
      <c r="D62" s="404"/>
      <c r="E62" s="42">
        <v>54.09</v>
      </c>
      <c r="F62" s="46">
        <v>1857</v>
      </c>
      <c r="G62" s="398">
        <f t="shared" si="35"/>
        <v>100445.13</v>
      </c>
      <c r="H62" s="411" t="s">
        <v>79</v>
      </c>
      <c r="I62" s="407">
        <v>19</v>
      </c>
      <c r="J62" s="37">
        <v>2000</v>
      </c>
      <c r="K62" s="17">
        <f t="shared" si="1"/>
        <v>105.26315789473684</v>
      </c>
      <c r="L62" s="407">
        <v>19</v>
      </c>
      <c r="M62" s="18">
        <f t="shared" si="36"/>
        <v>1826.5573770491796</v>
      </c>
      <c r="N62" s="18">
        <f t="shared" si="3"/>
        <v>96.134598792062093</v>
      </c>
      <c r="O62" s="19">
        <f t="shared" si="4"/>
        <v>0</v>
      </c>
      <c r="P62" s="20">
        <f t="shared" si="5"/>
        <v>-9.1285591026747426</v>
      </c>
      <c r="Q62" s="401">
        <f t="shared" si="6"/>
        <v>0.91327868852458993</v>
      </c>
      <c r="R62" s="489"/>
      <c r="S62" s="40">
        <v>0.38402777777777775</v>
      </c>
      <c r="T62" s="40">
        <v>0.42638888888888887</v>
      </c>
      <c r="U62" s="398">
        <f t="shared" si="38"/>
        <v>5.9999999999999787</v>
      </c>
      <c r="V62" s="408">
        <f t="shared" si="37"/>
        <v>61.000000000000021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-173.44262295082035</v>
      </c>
      <c r="AF62" s="401">
        <f t="shared" si="9"/>
        <v>0.91327868852458982</v>
      </c>
      <c r="AG62" s="489"/>
    </row>
    <row r="63" spans="1:33" ht="15.75" customHeight="1">
      <c r="A63" s="507" t="s">
        <v>2370</v>
      </c>
      <c r="B63" s="42" t="s">
        <v>103</v>
      </c>
      <c r="C63" s="501" t="s">
        <v>106</v>
      </c>
      <c r="D63" s="502"/>
      <c r="E63" s="42">
        <v>55.56</v>
      </c>
      <c r="F63" s="46">
        <v>1937</v>
      </c>
      <c r="G63" s="398">
        <f t="shared" si="35"/>
        <v>107619.72</v>
      </c>
      <c r="H63" s="411" t="s">
        <v>79</v>
      </c>
      <c r="I63" s="407">
        <v>17</v>
      </c>
      <c r="J63" s="37">
        <v>2000</v>
      </c>
      <c r="K63" s="17">
        <f t="shared" si="1"/>
        <v>117.64705882352941</v>
      </c>
      <c r="L63" s="407">
        <v>17</v>
      </c>
      <c r="M63" s="18">
        <f t="shared" si="36"/>
        <v>1905.2459016393461</v>
      </c>
      <c r="N63" s="18">
        <f t="shared" si="3"/>
        <v>112.07328833172625</v>
      </c>
      <c r="O63" s="19">
        <f t="shared" si="4"/>
        <v>0</v>
      </c>
      <c r="P63" s="20">
        <f t="shared" si="5"/>
        <v>-5.5737704918031596</v>
      </c>
      <c r="Q63" s="401">
        <f t="shared" si="6"/>
        <v>0.95262295081967319</v>
      </c>
      <c r="R63" s="489"/>
      <c r="S63" s="40">
        <v>0.70833333333333337</v>
      </c>
      <c r="T63" s="40">
        <v>0.75069444444444444</v>
      </c>
      <c r="U63" s="398" t="str">
        <f t="shared" si="38"/>
        <v/>
      </c>
      <c r="V63" s="408">
        <f t="shared" si="37"/>
        <v>60.999999999999943</v>
      </c>
      <c r="W63" s="23"/>
      <c r="X63" s="23"/>
      <c r="Y63" s="26"/>
      <c r="Z63" s="26"/>
      <c r="AA63" s="503"/>
      <c r="AB63" s="504"/>
      <c r="AC63" s="154"/>
      <c r="AD63" s="25"/>
      <c r="AE63" s="19">
        <f t="shared" si="8"/>
        <v>-94.75409836065387</v>
      </c>
      <c r="AF63" s="401">
        <f t="shared" si="9"/>
        <v>0.95262295081967308</v>
      </c>
      <c r="AG63" s="489"/>
    </row>
    <row r="64" spans="1:33" ht="15.75" customHeight="1">
      <c r="A64" s="507" t="s">
        <v>2370</v>
      </c>
      <c r="B64" s="42" t="s">
        <v>103</v>
      </c>
      <c r="C64" s="501" t="s">
        <v>107</v>
      </c>
      <c r="D64" s="502"/>
      <c r="E64" s="42">
        <v>55.32</v>
      </c>
      <c r="F64" s="46">
        <v>1393</v>
      </c>
      <c r="G64" s="398">
        <f t="shared" si="35"/>
        <v>77060.759999999995</v>
      </c>
      <c r="H64" s="411" t="s">
        <v>79</v>
      </c>
      <c r="I64" s="407">
        <v>15</v>
      </c>
      <c r="J64" s="37">
        <v>2000</v>
      </c>
      <c r="K64" s="17">
        <f t="shared" si="1"/>
        <v>133.33333333333334</v>
      </c>
      <c r="L64" s="407">
        <v>15</v>
      </c>
      <c r="M64" s="18">
        <f t="shared" si="36"/>
        <v>1943.7209302325577</v>
      </c>
      <c r="N64" s="18">
        <f t="shared" si="3"/>
        <v>129.58139534883719</v>
      </c>
      <c r="O64" s="19">
        <f t="shared" si="4"/>
        <v>0</v>
      </c>
      <c r="P64" s="20">
        <f t="shared" si="5"/>
        <v>-3.751937984496152</v>
      </c>
      <c r="Q64" s="401">
        <f t="shared" si="6"/>
        <v>0.97186046511627888</v>
      </c>
      <c r="R64" s="489"/>
      <c r="S64" s="40">
        <v>0.75555555555555554</v>
      </c>
      <c r="T64" s="40">
        <v>0.78541666666666665</v>
      </c>
      <c r="U64" s="398">
        <f t="shared" si="38"/>
        <v>6.9999999999999751</v>
      </c>
      <c r="V64" s="408">
        <f t="shared" si="37"/>
        <v>43.000000000000007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-56.279069767442252</v>
      </c>
      <c r="AF64" s="401">
        <f t="shared" si="9"/>
        <v>0.97186046511627888</v>
      </c>
      <c r="AG64" s="489"/>
    </row>
    <row r="65" spans="1:33" ht="15.75" customHeight="1">
      <c r="A65" s="507" t="s">
        <v>2370</v>
      </c>
      <c r="B65" s="42" t="s">
        <v>103</v>
      </c>
      <c r="C65" s="501" t="s">
        <v>108</v>
      </c>
      <c r="D65" s="502"/>
      <c r="E65" s="42">
        <v>54.29</v>
      </c>
      <c r="F65" s="46">
        <v>600</v>
      </c>
      <c r="G65" s="398">
        <f t="shared" si="35"/>
        <v>32574</v>
      </c>
      <c r="H65" s="411">
        <v>2</v>
      </c>
      <c r="I65" s="407">
        <v>20</v>
      </c>
      <c r="J65" s="37">
        <v>2000</v>
      </c>
      <c r="K65" s="17">
        <f t="shared" si="1"/>
        <v>100</v>
      </c>
      <c r="L65" s="407">
        <v>20</v>
      </c>
      <c r="M65" s="18">
        <f t="shared" si="36"/>
        <v>1894.7368421052538</v>
      </c>
      <c r="N65" s="18">
        <f t="shared" si="3"/>
        <v>94.736842105262696</v>
      </c>
      <c r="O65" s="19">
        <f t="shared" si="4"/>
        <v>0</v>
      </c>
      <c r="P65" s="20">
        <f t="shared" si="5"/>
        <v>-5.2631578947373043</v>
      </c>
      <c r="Q65" s="401">
        <f t="shared" si="6"/>
        <v>0.94736842105262697</v>
      </c>
      <c r="R65" s="489"/>
      <c r="S65" s="40">
        <v>0.79097222222222219</v>
      </c>
      <c r="T65" s="40">
        <v>0.8041666666666667</v>
      </c>
      <c r="U65" s="398">
        <f t="shared" si="38"/>
        <v>7.9999999999999716</v>
      </c>
      <c r="V65" s="408">
        <f t="shared" si="37"/>
        <v>19.000000000000092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-105.2631578947462</v>
      </c>
      <c r="AF65" s="401">
        <f t="shared" si="9"/>
        <v>0.94736842105262686</v>
      </c>
      <c r="AG65" s="489"/>
    </row>
    <row r="66" spans="1:33">
      <c r="A66" s="507" t="s">
        <v>2370</v>
      </c>
      <c r="B66" s="42" t="s">
        <v>103</v>
      </c>
      <c r="C66" s="501" t="s">
        <v>141</v>
      </c>
      <c r="D66" s="502"/>
      <c r="E66" s="42">
        <v>57.73</v>
      </c>
      <c r="F66" s="46">
        <v>1143</v>
      </c>
      <c r="G66" s="398">
        <f t="shared" si="35"/>
        <v>65985.39</v>
      </c>
      <c r="H66" s="411" t="s">
        <v>79</v>
      </c>
      <c r="I66" s="407">
        <v>16</v>
      </c>
      <c r="J66" s="37">
        <v>1500</v>
      </c>
      <c r="K66" s="17">
        <f t="shared" si="1"/>
        <v>93.75</v>
      </c>
      <c r="L66" s="407">
        <v>16</v>
      </c>
      <c r="M66" s="18">
        <f t="shared" si="36"/>
        <v>1428.7500000000005</v>
      </c>
      <c r="N66" s="18">
        <f t="shared" si="3"/>
        <v>89.296875000000028</v>
      </c>
      <c r="O66" s="19">
        <f t="shared" si="4"/>
        <v>0</v>
      </c>
      <c r="P66" s="20">
        <f t="shared" si="5"/>
        <v>-4.4531249999999716</v>
      </c>
      <c r="Q66" s="401">
        <f t="shared" si="6"/>
        <v>0.95250000000000035</v>
      </c>
      <c r="R66" s="489"/>
      <c r="S66" s="40">
        <v>0.8076388888888888</v>
      </c>
      <c r="T66" s="40">
        <v>0.84097222222222212</v>
      </c>
      <c r="U66" s="398">
        <f t="shared" si="38"/>
        <v>4.9999999999998224</v>
      </c>
      <c r="V66" s="408">
        <f t="shared" si="37"/>
        <v>47.999999999999986</v>
      </c>
      <c r="W66" s="23">
        <f>T66</f>
        <v>0.84097222222222212</v>
      </c>
      <c r="X66" s="23">
        <f>S67</f>
        <v>0.88333333333333319</v>
      </c>
      <c r="Y66" s="26"/>
      <c r="Z66" s="26"/>
      <c r="AA66" s="503"/>
      <c r="AB66" s="504"/>
      <c r="AC66" s="154"/>
      <c r="AD66" s="25"/>
      <c r="AE66" s="19">
        <f t="shared" si="8"/>
        <v>-71.249999999999545</v>
      </c>
      <c r="AF66" s="401">
        <f t="shared" si="9"/>
        <v>0.95250000000000035</v>
      </c>
      <c r="AG66" s="489"/>
    </row>
    <row r="67" spans="1:33">
      <c r="A67" s="507" t="s">
        <v>67</v>
      </c>
      <c r="B67" s="42" t="s">
        <v>103</v>
      </c>
      <c r="C67" s="501" t="s">
        <v>108</v>
      </c>
      <c r="D67" s="502"/>
      <c r="E67" s="42">
        <v>54.29</v>
      </c>
      <c r="F67" s="46">
        <v>1521</v>
      </c>
      <c r="G67" s="398">
        <f t="shared" si="35"/>
        <v>82575.09</v>
      </c>
      <c r="H67" s="411" t="s">
        <v>79</v>
      </c>
      <c r="I67" s="407">
        <v>20</v>
      </c>
      <c r="J67" s="37">
        <v>2000</v>
      </c>
      <c r="K67" s="17">
        <f t="shared" si="1"/>
        <v>100</v>
      </c>
      <c r="L67" s="407">
        <v>20</v>
      </c>
      <c r="M67" s="18">
        <f t="shared" si="36"/>
        <v>1901.2500000000007</v>
      </c>
      <c r="N67" s="18">
        <f t="shared" si="3"/>
        <v>95.062500000000028</v>
      </c>
      <c r="O67" s="19">
        <f t="shared" si="4"/>
        <v>0</v>
      </c>
      <c r="P67" s="20">
        <f t="shared" si="5"/>
        <v>-4.9374999999999716</v>
      </c>
      <c r="Q67" s="401">
        <f t="shared" si="6"/>
        <v>0.95062500000000028</v>
      </c>
      <c r="R67" s="489"/>
      <c r="S67" s="40">
        <v>0.88333333333333319</v>
      </c>
      <c r="T67" s="40">
        <v>0.91666666666666652</v>
      </c>
      <c r="U67" s="398">
        <f t="shared" si="38"/>
        <v>60.999999999999943</v>
      </c>
      <c r="V67" s="408">
        <f t="shared" si="37"/>
        <v>47.999999999999986</v>
      </c>
      <c r="W67" s="23"/>
      <c r="X67" s="23"/>
      <c r="Y67" s="26"/>
      <c r="Z67" s="26"/>
      <c r="AA67" s="503"/>
      <c r="AB67" s="504"/>
      <c r="AC67" s="154"/>
      <c r="AD67" s="25"/>
      <c r="AE67" s="19">
        <f t="shared" si="8"/>
        <v>-98.749999999999318</v>
      </c>
      <c r="AF67" s="401">
        <f t="shared" si="9"/>
        <v>0.95062500000000039</v>
      </c>
      <c r="AG67" s="489"/>
    </row>
    <row r="68" spans="1:33">
      <c r="A68" s="508" t="s">
        <v>2370</v>
      </c>
      <c r="B68" s="42" t="s">
        <v>71</v>
      </c>
      <c r="C68" s="494"/>
      <c r="D68" s="494"/>
      <c r="E68" s="402"/>
      <c r="F68" s="44"/>
      <c r="G68" s="17"/>
      <c r="H68" s="409"/>
      <c r="I68" s="30">
        <v>18.8</v>
      </c>
      <c r="J68" s="37">
        <v>1950</v>
      </c>
      <c r="K68" s="17">
        <f t="shared" si="1"/>
        <v>103.72340425531914</v>
      </c>
      <c r="L68" s="30">
        <v>18.8</v>
      </c>
      <c r="M68" s="18">
        <f>AVERAGE(M58:M67)</f>
        <v>1820.0714673999112</v>
      </c>
      <c r="N68" s="17">
        <f t="shared" si="3"/>
        <v>96.812312095739955</v>
      </c>
      <c r="O68" s="19">
        <f t="shared" si="4"/>
        <v>0</v>
      </c>
      <c r="P68" s="20">
        <f t="shared" si="5"/>
        <v>-6.9110921595791837</v>
      </c>
      <c r="Q68" s="401">
        <f t="shared" si="6"/>
        <v>0.93336998328200582</v>
      </c>
      <c r="R68" s="489"/>
      <c r="S68" s="40"/>
      <c r="T68" s="40"/>
      <c r="U68" s="398"/>
      <c r="V68" s="408"/>
      <c r="W68" s="17"/>
      <c r="X68" s="17"/>
      <c r="Y68" s="31">
        <f>SUM(Y58:Y67)</f>
        <v>0</v>
      </c>
      <c r="Z68" s="31">
        <f>SUM(Z58:Z67)</f>
        <v>0</v>
      </c>
      <c r="AA68" s="495"/>
      <c r="AB68" s="495"/>
      <c r="AC68" s="31">
        <v>5</v>
      </c>
      <c r="AD68" s="31">
        <f>SUM(AD58:AD67)</f>
        <v>0</v>
      </c>
      <c r="AE68" s="19">
        <f>M68-J68</f>
        <v>-129.92853260008883</v>
      </c>
      <c r="AF68" s="401">
        <f t="shared" si="9"/>
        <v>0.93336998328200571</v>
      </c>
      <c r="AG68" s="489"/>
    </row>
    <row r="69" spans="1:33" ht="15.75" customHeight="1">
      <c r="A69" s="499" t="s">
        <v>72</v>
      </c>
      <c r="B69" s="409" t="s">
        <v>100</v>
      </c>
      <c r="C69" s="490" t="s">
        <v>109</v>
      </c>
      <c r="D69" s="490"/>
      <c r="E69" s="42">
        <v>26.97</v>
      </c>
      <c r="F69" s="46">
        <v>2298</v>
      </c>
      <c r="G69" s="398">
        <f t="shared" ref="G69:G73" si="39">E69*F69</f>
        <v>61977.06</v>
      </c>
      <c r="H69" s="411" t="s">
        <v>79</v>
      </c>
      <c r="I69" s="407">
        <v>8</v>
      </c>
      <c r="J69" s="37">
        <v>1500</v>
      </c>
      <c r="K69" s="17">
        <f t="shared" ref="K69:K81" si="40">J69/I69</f>
        <v>187.5</v>
      </c>
      <c r="L69" s="407">
        <v>8</v>
      </c>
      <c r="M69" s="18">
        <f t="shared" ref="M69:M73" si="41">F69/V69*60</f>
        <v>1436.2499999999998</v>
      </c>
      <c r="N69" s="17">
        <f t="shared" ref="N69:N81" si="42">M69/L69</f>
        <v>179.53124999999997</v>
      </c>
      <c r="O69" s="19">
        <f t="shared" ref="O69:O81" si="43">L69-I69</f>
        <v>0</v>
      </c>
      <c r="P69" s="20">
        <f t="shared" ref="P69:P81" si="44">N69-K69</f>
        <v>-7.9687500000000284</v>
      </c>
      <c r="Q69" s="401">
        <f t="shared" ref="Q69:Q81" si="45">N69/K69</f>
        <v>0.9574999999999998</v>
      </c>
      <c r="R69" s="489">
        <f>Q74</f>
        <v>0.96031484401199441</v>
      </c>
      <c r="S69" s="40">
        <v>0.20833333333333334</v>
      </c>
      <c r="T69" s="40">
        <v>0.27500000000000002</v>
      </c>
      <c r="U69" s="398"/>
      <c r="V69" s="408">
        <f t="shared" ref="V69:V73" si="46">(T69-S69)*24*60</f>
        <v>96.000000000000014</v>
      </c>
      <c r="W69" s="28"/>
      <c r="X69" s="28"/>
      <c r="Y69" s="28"/>
      <c r="Z69" s="28"/>
      <c r="AA69" s="491"/>
      <c r="AB69" s="491"/>
      <c r="AC69" s="154">
        <v>1</v>
      </c>
      <c r="AD69" s="25"/>
      <c r="AE69" s="19">
        <f t="shared" ref="AE69:AE81" si="47">M69-J69</f>
        <v>-63.750000000000227</v>
      </c>
      <c r="AF69" s="401">
        <f t="shared" ref="AF69:AF81" si="48">M69/J69</f>
        <v>0.9574999999999998</v>
      </c>
      <c r="AG69" s="489">
        <f>AF74</f>
        <v>0.9603148440119943</v>
      </c>
    </row>
    <row r="70" spans="1:33" ht="15.75" customHeight="1">
      <c r="A70" s="499" t="s">
        <v>2371</v>
      </c>
      <c r="B70" s="409" t="s">
        <v>100</v>
      </c>
      <c r="C70" s="490" t="s">
        <v>519</v>
      </c>
      <c r="D70" s="490"/>
      <c r="E70" s="42">
        <v>27.4</v>
      </c>
      <c r="F70" s="46">
        <v>2137</v>
      </c>
      <c r="G70" s="398">
        <f t="shared" si="39"/>
        <v>58553.799999999996</v>
      </c>
      <c r="H70" s="411" t="s">
        <v>79</v>
      </c>
      <c r="I70" s="407">
        <v>10</v>
      </c>
      <c r="J70" s="37">
        <v>1500</v>
      </c>
      <c r="K70" s="17">
        <f t="shared" si="40"/>
        <v>150</v>
      </c>
      <c r="L70" s="407">
        <v>10</v>
      </c>
      <c r="M70" s="18">
        <f t="shared" si="41"/>
        <v>1440.6741573033707</v>
      </c>
      <c r="N70" s="17">
        <f t="shared" si="42"/>
        <v>144.06741573033707</v>
      </c>
      <c r="O70" s="19">
        <f t="shared" si="43"/>
        <v>0</v>
      </c>
      <c r="P70" s="20">
        <f t="shared" si="44"/>
        <v>-5.9325842696629252</v>
      </c>
      <c r="Q70" s="401">
        <f t="shared" si="45"/>
        <v>0.96044943820224715</v>
      </c>
      <c r="R70" s="489"/>
      <c r="S70" s="40">
        <v>0.27847222222222223</v>
      </c>
      <c r="T70" s="40">
        <v>0.34027777777777779</v>
      </c>
      <c r="U70" s="398">
        <f t="shared" ref="U70:U73" si="49">(S70-T69)*24*60</f>
        <v>4.9999999999999822</v>
      </c>
      <c r="V70" s="408">
        <f t="shared" si="46"/>
        <v>89</v>
      </c>
      <c r="W70" s="398"/>
      <c r="X70" s="398"/>
      <c r="Y70" s="398"/>
      <c r="Z70" s="398"/>
      <c r="AA70" s="491"/>
      <c r="AB70" s="491"/>
      <c r="AC70" s="154"/>
      <c r="AD70" s="25"/>
      <c r="AE70" s="19">
        <f t="shared" si="47"/>
        <v>-59.325842696629252</v>
      </c>
      <c r="AF70" s="401">
        <f t="shared" si="48"/>
        <v>0.96044943820224715</v>
      </c>
      <c r="AG70" s="489"/>
    </row>
    <row r="71" spans="1:33" ht="15.75" customHeight="1">
      <c r="A71" s="499" t="s">
        <v>2371</v>
      </c>
      <c r="B71" s="409" t="s">
        <v>93</v>
      </c>
      <c r="C71" s="490" t="s">
        <v>97</v>
      </c>
      <c r="D71" s="490"/>
      <c r="E71" s="42">
        <v>31</v>
      </c>
      <c r="F71" s="46">
        <v>941</v>
      </c>
      <c r="G71" s="398">
        <f t="shared" si="39"/>
        <v>29171</v>
      </c>
      <c r="H71" s="411" t="s">
        <v>79</v>
      </c>
      <c r="I71" s="407">
        <v>13</v>
      </c>
      <c r="J71" s="37">
        <v>2000</v>
      </c>
      <c r="K71" s="17">
        <f t="shared" si="40"/>
        <v>153.84615384615384</v>
      </c>
      <c r="L71" s="407">
        <v>13</v>
      </c>
      <c r="M71" s="18">
        <f t="shared" si="41"/>
        <v>1946.8965517241393</v>
      </c>
      <c r="N71" s="17">
        <f t="shared" si="42"/>
        <v>149.76127320954919</v>
      </c>
      <c r="O71" s="19">
        <f t="shared" si="43"/>
        <v>0</v>
      </c>
      <c r="P71" s="20">
        <f t="shared" si="44"/>
        <v>-4.0848806366046517</v>
      </c>
      <c r="Q71" s="401">
        <f t="shared" si="45"/>
        <v>0.97344827586206972</v>
      </c>
      <c r="R71" s="489"/>
      <c r="S71" s="40">
        <v>0.34583333333333333</v>
      </c>
      <c r="T71" s="40">
        <v>0.3659722222222222</v>
      </c>
      <c r="U71" s="398">
        <f t="shared" si="49"/>
        <v>7.9999999999999716</v>
      </c>
      <c r="V71" s="408">
        <f t="shared" si="46"/>
        <v>28.999999999999979</v>
      </c>
      <c r="W71" s="398"/>
      <c r="X71" s="398"/>
      <c r="Y71" s="398"/>
      <c r="Z71" s="398"/>
      <c r="AA71" s="491"/>
      <c r="AB71" s="491"/>
      <c r="AC71" s="154" t="s">
        <v>79</v>
      </c>
      <c r="AD71" s="25"/>
      <c r="AE71" s="19">
        <f t="shared" si="47"/>
        <v>-53.103448275860728</v>
      </c>
      <c r="AF71" s="401">
        <f t="shared" si="48"/>
        <v>0.97344827586206961</v>
      </c>
      <c r="AG71" s="489"/>
    </row>
    <row r="72" spans="1:33" ht="15.75" customHeight="1">
      <c r="A72" s="499" t="s">
        <v>2371</v>
      </c>
      <c r="B72" s="409" t="s">
        <v>93</v>
      </c>
      <c r="C72" s="490" t="s">
        <v>1235</v>
      </c>
      <c r="D72" s="490"/>
      <c r="E72" s="42">
        <v>37.85</v>
      </c>
      <c r="F72" s="46">
        <v>2220</v>
      </c>
      <c r="G72" s="398">
        <f t="shared" si="39"/>
        <v>84027</v>
      </c>
      <c r="H72" s="411" t="s">
        <v>79</v>
      </c>
      <c r="I72" s="407">
        <v>12</v>
      </c>
      <c r="J72" s="37">
        <v>2000</v>
      </c>
      <c r="K72" s="17">
        <f t="shared" si="40"/>
        <v>166.66666666666666</v>
      </c>
      <c r="L72" s="407">
        <v>12</v>
      </c>
      <c r="M72" s="18">
        <f t="shared" si="41"/>
        <v>1902.8571428571433</v>
      </c>
      <c r="N72" s="17">
        <f t="shared" si="42"/>
        <v>158.57142857142861</v>
      </c>
      <c r="O72" s="19">
        <f t="shared" si="43"/>
        <v>0</v>
      </c>
      <c r="P72" s="20">
        <f t="shared" si="44"/>
        <v>-8.0952380952380452</v>
      </c>
      <c r="Q72" s="401">
        <f t="shared" si="45"/>
        <v>0.95142857142857173</v>
      </c>
      <c r="R72" s="489"/>
      <c r="S72" s="40">
        <v>0.37013888888888885</v>
      </c>
      <c r="T72" s="40">
        <v>0.41874999999999996</v>
      </c>
      <c r="U72" s="398">
        <f t="shared" si="49"/>
        <v>5.9999999999999787</v>
      </c>
      <c r="V72" s="408">
        <f t="shared" si="46"/>
        <v>69.999999999999986</v>
      </c>
      <c r="W72" s="398"/>
      <c r="X72" s="398"/>
      <c r="Y72" s="398"/>
      <c r="Z72" s="398"/>
      <c r="AA72" s="491"/>
      <c r="AB72" s="491"/>
      <c r="AC72" s="154" t="s">
        <v>79</v>
      </c>
      <c r="AD72" s="25"/>
      <c r="AE72" s="19">
        <f t="shared" si="47"/>
        <v>-97.142857142856656</v>
      </c>
      <c r="AF72" s="401">
        <f t="shared" si="48"/>
        <v>0.95142857142857162</v>
      </c>
      <c r="AG72" s="489"/>
    </row>
    <row r="73" spans="1:33">
      <c r="A73" s="500" t="s">
        <v>2371</v>
      </c>
      <c r="B73" s="409" t="s">
        <v>93</v>
      </c>
      <c r="C73" s="490" t="s">
        <v>113</v>
      </c>
      <c r="D73" s="490"/>
      <c r="E73" s="42">
        <v>34.36</v>
      </c>
      <c r="F73" s="46">
        <v>1630</v>
      </c>
      <c r="G73" s="398">
        <f t="shared" si="39"/>
        <v>56006.799999999996</v>
      </c>
      <c r="H73" s="411" t="s">
        <v>79</v>
      </c>
      <c r="I73" s="407">
        <v>10</v>
      </c>
      <c r="J73" s="37">
        <v>3000</v>
      </c>
      <c r="K73" s="17">
        <f t="shared" si="40"/>
        <v>300</v>
      </c>
      <c r="L73" s="407">
        <v>10</v>
      </c>
      <c r="M73" s="18">
        <f t="shared" si="41"/>
        <v>2876.4705882352905</v>
      </c>
      <c r="N73" s="17">
        <f t="shared" si="42"/>
        <v>287.64705882352905</v>
      </c>
      <c r="O73" s="19">
        <f t="shared" si="43"/>
        <v>0</v>
      </c>
      <c r="P73" s="20">
        <f t="shared" si="44"/>
        <v>-12.352941176470949</v>
      </c>
      <c r="Q73" s="401">
        <f t="shared" si="45"/>
        <v>0.95882352941176352</v>
      </c>
      <c r="R73" s="489"/>
      <c r="S73" s="40">
        <v>0.42291666666666661</v>
      </c>
      <c r="T73" s="40">
        <v>0.44652777777777775</v>
      </c>
      <c r="U73" s="398">
        <f t="shared" si="49"/>
        <v>5.9999999999999787</v>
      </c>
      <c r="V73" s="408">
        <f t="shared" si="46"/>
        <v>34.000000000000043</v>
      </c>
      <c r="W73" s="23"/>
      <c r="X73" s="23"/>
      <c r="Y73" s="23"/>
      <c r="Z73" s="23"/>
      <c r="AA73" s="491"/>
      <c r="AB73" s="491"/>
      <c r="AC73" s="154" t="s">
        <v>79</v>
      </c>
      <c r="AD73" s="25"/>
      <c r="AE73" s="19">
        <f t="shared" si="47"/>
        <v>-123.52941176470949</v>
      </c>
      <c r="AF73" s="401">
        <f t="shared" si="48"/>
        <v>0.95882352941176352</v>
      </c>
      <c r="AG73" s="489"/>
    </row>
    <row r="74" spans="1:33">
      <c r="A74" s="500" t="s">
        <v>2371</v>
      </c>
      <c r="B74" s="42" t="s">
        <v>2372</v>
      </c>
      <c r="C74" s="494"/>
      <c r="D74" s="494"/>
      <c r="E74" s="402"/>
      <c r="F74" s="44"/>
      <c r="G74" s="17"/>
      <c r="H74" s="409"/>
      <c r="I74" s="30">
        <v>10.6</v>
      </c>
      <c r="J74" s="37">
        <v>2000</v>
      </c>
      <c r="K74" s="17">
        <f t="shared" si="40"/>
        <v>188.67924528301887</v>
      </c>
      <c r="L74" s="30">
        <v>10.6</v>
      </c>
      <c r="M74" s="18">
        <f>AVERAGE(M69:M73)</f>
        <v>1920.6296880239886</v>
      </c>
      <c r="N74" s="17">
        <f t="shared" si="42"/>
        <v>181.19148000226309</v>
      </c>
      <c r="O74" s="19">
        <f t="shared" si="43"/>
        <v>0</v>
      </c>
      <c r="P74" s="20">
        <f t="shared" si="44"/>
        <v>-7.4877652807557809</v>
      </c>
      <c r="Q74" s="401">
        <f t="shared" si="45"/>
        <v>0.96031484401199441</v>
      </c>
      <c r="R74" s="489"/>
      <c r="S74" s="40"/>
      <c r="T74" s="40"/>
      <c r="U74" s="17"/>
      <c r="V74" s="408"/>
      <c r="W74" s="17"/>
      <c r="X74" s="17"/>
      <c r="Y74" s="31">
        <f>SUM(Y69:Y73)</f>
        <v>0</v>
      </c>
      <c r="Z74" s="31">
        <f>SUM(Z69:Z73)</f>
        <v>0</v>
      </c>
      <c r="AA74" s="495"/>
      <c r="AB74" s="495"/>
      <c r="AC74" s="31">
        <v>1</v>
      </c>
      <c r="AD74" s="31">
        <f>SUM(AD69:AD73)</f>
        <v>0</v>
      </c>
      <c r="AE74" s="19">
        <f t="shared" si="47"/>
        <v>-79.370311976011408</v>
      </c>
      <c r="AF74" s="401">
        <f t="shared" si="48"/>
        <v>0.9603148440119943</v>
      </c>
      <c r="AG74" s="489"/>
    </row>
    <row r="75" spans="1:33" ht="15.75" customHeight="1">
      <c r="A75" s="496" t="s">
        <v>75</v>
      </c>
      <c r="B75" s="409" t="s">
        <v>80</v>
      </c>
      <c r="C75" s="490" t="s">
        <v>115</v>
      </c>
      <c r="D75" s="490"/>
      <c r="E75" s="42">
        <v>20.2</v>
      </c>
      <c r="F75" s="409">
        <v>1982</v>
      </c>
      <c r="G75" s="398">
        <f t="shared" ref="G75:G80" si="50">E75*F75</f>
        <v>40036.400000000001</v>
      </c>
      <c r="H75" s="411" t="s">
        <v>79</v>
      </c>
      <c r="I75" s="407">
        <v>19</v>
      </c>
      <c r="J75" s="37">
        <v>2400</v>
      </c>
      <c r="K75" s="17">
        <f t="shared" si="40"/>
        <v>126.31578947368421</v>
      </c>
      <c r="L75" s="407">
        <v>19</v>
      </c>
      <c r="M75" s="18">
        <f t="shared" ref="M75:M80" si="51">F75/V75*60</f>
        <v>2286.9230769230762</v>
      </c>
      <c r="N75" s="17">
        <f t="shared" si="42"/>
        <v>120.3643724696356</v>
      </c>
      <c r="O75" s="19">
        <f t="shared" si="43"/>
        <v>0</v>
      </c>
      <c r="P75" s="20">
        <f t="shared" si="44"/>
        <v>-5.9514170040486079</v>
      </c>
      <c r="Q75" s="401">
        <f t="shared" si="45"/>
        <v>0.95288461538461522</v>
      </c>
      <c r="R75" s="489">
        <f>Q81</f>
        <v>0.95670904840920945</v>
      </c>
      <c r="S75" s="40">
        <v>0.125</v>
      </c>
      <c r="T75" s="40">
        <v>0.16111111111111112</v>
      </c>
      <c r="U75" s="28"/>
      <c r="V75" s="408">
        <f t="shared" ref="V75:V80" si="52">(T75-S75)*24*60</f>
        <v>52.000000000000014</v>
      </c>
      <c r="W75" s="23">
        <f>T75</f>
        <v>0.16111111111111112</v>
      </c>
      <c r="X75" s="23">
        <f>S76</f>
        <v>0.18263888888888891</v>
      </c>
      <c r="Y75" s="23"/>
      <c r="Z75" s="23"/>
      <c r="AA75" s="491"/>
      <c r="AB75" s="491"/>
      <c r="AC75" s="154">
        <v>7</v>
      </c>
      <c r="AD75" s="25"/>
      <c r="AE75" s="19">
        <f t="shared" si="47"/>
        <v>-113.07692307692378</v>
      </c>
      <c r="AF75" s="401">
        <f t="shared" si="48"/>
        <v>0.95288461538461511</v>
      </c>
      <c r="AG75" s="489">
        <f>AF81</f>
        <v>0.95670904840920934</v>
      </c>
    </row>
    <row r="76" spans="1:33" ht="15.75" customHeight="1">
      <c r="A76" s="497" t="s">
        <v>2373</v>
      </c>
      <c r="B76" s="409" t="s">
        <v>80</v>
      </c>
      <c r="C76" s="490" t="s">
        <v>116</v>
      </c>
      <c r="D76" s="490"/>
      <c r="E76" s="42">
        <v>20.52</v>
      </c>
      <c r="F76" s="409">
        <v>2881</v>
      </c>
      <c r="G76" s="398">
        <f t="shared" si="50"/>
        <v>59118.119999999995</v>
      </c>
      <c r="H76" s="411" t="s">
        <v>79</v>
      </c>
      <c r="I76" s="407">
        <v>18</v>
      </c>
      <c r="J76" s="37">
        <v>2400</v>
      </c>
      <c r="K76" s="17">
        <f t="shared" si="40"/>
        <v>133.33333333333334</v>
      </c>
      <c r="L76" s="407">
        <v>18</v>
      </c>
      <c r="M76" s="18">
        <f t="shared" si="51"/>
        <v>2304.7999999999997</v>
      </c>
      <c r="N76" s="17">
        <f t="shared" si="42"/>
        <v>128.04444444444442</v>
      </c>
      <c r="O76" s="19">
        <f t="shared" si="43"/>
        <v>0</v>
      </c>
      <c r="P76" s="20">
        <f t="shared" si="44"/>
        <v>-5.2888888888889198</v>
      </c>
      <c r="Q76" s="401">
        <f t="shared" si="45"/>
        <v>0.96033333333333315</v>
      </c>
      <c r="R76" s="489"/>
      <c r="S76" s="40">
        <v>0.18263888888888891</v>
      </c>
      <c r="T76" s="40">
        <v>0.23472222222222225</v>
      </c>
      <c r="U76" s="398">
        <f t="shared" ref="U76:U80" si="53">(S76-T75)*24*60</f>
        <v>31.000000000000011</v>
      </c>
      <c r="V76" s="408">
        <f t="shared" si="52"/>
        <v>75.000000000000014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7"/>
        <v>-95.200000000000273</v>
      </c>
      <c r="AF76" s="401">
        <f t="shared" si="48"/>
        <v>0.96033333333333326</v>
      </c>
      <c r="AG76" s="489"/>
    </row>
    <row r="77" spans="1:33" ht="15.75" customHeight="1">
      <c r="A77" s="497" t="s">
        <v>2373</v>
      </c>
      <c r="B77" s="409" t="s">
        <v>80</v>
      </c>
      <c r="C77" s="490" t="s">
        <v>119</v>
      </c>
      <c r="D77" s="490"/>
      <c r="E77" s="42">
        <v>19.02</v>
      </c>
      <c r="F77" s="409">
        <v>3500</v>
      </c>
      <c r="G77" s="398">
        <f t="shared" si="50"/>
        <v>66570</v>
      </c>
      <c r="H77" s="411">
        <v>2</v>
      </c>
      <c r="I77" s="407">
        <v>15</v>
      </c>
      <c r="J77" s="37">
        <v>2400</v>
      </c>
      <c r="K77" s="17">
        <f t="shared" si="40"/>
        <v>160</v>
      </c>
      <c r="L77" s="407">
        <v>15</v>
      </c>
      <c r="M77" s="18">
        <f t="shared" si="51"/>
        <v>2307.6923076923067</v>
      </c>
      <c r="N77" s="17">
        <f t="shared" si="42"/>
        <v>153.84615384615378</v>
      </c>
      <c r="O77" s="19">
        <f t="shared" si="43"/>
        <v>0</v>
      </c>
      <c r="P77" s="20">
        <f t="shared" si="44"/>
        <v>-6.1538461538462172</v>
      </c>
      <c r="Q77" s="401">
        <f t="shared" si="45"/>
        <v>0.96153846153846112</v>
      </c>
      <c r="R77" s="489"/>
      <c r="S77" s="40">
        <v>0.23819444444444446</v>
      </c>
      <c r="T77" s="40">
        <v>0.30138888888888893</v>
      </c>
      <c r="U77" s="398">
        <f t="shared" si="53"/>
        <v>4.9999999999999822</v>
      </c>
      <c r="V77" s="408">
        <f t="shared" si="52"/>
        <v>91.000000000000043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7"/>
        <v>-92.307692307693287</v>
      </c>
      <c r="AF77" s="401">
        <f t="shared" si="48"/>
        <v>0.96153846153846112</v>
      </c>
      <c r="AG77" s="489"/>
    </row>
    <row r="78" spans="1:33" ht="15.75" customHeight="1">
      <c r="A78" s="497" t="s">
        <v>2373</v>
      </c>
      <c r="B78" s="409" t="s">
        <v>80</v>
      </c>
      <c r="C78" s="490" t="s">
        <v>117</v>
      </c>
      <c r="D78" s="490"/>
      <c r="E78" s="42">
        <v>24.43</v>
      </c>
      <c r="F78" s="409">
        <v>5928</v>
      </c>
      <c r="G78" s="398">
        <f t="shared" si="50"/>
        <v>144821.04</v>
      </c>
      <c r="H78" s="411" t="s">
        <v>79</v>
      </c>
      <c r="I78" s="407">
        <v>14</v>
      </c>
      <c r="J78" s="37">
        <v>2400</v>
      </c>
      <c r="K78" s="17">
        <f t="shared" si="40"/>
        <v>171.42857142857142</v>
      </c>
      <c r="L78" s="407">
        <v>14</v>
      </c>
      <c r="M78" s="18">
        <f t="shared" si="51"/>
        <v>2294.7096774193546</v>
      </c>
      <c r="N78" s="17">
        <f t="shared" si="42"/>
        <v>163.90783410138246</v>
      </c>
      <c r="O78" s="19">
        <f t="shared" si="43"/>
        <v>0</v>
      </c>
      <c r="P78" s="20">
        <f t="shared" si="44"/>
        <v>-7.5207373271889537</v>
      </c>
      <c r="Q78" s="401">
        <f t="shared" si="45"/>
        <v>0.95612903225806445</v>
      </c>
      <c r="R78" s="489"/>
      <c r="S78" s="40">
        <v>0.30486111111111114</v>
      </c>
      <c r="T78" s="40">
        <v>0.41250000000000003</v>
      </c>
      <c r="U78" s="398">
        <f t="shared" si="53"/>
        <v>4.9999999999999822</v>
      </c>
      <c r="V78" s="408">
        <f t="shared" si="52"/>
        <v>155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7"/>
        <v>-105.29032258064535</v>
      </c>
      <c r="AF78" s="401">
        <f t="shared" si="48"/>
        <v>0.95612903225806445</v>
      </c>
      <c r="AG78" s="489"/>
    </row>
    <row r="79" spans="1:33" ht="15.75" customHeight="1">
      <c r="A79" s="497" t="s">
        <v>2373</v>
      </c>
      <c r="B79" s="409" t="s">
        <v>80</v>
      </c>
      <c r="C79" s="490" t="s">
        <v>118</v>
      </c>
      <c r="D79" s="490"/>
      <c r="E79" s="42">
        <v>20.21</v>
      </c>
      <c r="F79" s="409">
        <v>3171</v>
      </c>
      <c r="G79" s="398">
        <f t="shared" si="50"/>
        <v>64085.91</v>
      </c>
      <c r="H79" s="411" t="s">
        <v>79</v>
      </c>
      <c r="I79" s="407">
        <v>16</v>
      </c>
      <c r="J79" s="37">
        <v>2400</v>
      </c>
      <c r="K79" s="17">
        <f t="shared" si="40"/>
        <v>150</v>
      </c>
      <c r="L79" s="407">
        <v>16</v>
      </c>
      <c r="M79" s="18">
        <f t="shared" si="51"/>
        <v>2292.2891566265052</v>
      </c>
      <c r="N79" s="17">
        <f t="shared" si="42"/>
        <v>143.26807228915658</v>
      </c>
      <c r="O79" s="19">
        <f t="shared" si="43"/>
        <v>0</v>
      </c>
      <c r="P79" s="20">
        <f t="shared" si="44"/>
        <v>-6.7319277108434221</v>
      </c>
      <c r="Q79" s="401">
        <f t="shared" si="45"/>
        <v>0.95512048192771049</v>
      </c>
      <c r="R79" s="489"/>
      <c r="S79" s="40">
        <v>0.41597222222222224</v>
      </c>
      <c r="T79" s="40">
        <v>0.47361111111111115</v>
      </c>
      <c r="U79" s="398">
        <f t="shared" si="53"/>
        <v>4.9999999999999822</v>
      </c>
      <c r="V79" s="408">
        <f t="shared" si="52"/>
        <v>83.000000000000028</v>
      </c>
      <c r="W79" s="23">
        <f>T79</f>
        <v>0.47361111111111115</v>
      </c>
      <c r="X79" s="23">
        <f>S80</f>
        <v>0.51319444444444451</v>
      </c>
      <c r="Y79" s="23"/>
      <c r="Z79" s="23"/>
      <c r="AA79" s="491"/>
      <c r="AB79" s="491"/>
      <c r="AC79" s="154"/>
      <c r="AD79" s="25"/>
      <c r="AE79" s="19">
        <f t="shared" si="47"/>
        <v>-107.71084337349475</v>
      </c>
      <c r="AF79" s="401">
        <f t="shared" si="48"/>
        <v>0.95512048192771049</v>
      </c>
      <c r="AG79" s="489"/>
    </row>
    <row r="80" spans="1:33" ht="15.75" customHeight="1">
      <c r="A80" s="497" t="s">
        <v>2373</v>
      </c>
      <c r="B80" s="409" t="s">
        <v>80</v>
      </c>
      <c r="C80" s="490" t="s">
        <v>119</v>
      </c>
      <c r="D80" s="490"/>
      <c r="E80" s="42">
        <v>19.02</v>
      </c>
      <c r="F80" s="409">
        <v>5840</v>
      </c>
      <c r="G80" s="398">
        <f t="shared" si="50"/>
        <v>111076.8</v>
      </c>
      <c r="H80" s="411" t="s">
        <v>79</v>
      </c>
      <c r="I80" s="407">
        <v>15</v>
      </c>
      <c r="J80" s="37">
        <v>2400</v>
      </c>
      <c r="K80" s="17">
        <f t="shared" si="40"/>
        <v>160</v>
      </c>
      <c r="L80" s="407">
        <v>15</v>
      </c>
      <c r="M80" s="18">
        <f t="shared" si="51"/>
        <v>2290.1960784313733</v>
      </c>
      <c r="N80" s="17">
        <f t="shared" si="42"/>
        <v>152.67973856209156</v>
      </c>
      <c r="O80" s="19">
        <f t="shared" si="43"/>
        <v>0</v>
      </c>
      <c r="P80" s="20">
        <f t="shared" si="44"/>
        <v>-7.3202614379084423</v>
      </c>
      <c r="Q80" s="401">
        <f t="shared" si="45"/>
        <v>0.95424836601307228</v>
      </c>
      <c r="R80" s="489"/>
      <c r="S80" s="40">
        <v>0.51319444444444451</v>
      </c>
      <c r="T80" s="40">
        <v>0.61944444444444446</v>
      </c>
      <c r="U80" s="398">
        <f t="shared" si="53"/>
        <v>57.000000000000036</v>
      </c>
      <c r="V80" s="408">
        <f t="shared" si="52"/>
        <v>152.99999999999994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7"/>
        <v>-109.80392156862672</v>
      </c>
      <c r="AF80" s="401">
        <f t="shared" si="48"/>
        <v>0.95424836601307217</v>
      </c>
      <c r="AG80" s="489"/>
    </row>
    <row r="81" spans="1:33" ht="16.5" customHeight="1">
      <c r="A81" s="498" t="s">
        <v>2373</v>
      </c>
      <c r="B81" s="42" t="s">
        <v>2372</v>
      </c>
      <c r="C81" s="492"/>
      <c r="D81" s="493"/>
      <c r="E81" s="402"/>
      <c r="F81" s="44"/>
      <c r="G81" s="17"/>
      <c r="H81" s="409"/>
      <c r="I81" s="30">
        <v>16.166666666666668</v>
      </c>
      <c r="J81" s="37">
        <v>2400</v>
      </c>
      <c r="K81" s="17">
        <f t="shared" si="40"/>
        <v>148.45360824742266</v>
      </c>
      <c r="L81" s="30">
        <v>16.166666666666668</v>
      </c>
      <c r="M81" s="18">
        <f>AVERAGE(M75:M80)</f>
        <v>2296.1017161821023</v>
      </c>
      <c r="N81" s="17">
        <f t="shared" si="42"/>
        <v>142.0269102793053</v>
      </c>
      <c r="O81" s="19">
        <f t="shared" si="43"/>
        <v>0</v>
      </c>
      <c r="P81" s="20">
        <f t="shared" si="44"/>
        <v>-6.4266979681173666</v>
      </c>
      <c r="Q81" s="401">
        <f t="shared" si="45"/>
        <v>0.95670904840920945</v>
      </c>
      <c r="R81" s="489"/>
      <c r="S81" s="40"/>
      <c r="T81" s="40"/>
      <c r="U81" s="17"/>
      <c r="V81" s="408"/>
      <c r="W81" s="17"/>
      <c r="X81" s="17"/>
      <c r="Y81" s="31">
        <f>SUM(Y75:Y80)</f>
        <v>0</v>
      </c>
      <c r="Z81" s="31">
        <f>SUM(Z75:Z80)</f>
        <v>0</v>
      </c>
      <c r="AA81" s="495"/>
      <c r="AB81" s="495"/>
      <c r="AC81" s="31">
        <v>7</v>
      </c>
      <c r="AD81" s="31">
        <f>SUM(AD75:AD80)</f>
        <v>0</v>
      </c>
      <c r="AE81" s="19">
        <f t="shared" si="47"/>
        <v>-103.89828381789766</v>
      </c>
      <c r="AF81" s="401">
        <f t="shared" si="48"/>
        <v>0.95670904840920934</v>
      </c>
      <c r="AG81" s="489"/>
    </row>
    <row r="82" spans="1:33">
      <c r="D82" s="33"/>
      <c r="E82" s="33"/>
    </row>
  </sheetData>
  <mergeCells count="214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5:A22"/>
    <mergeCell ref="C15:D15"/>
    <mergeCell ref="R15:R22"/>
    <mergeCell ref="AA15:AB15"/>
    <mergeCell ref="AG15:AG22"/>
    <mergeCell ref="C10:D10"/>
    <mergeCell ref="AA10:AB10"/>
    <mergeCell ref="C11:D11"/>
    <mergeCell ref="AA11:AB11"/>
    <mergeCell ref="A12:A14"/>
    <mergeCell ref="C12:D12"/>
    <mergeCell ref="R12:R14"/>
    <mergeCell ref="AA12:AB12"/>
    <mergeCell ref="A5:A1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AA14:AB14"/>
    <mergeCell ref="AG23:AG30"/>
    <mergeCell ref="C24:D24"/>
    <mergeCell ref="AA24:AB24"/>
    <mergeCell ref="C25:D25"/>
    <mergeCell ref="AA25:AB25"/>
    <mergeCell ref="C26:D26"/>
    <mergeCell ref="C19:D19"/>
    <mergeCell ref="AA19:AB19"/>
    <mergeCell ref="C20:D20"/>
    <mergeCell ref="AA20:AB20"/>
    <mergeCell ref="AA21:AB21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23:A30"/>
    <mergeCell ref="C23:D23"/>
    <mergeCell ref="R23:R30"/>
    <mergeCell ref="AA23:AB23"/>
    <mergeCell ref="C30:D30"/>
    <mergeCell ref="AA30:AB30"/>
    <mergeCell ref="A31:A37"/>
    <mergeCell ref="C31:D31"/>
    <mergeCell ref="R31:R37"/>
    <mergeCell ref="AA31:AB31"/>
    <mergeCell ref="AA36:AB36"/>
    <mergeCell ref="C37:D37"/>
    <mergeCell ref="AA37:AB37"/>
    <mergeCell ref="AG38:AG46"/>
    <mergeCell ref="C39:D39"/>
    <mergeCell ref="AA39:AB39"/>
    <mergeCell ref="C40:D40"/>
    <mergeCell ref="AA40:AB40"/>
    <mergeCell ref="C41:D41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1:AB41"/>
    <mergeCell ref="C42:D42"/>
    <mergeCell ref="AA42:AB42"/>
    <mergeCell ref="C43:D43"/>
    <mergeCell ref="AA43:AB43"/>
    <mergeCell ref="C44:D44"/>
    <mergeCell ref="AA44:AB44"/>
    <mergeCell ref="A38:A46"/>
    <mergeCell ref="C38:D38"/>
    <mergeCell ref="R38:R46"/>
    <mergeCell ref="AA38:AB38"/>
    <mergeCell ref="C45:D45"/>
    <mergeCell ref="AA45:AB45"/>
    <mergeCell ref="C46:D46"/>
    <mergeCell ref="AA46:AB46"/>
    <mergeCell ref="A47:A57"/>
    <mergeCell ref="C47:D47"/>
    <mergeCell ref="R47:R57"/>
    <mergeCell ref="AA47:AB47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AG47:AG57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C52:D52"/>
    <mergeCell ref="C57:D57"/>
    <mergeCell ref="AA57:AB57"/>
    <mergeCell ref="A58:A68"/>
    <mergeCell ref="C58:D58"/>
    <mergeCell ref="R58:R68"/>
    <mergeCell ref="AA58:AB58"/>
    <mergeCell ref="AA64:AB64"/>
    <mergeCell ref="C65:D65"/>
    <mergeCell ref="AA65:AB65"/>
    <mergeCell ref="C66:D66"/>
    <mergeCell ref="AG58:AG68"/>
    <mergeCell ref="C59:D59"/>
    <mergeCell ref="AA59:AB59"/>
    <mergeCell ref="C60:D60"/>
    <mergeCell ref="AA60:AB60"/>
    <mergeCell ref="AA61:AB61"/>
    <mergeCell ref="AA62:AB62"/>
    <mergeCell ref="C63:D63"/>
    <mergeCell ref="AA63:AB63"/>
    <mergeCell ref="C64:D64"/>
    <mergeCell ref="AA66:AB66"/>
    <mergeCell ref="C67:D67"/>
    <mergeCell ref="AA67:AB67"/>
    <mergeCell ref="C68:D68"/>
    <mergeCell ref="AA68:AB68"/>
    <mergeCell ref="A69:A74"/>
    <mergeCell ref="C69:D69"/>
    <mergeCell ref="R69:R74"/>
    <mergeCell ref="AA69:AB69"/>
    <mergeCell ref="AA74:AB74"/>
    <mergeCell ref="AG75:AG81"/>
    <mergeCell ref="C76:D76"/>
    <mergeCell ref="AA76:AB76"/>
    <mergeCell ref="C77:D77"/>
    <mergeCell ref="AA77:AB77"/>
    <mergeCell ref="C78:D78"/>
    <mergeCell ref="AG69:AG74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  <mergeCell ref="AA78:AB78"/>
    <mergeCell ref="C79:D79"/>
    <mergeCell ref="AA79:AB79"/>
    <mergeCell ref="C80:D80"/>
    <mergeCell ref="AA80:AB80"/>
    <mergeCell ref="C81:D81"/>
    <mergeCell ref="AA81:AB81"/>
    <mergeCell ref="A75:A81"/>
    <mergeCell ref="C75:D75"/>
    <mergeCell ref="R75:R81"/>
    <mergeCell ref="AA75:AB75"/>
  </mergeCells>
  <phoneticPr fontId="3" type="noConversion"/>
  <conditionalFormatting sqref="O68:O69 O72:O81 O5:O12 O14:O16 O57:O63 O22:O52">
    <cfRule type="cellIs" dxfId="2236" priority="82" operator="greaterThan">
      <formula>0</formula>
    </cfRule>
  </conditionalFormatting>
  <conditionalFormatting sqref="P5:P10 P72:P73 AE72:AE73 P75:P80 P31:P36 P69 P12 P14:P16 P23:P29 P58:P63 P38:P52 AE5:AE69 AE75:AE81">
    <cfRule type="cellIs" dxfId="2235" priority="86" operator="lessThan">
      <formula>0</formula>
    </cfRule>
  </conditionalFormatting>
  <conditionalFormatting sqref="AF72:AF73 Q68:Q69 Q72:Q81 Q5:Q12 Q14:Q16 Q57:Q63 Q22:Q52 AF5:AF69 AF75:AF81">
    <cfRule type="cellIs" dxfId="2234" priority="83" operator="greaterThan">
      <formula>1</formula>
    </cfRule>
    <cfRule type="cellIs" dxfId="2233" priority="84" operator="lessThan">
      <formula>0.8</formula>
    </cfRule>
  </conditionalFormatting>
  <conditionalFormatting sqref="AG15:AG16 R15:R16 AG72 R22:R28 AG22:AG28 AG68:AG69 R68:R69 R72:R81 AG5:AG12 R5:R12 R30:R52 AG30:AG52 AG57:AG63 R57:R63">
    <cfRule type="cellIs" dxfId="2232" priority="88" operator="lessThan">
      <formula>0.8</formula>
    </cfRule>
  </conditionalFormatting>
  <conditionalFormatting sqref="AG47">
    <cfRule type="cellIs" dxfId="2231" priority="90" operator="lessThan">
      <formula>0.8</formula>
    </cfRule>
  </conditionalFormatting>
  <conditionalFormatting sqref="AG23:AG28">
    <cfRule type="cellIs" dxfId="2230" priority="87" operator="lessThan">
      <formula>0.8</formula>
    </cfRule>
  </conditionalFormatting>
  <conditionalFormatting sqref="AG31">
    <cfRule type="cellIs" dxfId="2229" priority="89" operator="lessThan">
      <formula>0.8</formula>
    </cfRule>
  </conditionalFormatting>
  <conditionalFormatting sqref="AG38:AG45">
    <cfRule type="cellIs" dxfId="2228" priority="85" operator="lessThan">
      <formula>0.8</formula>
    </cfRule>
  </conditionalFormatting>
  <conditionalFormatting sqref="AE74">
    <cfRule type="cellIs" dxfId="2227" priority="81" operator="lessThan">
      <formula>0</formula>
    </cfRule>
  </conditionalFormatting>
  <conditionalFormatting sqref="AF74">
    <cfRule type="cellIs" dxfId="2226" priority="79" operator="greaterThan">
      <formula>1</formula>
    </cfRule>
    <cfRule type="cellIs" dxfId="2225" priority="80" operator="lessThan">
      <formula>0.8</formula>
    </cfRule>
  </conditionalFormatting>
  <conditionalFormatting sqref="O17:O18">
    <cfRule type="cellIs" dxfId="2224" priority="74" operator="greaterThan">
      <formula>0</formula>
    </cfRule>
  </conditionalFormatting>
  <conditionalFormatting sqref="P17:P18">
    <cfRule type="cellIs" dxfId="2223" priority="77" operator="lessThan">
      <formula>0</formula>
    </cfRule>
  </conditionalFormatting>
  <conditionalFormatting sqref="Q17:Q18">
    <cfRule type="cellIs" dxfId="2222" priority="75" operator="greaterThan">
      <formula>1</formula>
    </cfRule>
    <cfRule type="cellIs" dxfId="2221" priority="76" operator="lessThan">
      <formula>0.8</formula>
    </cfRule>
  </conditionalFormatting>
  <conditionalFormatting sqref="R17:R18 AG17:AG18">
    <cfRule type="cellIs" dxfId="2220" priority="78" operator="lessThan">
      <formula>0.8</formula>
    </cfRule>
  </conditionalFormatting>
  <conditionalFormatting sqref="O13">
    <cfRule type="cellIs" dxfId="2219" priority="70" operator="greaterThan">
      <formula>0</formula>
    </cfRule>
  </conditionalFormatting>
  <conditionalFormatting sqref="P13">
    <cfRule type="cellIs" dxfId="2218" priority="73" operator="lessThan">
      <formula>0</formula>
    </cfRule>
  </conditionalFormatting>
  <conditionalFormatting sqref="Q13">
    <cfRule type="cellIs" dxfId="2217" priority="71" operator="greaterThan">
      <formula>1</formula>
    </cfRule>
    <cfRule type="cellIs" dxfId="2216" priority="72" operator="lessThan">
      <formula>0.8</formula>
    </cfRule>
  </conditionalFormatting>
  <conditionalFormatting sqref="O64">
    <cfRule type="cellIs" dxfId="2215" priority="65" operator="greaterThan">
      <formula>0</formula>
    </cfRule>
  </conditionalFormatting>
  <conditionalFormatting sqref="P64">
    <cfRule type="cellIs" dxfId="2214" priority="68" operator="lessThan">
      <formula>0</formula>
    </cfRule>
  </conditionalFormatting>
  <conditionalFormatting sqref="Q64">
    <cfRule type="cellIs" dxfId="2213" priority="66" operator="greaterThan">
      <formula>1</formula>
    </cfRule>
    <cfRule type="cellIs" dxfId="2212" priority="67" operator="lessThan">
      <formula>0.8</formula>
    </cfRule>
  </conditionalFormatting>
  <conditionalFormatting sqref="R64 AG64">
    <cfRule type="cellIs" dxfId="2211" priority="69" operator="lessThan">
      <formula>0.8</formula>
    </cfRule>
  </conditionalFormatting>
  <conditionalFormatting sqref="O71">
    <cfRule type="cellIs" dxfId="2210" priority="60" operator="greaterThan">
      <formula>0</formula>
    </cfRule>
  </conditionalFormatting>
  <conditionalFormatting sqref="P71 AE71">
    <cfRule type="cellIs" dxfId="2209" priority="63" operator="lessThan">
      <formula>0</formula>
    </cfRule>
  </conditionalFormatting>
  <conditionalFormatting sqref="Q71 AF71">
    <cfRule type="cellIs" dxfId="2208" priority="61" operator="greaterThan">
      <formula>1</formula>
    </cfRule>
    <cfRule type="cellIs" dxfId="2207" priority="62" operator="lessThan">
      <formula>0.8</formula>
    </cfRule>
  </conditionalFormatting>
  <conditionalFormatting sqref="R71 AG71">
    <cfRule type="cellIs" dxfId="2206" priority="64" operator="lessThan">
      <formula>0.8</formula>
    </cfRule>
  </conditionalFormatting>
  <conditionalFormatting sqref="O19:O20">
    <cfRule type="cellIs" dxfId="2205" priority="55" operator="greaterThan">
      <formula>0</formula>
    </cfRule>
  </conditionalFormatting>
  <conditionalFormatting sqref="P19:P20">
    <cfRule type="cellIs" dxfId="2204" priority="58" operator="lessThan">
      <formula>0</formula>
    </cfRule>
  </conditionalFormatting>
  <conditionalFormatting sqref="Q19:Q20">
    <cfRule type="cellIs" dxfId="2203" priority="56" operator="greaterThan">
      <formula>1</formula>
    </cfRule>
    <cfRule type="cellIs" dxfId="2202" priority="57" operator="lessThan">
      <formula>0.8</formula>
    </cfRule>
  </conditionalFormatting>
  <conditionalFormatting sqref="R19:R20 AG19:AG20">
    <cfRule type="cellIs" dxfId="2201" priority="59" operator="lessThan">
      <formula>0.8</formula>
    </cfRule>
  </conditionalFormatting>
  <conditionalFormatting sqref="O53">
    <cfRule type="cellIs" dxfId="2200" priority="49" operator="greaterThan">
      <formula>0</formula>
    </cfRule>
  </conditionalFormatting>
  <conditionalFormatting sqref="P53">
    <cfRule type="cellIs" dxfId="2199" priority="53" operator="lessThan">
      <formula>0</formula>
    </cfRule>
  </conditionalFormatting>
  <conditionalFormatting sqref="Q53">
    <cfRule type="cellIs" dxfId="2198" priority="50" operator="greaterThan">
      <formula>1</formula>
    </cfRule>
    <cfRule type="cellIs" dxfId="2197" priority="51" operator="lessThan">
      <formula>0.8</formula>
    </cfRule>
  </conditionalFormatting>
  <conditionalFormatting sqref="R53 AG53">
    <cfRule type="cellIs" dxfId="2196" priority="54" operator="lessThan">
      <formula>0.8</formula>
    </cfRule>
  </conditionalFormatting>
  <conditionalFormatting sqref="AG53">
    <cfRule type="cellIs" dxfId="2195" priority="52" operator="lessThan">
      <formula>0.8</formula>
    </cfRule>
  </conditionalFormatting>
  <conditionalFormatting sqref="O54">
    <cfRule type="cellIs" dxfId="2194" priority="43" operator="greaterThan">
      <formula>0</formula>
    </cfRule>
  </conditionalFormatting>
  <conditionalFormatting sqref="P54">
    <cfRule type="cellIs" dxfId="2193" priority="47" operator="lessThan">
      <formula>0</formula>
    </cfRule>
  </conditionalFormatting>
  <conditionalFormatting sqref="Q54">
    <cfRule type="cellIs" dxfId="2192" priority="44" operator="greaterThan">
      <formula>1</formula>
    </cfRule>
    <cfRule type="cellIs" dxfId="2191" priority="45" operator="lessThan">
      <formula>0.8</formula>
    </cfRule>
  </conditionalFormatting>
  <conditionalFormatting sqref="R54 AG54">
    <cfRule type="cellIs" dxfId="2190" priority="48" operator="lessThan">
      <formula>0.8</formula>
    </cfRule>
  </conditionalFormatting>
  <conditionalFormatting sqref="AG54">
    <cfRule type="cellIs" dxfId="2189" priority="46" operator="lessThan">
      <formula>0.8</formula>
    </cfRule>
  </conditionalFormatting>
  <conditionalFormatting sqref="O65">
    <cfRule type="cellIs" dxfId="2188" priority="38" operator="greaterThan">
      <formula>0</formula>
    </cfRule>
  </conditionalFormatting>
  <conditionalFormatting sqref="P65">
    <cfRule type="cellIs" dxfId="2187" priority="41" operator="lessThan">
      <formula>0</formula>
    </cfRule>
  </conditionalFormatting>
  <conditionalFormatting sqref="Q65">
    <cfRule type="cellIs" dxfId="2186" priority="39" operator="greaterThan">
      <formula>1</formula>
    </cfRule>
    <cfRule type="cellIs" dxfId="2185" priority="40" operator="lessThan">
      <formula>0.8</formula>
    </cfRule>
  </conditionalFormatting>
  <conditionalFormatting sqref="AG65 R65">
    <cfRule type="cellIs" dxfId="2184" priority="42" operator="lessThan">
      <formula>0.8</formula>
    </cfRule>
  </conditionalFormatting>
  <conditionalFormatting sqref="R29 AG29">
    <cfRule type="cellIs" dxfId="2183" priority="37" operator="lessThan">
      <formula>0.8</formula>
    </cfRule>
  </conditionalFormatting>
  <conditionalFormatting sqref="AG29">
    <cfRule type="cellIs" dxfId="2182" priority="36" operator="lessThan">
      <formula>0.8</formula>
    </cfRule>
  </conditionalFormatting>
  <conditionalFormatting sqref="O55">
    <cfRule type="cellIs" dxfId="2181" priority="30" operator="greaterThan">
      <formula>0</formula>
    </cfRule>
  </conditionalFormatting>
  <conditionalFormatting sqref="P55">
    <cfRule type="cellIs" dxfId="2180" priority="34" operator="lessThan">
      <formula>0</formula>
    </cfRule>
  </conditionalFormatting>
  <conditionalFormatting sqref="Q55">
    <cfRule type="cellIs" dxfId="2179" priority="31" operator="greaterThan">
      <formula>1</formula>
    </cfRule>
    <cfRule type="cellIs" dxfId="2178" priority="32" operator="lessThan">
      <formula>0.8</formula>
    </cfRule>
  </conditionalFormatting>
  <conditionalFormatting sqref="R55 AG55">
    <cfRule type="cellIs" dxfId="2177" priority="35" operator="lessThan">
      <formula>0.8</formula>
    </cfRule>
  </conditionalFormatting>
  <conditionalFormatting sqref="AG55">
    <cfRule type="cellIs" dxfId="2176" priority="33" operator="lessThan">
      <formula>0.8</formula>
    </cfRule>
  </conditionalFormatting>
  <conditionalFormatting sqref="O56">
    <cfRule type="cellIs" dxfId="2175" priority="24" operator="greaterThan">
      <formula>0</formula>
    </cfRule>
  </conditionalFormatting>
  <conditionalFormatting sqref="P56">
    <cfRule type="cellIs" dxfId="2174" priority="28" operator="lessThan">
      <formula>0</formula>
    </cfRule>
  </conditionalFormatting>
  <conditionalFormatting sqref="Q56">
    <cfRule type="cellIs" dxfId="2173" priority="25" operator="greaterThan">
      <formula>1</formula>
    </cfRule>
    <cfRule type="cellIs" dxfId="2172" priority="26" operator="lessThan">
      <formula>0.8</formula>
    </cfRule>
  </conditionalFormatting>
  <conditionalFormatting sqref="R56 AG56">
    <cfRule type="cellIs" dxfId="2171" priority="29" operator="lessThan">
      <formula>0.8</formula>
    </cfRule>
  </conditionalFormatting>
  <conditionalFormatting sqref="AG56">
    <cfRule type="cellIs" dxfId="2170" priority="27" operator="lessThan">
      <formula>0.8</formula>
    </cfRule>
  </conditionalFormatting>
  <conditionalFormatting sqref="O70">
    <cfRule type="cellIs" dxfId="2169" priority="19" operator="greaterThan">
      <formula>0</formula>
    </cfRule>
  </conditionalFormatting>
  <conditionalFormatting sqref="P70 AE70">
    <cfRule type="cellIs" dxfId="2168" priority="22" operator="lessThan">
      <formula>0</formula>
    </cfRule>
  </conditionalFormatting>
  <conditionalFormatting sqref="Q70 AF70">
    <cfRule type="cellIs" dxfId="2167" priority="20" operator="greaterThan">
      <formula>1</formula>
    </cfRule>
    <cfRule type="cellIs" dxfId="2166" priority="21" operator="lessThan">
      <formula>0.8</formula>
    </cfRule>
  </conditionalFormatting>
  <conditionalFormatting sqref="R70 AG70">
    <cfRule type="cellIs" dxfId="2165" priority="23" operator="lessThan">
      <formula>0.8</formula>
    </cfRule>
  </conditionalFormatting>
  <conditionalFormatting sqref="O21">
    <cfRule type="cellIs" dxfId="2164" priority="14" operator="greaterThan">
      <formula>0</formula>
    </cfRule>
  </conditionalFormatting>
  <conditionalFormatting sqref="P21">
    <cfRule type="cellIs" dxfId="2163" priority="17" operator="lessThan">
      <formula>0</formula>
    </cfRule>
  </conditionalFormatting>
  <conditionalFormatting sqref="Q21">
    <cfRule type="cellIs" dxfId="2162" priority="15" operator="greaterThan">
      <formula>1</formula>
    </cfRule>
    <cfRule type="cellIs" dxfId="2161" priority="16" operator="lessThan">
      <formula>0.8</formula>
    </cfRule>
  </conditionalFormatting>
  <conditionalFormatting sqref="AG21 R21">
    <cfRule type="cellIs" dxfId="2160" priority="18" operator="lessThan">
      <formula>0.8</formula>
    </cfRule>
  </conditionalFormatting>
  <conditionalFormatting sqref="P11">
    <cfRule type="cellIs" dxfId="2159" priority="13" operator="lessThan">
      <formula>0</formula>
    </cfRule>
  </conditionalFormatting>
  <conditionalFormatting sqref="P22">
    <cfRule type="cellIs" dxfId="2158" priority="12" operator="lessThan">
      <formula>0</formula>
    </cfRule>
  </conditionalFormatting>
  <conditionalFormatting sqref="P30">
    <cfRule type="cellIs" dxfId="2157" priority="11" operator="lessThan">
      <formula>0</formula>
    </cfRule>
  </conditionalFormatting>
  <conditionalFormatting sqref="P37">
    <cfRule type="cellIs" dxfId="2156" priority="10" operator="lessThan">
      <formula>0</formula>
    </cfRule>
  </conditionalFormatting>
  <conditionalFormatting sqref="P57">
    <cfRule type="cellIs" dxfId="2155" priority="9" operator="lessThan">
      <formula>0</formula>
    </cfRule>
  </conditionalFormatting>
  <conditionalFormatting sqref="P68">
    <cfRule type="cellIs" dxfId="2154" priority="8" operator="lessThan">
      <formula>0</formula>
    </cfRule>
  </conditionalFormatting>
  <conditionalFormatting sqref="P74">
    <cfRule type="cellIs" dxfId="2153" priority="7" operator="lessThan">
      <formula>0</formula>
    </cfRule>
  </conditionalFormatting>
  <conditionalFormatting sqref="P81">
    <cfRule type="cellIs" dxfId="2152" priority="6" operator="lessThan">
      <formula>0</formula>
    </cfRule>
  </conditionalFormatting>
  <conditionalFormatting sqref="O66:O67">
    <cfRule type="cellIs" dxfId="2151" priority="1" operator="greaterThan">
      <formula>0</formula>
    </cfRule>
  </conditionalFormatting>
  <conditionalFormatting sqref="P66:P67">
    <cfRule type="cellIs" dxfId="2150" priority="4" operator="lessThan">
      <formula>0</formula>
    </cfRule>
  </conditionalFormatting>
  <conditionalFormatting sqref="Q66:Q67">
    <cfRule type="cellIs" dxfId="2149" priority="2" operator="greaterThan">
      <formula>1</formula>
    </cfRule>
    <cfRule type="cellIs" dxfId="2148" priority="3" operator="lessThan">
      <formula>0.8</formula>
    </cfRule>
  </conditionalFormatting>
  <conditionalFormatting sqref="AG66:AG67 R66:R67">
    <cfRule type="cellIs" dxfId="2147" priority="5" operator="lessThan">
      <formula>0.8</formula>
    </cfRule>
  </conditionalFormatting>
  <dataValidations count="1">
    <dataValidation type="list" allowBlank="1" showInputMessage="1" showErrorMessage="1" sqref="AA5:AB9 AB10:AB11 AB73 AA10:AA73 AB13:AB69 AA74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6" zoomScale="85" zoomScaleNormal="85" workbookViewId="0">
      <selection activeCell="E19" sqref="E19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2217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2218</v>
      </c>
      <c r="C3" s="478" t="str">
        <f>TEXT('0126 4度C'!A2,"yyyy.mm.ddaaaa")</f>
        <v>2026.01.26星期一</v>
      </c>
      <c r="D3" s="479"/>
      <c r="E3" s="56" t="s">
        <v>2219</v>
      </c>
      <c r="F3" s="480">
        <f>'0126 4度C'!D1</f>
        <v>166083</v>
      </c>
      <c r="G3" s="481"/>
      <c r="H3" s="56" t="s">
        <v>2220</v>
      </c>
      <c r="I3" s="482">
        <f>'0126 4度C'!F1</f>
        <v>5701199.8900000006</v>
      </c>
      <c r="J3" s="483"/>
      <c r="K3" s="57"/>
      <c r="L3" s="58"/>
      <c r="M3" s="59"/>
      <c r="N3" s="59"/>
    </row>
    <row r="4" spans="2:17" ht="28.5" customHeight="1">
      <c r="B4" s="484" t="s">
        <v>2221</v>
      </c>
      <c r="C4" s="470" t="s">
        <v>2222</v>
      </c>
      <c r="D4" s="471"/>
      <c r="E4" s="487" t="s">
        <v>2223</v>
      </c>
      <c r="F4" s="488"/>
      <c r="G4" s="487" t="s">
        <v>2224</v>
      </c>
      <c r="H4" s="488"/>
      <c r="I4" s="487" t="s">
        <v>2225</v>
      </c>
      <c r="J4" s="488"/>
      <c r="K4" s="468" t="s">
        <v>2226</v>
      </c>
      <c r="L4" s="469"/>
      <c r="M4" s="469" t="s">
        <v>2227</v>
      </c>
      <c r="N4" s="469"/>
    </row>
    <row r="5" spans="2:17" ht="28.5" customHeight="1">
      <c r="B5" s="485"/>
      <c r="C5" s="470" t="s">
        <v>2228</v>
      </c>
      <c r="D5" s="471"/>
      <c r="E5" s="470" t="s">
        <v>2229</v>
      </c>
      <c r="F5" s="471"/>
      <c r="G5" s="472" t="s">
        <v>2230</v>
      </c>
      <c r="H5" s="473"/>
      <c r="I5" s="474" t="s">
        <v>2231</v>
      </c>
      <c r="J5" s="475"/>
      <c r="K5" s="60" t="s">
        <v>2232</v>
      </c>
      <c r="L5" s="61" t="s">
        <v>2233</v>
      </c>
      <c r="M5" s="60" t="s">
        <v>2232</v>
      </c>
      <c r="N5" s="61" t="s">
        <v>2234</v>
      </c>
    </row>
    <row r="6" spans="2:17" ht="28.5" customHeight="1">
      <c r="B6" s="485"/>
      <c r="C6" s="470" t="s">
        <v>144</v>
      </c>
      <c r="D6" s="471"/>
      <c r="E6" s="462">
        <f>AVERAGE(D13:M13)</f>
        <v>143.65961158892944</v>
      </c>
      <c r="F6" s="463">
        <f>AVERAGE(D31:O31,D13:J13)</f>
        <v>145.69460044754217</v>
      </c>
      <c r="G6" s="464">
        <f>AVERAGE(D13:J13)</f>
        <v>145.69460044754217</v>
      </c>
      <c r="H6" s="465"/>
      <c r="I6" s="464">
        <f>AVERAGE(K13:M13)</f>
        <v>138.91130425216645</v>
      </c>
      <c r="J6" s="465"/>
      <c r="K6" s="466">
        <f>'0126 4度C'!Y2</f>
        <v>0</v>
      </c>
      <c r="L6" s="451">
        <f>'0126 4度C'!Z2</f>
        <v>0</v>
      </c>
      <c r="M6" s="467">
        <f>'0126 4度C'!AC2</f>
        <v>40</v>
      </c>
      <c r="N6" s="451">
        <f>'0126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137.48688715280028</v>
      </c>
      <c r="F7" s="455">
        <f>AVERAGE(D32:O32,D14:J14)</f>
        <v>139.51185228865501</v>
      </c>
      <c r="G7" s="456">
        <f>AVERAGE(D14:J14)</f>
        <v>139.51185228865501</v>
      </c>
      <c r="H7" s="457"/>
      <c r="I7" s="456">
        <f>AVERAGE(K14:M14)</f>
        <v>132.76196850247246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0.95653715529571204</v>
      </c>
      <c r="F8" s="459">
        <f>AVERAGE(D15:J15,D33:O33)</f>
        <v>0.95685350720699103</v>
      </c>
      <c r="G8" s="460">
        <f>AVERAGE(D15:J15)</f>
        <v>0.95685350720699103</v>
      </c>
      <c r="H8" s="461"/>
      <c r="I8" s="460">
        <f>AVERAGE(K15:M15)</f>
        <v>0.95579900083606117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625</v>
      </c>
      <c r="N9" s="59"/>
      <c r="O9" s="59"/>
      <c r="P9" s="59"/>
      <c r="Q9" s="59"/>
    </row>
    <row r="10" spans="2:17" ht="30" customHeight="1">
      <c r="B10" s="434" t="s">
        <v>2235</v>
      </c>
      <c r="C10" s="435"/>
      <c r="D10" s="436" t="s">
        <v>2236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2237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2238</v>
      </c>
      <c r="C13" s="72" t="s">
        <v>2239</v>
      </c>
      <c r="D13" s="73">
        <f>SUMIFS('0126 4度C'!$K:$K,'0126 4度C'!$A:$A,"新豐6線",'0126 4度C'!$B:$B,"平均")</f>
        <v>116.50485436893203</v>
      </c>
      <c r="E13" s="74">
        <f>SUMIFS('0126 4度C'!$K:$K,'0126 4度C'!$A:$A,"新豐2線",'0126 4度C'!$B:$B,"平均")</f>
        <v>83.333333333333329</v>
      </c>
      <c r="F13" s="75">
        <f>SUMIFS('0126 4度C'!$K:$K,'0126 4度C'!$A:$A,"新豐5線",'0126 4度C'!$B:$B,"平均")</f>
        <v>110.16949152542372</v>
      </c>
      <c r="G13" s="75">
        <f>SUMIFS('0126 4度C'!$K:$K,'0126 4度C'!$A:$A,"新豐7線",'0126 4度C'!$B:$B,"平均")</f>
        <v>119.04761904761905</v>
      </c>
      <c r="H13" s="75">
        <f>SUMIFS('0126 4度C'!$K:$K,'0126 4度C'!$A:$A,"新豐3線",'0126 4度C'!$B:$B,"平均")</f>
        <v>300</v>
      </c>
      <c r="I13" s="75">
        <f>SUMIFS('0126 4度C'!$K:$K,'0126 4度C'!$A:$A,"新豐1線",'0126 4度C'!$B:$B,"平均")</f>
        <v>102.12765957446808</v>
      </c>
      <c r="J13" s="76">
        <f>SUMIFS('0126 4度C'!$K:$K,'0126 4度C'!$A:$A,"新豐10線",'0126 4度C'!$B:$B,"平均")</f>
        <v>188.67924528301887</v>
      </c>
      <c r="K13" s="77">
        <f>SUMIFS('0126 4度C'!$K:$K,'0126 4度C'!$A:$A,"新豐8線",'0126 4度C'!$B:$B,"平均")</f>
        <v>132.11009174311926</v>
      </c>
      <c r="L13" s="78">
        <f>SUMIFS('0126 4度C'!$K:$K,'0126 4度C'!$A:$A,"新豐9線",'0126 4度C'!$B:$B,"平均")</f>
        <v>136.17021276595744</v>
      </c>
      <c r="M13" s="76">
        <f>SUMIFS('0126 4度C'!$K:$K,'0126 4度C'!$A:$A,"新豐4線",'0126 4度C'!$B:$B,"平均")</f>
        <v>148.45360824742266</v>
      </c>
    </row>
    <row r="14" spans="2:17" ht="39.6" customHeight="1">
      <c r="B14" s="447"/>
      <c r="C14" s="79" t="s">
        <v>348</v>
      </c>
      <c r="D14" s="80">
        <f>SUMIFS('0126 4度C'!$N:$N,'0126 4度C'!$A:$A,"新豐6線",'0126 4度C'!$B:$B,"平均")</f>
        <v>111.8514848638751</v>
      </c>
      <c r="E14" s="81">
        <f>SUMIFS('0126 4度C'!$N:$N,'0126 4度C'!$A:$A,"新豐2線",'0126 4度C'!$B:$B,"平均")</f>
        <v>79.578567538126364</v>
      </c>
      <c r="F14" s="81">
        <f>SUMIFS('0126 4度C'!$N:$N,'0126 4度C'!$A:$A,"新豐5線",'0126 4度C'!$B:$B,"平均")</f>
        <v>105.97150262704395</v>
      </c>
      <c r="G14" s="81">
        <f>SUMIFS('0126 4度C'!$N:$N,'0126 4度C'!$A:$A,"新豐7線",'0126 4度C'!$B:$B,"平均")</f>
        <v>114.68750206604317</v>
      </c>
      <c r="H14" s="81">
        <f>SUMIFS('0126 4度C'!$N:$N,'0126 4度C'!$A:$A,"新豐3線",'0126 4度C'!$B:$B,"平均")</f>
        <v>287.30372631005645</v>
      </c>
      <c r="I14" s="81">
        <f>SUMIFS('0126 4度C'!$N:$N,'0126 4度C'!$A:$A,"新豐1線",'0126 4度C'!$B:$B,"平均")</f>
        <v>95.936751978051063</v>
      </c>
      <c r="J14" s="82">
        <f>SUMIFS('0126 4度C'!$N:$N,'0126 4度C'!$A:$A,"新豐10線",'0126 4度C'!$B:$B,"平均")</f>
        <v>181.25343063738899</v>
      </c>
      <c r="K14" s="83">
        <f>SUMIFS('0126 4度C'!$N:$N,'0126 4度C'!$A:$A,"新豐8線",'0126 4度C'!$B:$B,"平均")</f>
        <v>126.28699236168018</v>
      </c>
      <c r="L14" s="84">
        <f>SUMIFS('0126 4度C'!$N:$N,'0126 4度C'!$A:$A,"新豐9線",'0126 4度C'!$B:$B,"平均")</f>
        <v>130.43886783522174</v>
      </c>
      <c r="M14" s="82">
        <f>SUMIFS('0126 4度C'!$N:$N,'0126 4度C'!$A:$A,"新豐4線",'0126 4度C'!$B:$B,"平均")</f>
        <v>141.56004531051548</v>
      </c>
    </row>
    <row r="15" spans="2:17" ht="40.15" customHeight="1">
      <c r="B15" s="448"/>
      <c r="C15" s="85" t="s">
        <v>349</v>
      </c>
      <c r="D15" s="86">
        <f t="shared" ref="D15:M15" si="0">D14/D13</f>
        <v>0.96005857841492803</v>
      </c>
      <c r="E15" s="87">
        <f t="shared" si="0"/>
        <v>0.95494281045751639</v>
      </c>
      <c r="F15" s="87">
        <f t="shared" si="0"/>
        <v>0.96189517769162969</v>
      </c>
      <c r="G15" s="87">
        <f t="shared" si="0"/>
        <v>0.96337501735476261</v>
      </c>
      <c r="H15" s="87">
        <f t="shared" si="0"/>
        <v>0.95767908770018817</v>
      </c>
      <c r="I15" s="87">
        <f t="shared" si="0"/>
        <v>0.93938069645175004</v>
      </c>
      <c r="J15" s="88">
        <f t="shared" si="0"/>
        <v>0.9606431823781616</v>
      </c>
      <c r="K15" s="86">
        <f t="shared" si="0"/>
        <v>0.95592237273771807</v>
      </c>
      <c r="L15" s="87">
        <f t="shared" si="0"/>
        <v>0.95791043566490974</v>
      </c>
      <c r="M15" s="88">
        <f t="shared" si="0"/>
        <v>0.95356419410555571</v>
      </c>
    </row>
    <row r="16" spans="2:17" ht="17.25" customHeight="1">
      <c r="B16" s="449" t="s">
        <v>2240</v>
      </c>
      <c r="C16" s="89" t="s">
        <v>2241</v>
      </c>
      <c r="D16" s="90">
        <f>VLOOKUP("新豐6線",'0126 4度C'!$A:$T,19,0)</f>
        <v>0.70833333333333337</v>
      </c>
      <c r="E16" s="91">
        <f>VLOOKUP("新豐2線",'0126 4度C'!$A:$T,19,0)</f>
        <v>0.20833333333333334</v>
      </c>
      <c r="F16" s="91">
        <f>VLOOKUP("新豐5線",'0126 4度C'!$A:$T,19,0)</f>
        <v>0.20833333333333334</v>
      </c>
      <c r="G16" s="91">
        <f>VLOOKUP("新豐7線",'0126 4度C'!$A:$T,19,0)</f>
        <v>0.20833333333333334</v>
      </c>
      <c r="H16" s="91">
        <f>VLOOKUP("新豐3線",'0126 4度C'!$A:$T,19,0)</f>
        <v>8.3333333333333329E-2</v>
      </c>
      <c r="I16" s="91">
        <f>VLOOKUP("新豐1線",'0126 4度C'!$A:$T,19,0)</f>
        <v>0.20833333333333334</v>
      </c>
      <c r="J16" s="92">
        <f>VLOOKUP("新豐10線",'0126 4度C'!$A:$T,19,0)</f>
        <v>0.20833333333333334</v>
      </c>
      <c r="K16" s="93">
        <f>VLOOKUP("新豐8線",'0126 4度C'!$A:$T,19,0)</f>
        <v>8.3333333333333329E-2</v>
      </c>
      <c r="L16" s="94">
        <f>VLOOKUP("新豐9線",'0126 4度C'!$A:$T,19,0)</f>
        <v>8.3333333333333329E-2</v>
      </c>
      <c r="M16" s="95">
        <f>VLOOKUP("新豐4線",'0126 4度C'!$A:$T,19,0)</f>
        <v>8.3333333333333329E-2</v>
      </c>
    </row>
    <row r="17" spans="2:13" ht="17.25" customHeight="1">
      <c r="B17" s="450"/>
      <c r="C17" s="89" t="s">
        <v>2242</v>
      </c>
      <c r="D17" s="93">
        <f>LOOKUP(2,1/(('0126 4度C'!$A:$A="新豐6線")*('0126 4度C'!$T:$T&lt;&gt;"")),'0126 4度C'!$T:$T)</f>
        <v>0.91736111111111118</v>
      </c>
      <c r="E17" s="91">
        <f>LOOKUP(2,1/(('0126 4度C'!$A:$A="新豐2線")*('0126 4度C'!$T:$T&lt;&gt;"")),'0126 4度C'!$T:$T)</f>
        <v>0.46736111111111112</v>
      </c>
      <c r="F17" s="91">
        <f>LOOKUP(2,1/(('0126 4度C'!$A:$A="新豐5線")*('0126 4度C'!$T:$T&lt;&gt;"")),'0126 4度C'!$T:$T)</f>
        <v>0.91388888888888886</v>
      </c>
      <c r="G17" s="91">
        <f>LOOKUP(2,1/(('0126 4度C'!$A:$A="新豐7線")*('0126 4度C'!$T:$T&lt;&gt;"")),'0126 4度C'!$T:$T)</f>
        <v>0.92361111111111105</v>
      </c>
      <c r="H17" s="91">
        <f>LOOKUP(2,1/(('0126 4度C'!$A:$A="新豐3線")*('0126 4度C'!$T:$T&lt;&gt;"")),'0126 4度C'!$T:$T)</f>
        <v>0.57222222222222208</v>
      </c>
      <c r="I17" s="91">
        <f>LOOKUP(2,1/(('0126 4度C'!$A:$A="新豐1線")*('0126 4度C'!$T:$T&lt;&gt;"")),'0126 4度C'!$T:$T)</f>
        <v>0.91597222222222219</v>
      </c>
      <c r="J17" s="92">
        <f>LOOKUP(2,1/(('0126 4度C'!$A:$A="新豐10線")*('0126 4度C'!$T:$T&lt;&gt;"")),'0126 4度C'!$T:$T)</f>
        <v>0.48680555555555549</v>
      </c>
      <c r="K17" s="90">
        <f>LOOKUP(2,1/(('0126 4度C'!$A:$A="新豐8線")*('0126 4度C'!$T:$T&lt;&gt;"")),'0126 4度C'!$T:$T)</f>
        <v>0.59652777777777777</v>
      </c>
      <c r="L17" s="91">
        <f>LOOKUP(2,1/(('0126 4度C'!$A:$A="新豐9線")*('0126 4度C'!$T:$T&lt;&gt;"")),'0126 4度C'!$T:$T)</f>
        <v>0.63472222222222219</v>
      </c>
      <c r="M17" s="92">
        <f>LOOKUP(2,1/(('0126 4度C'!$A:$A="新豐4線")*('0126 4度C'!$T:$T&lt;&gt;"")),'0126 4度C'!$T:$T)</f>
        <v>0.57777777777777772</v>
      </c>
    </row>
    <row r="18" spans="2:13" ht="17.25" customHeight="1">
      <c r="B18" s="428" t="s">
        <v>2243</v>
      </c>
      <c r="C18" s="96" t="s">
        <v>2244</v>
      </c>
      <c r="D18" s="97">
        <f>SUMIFS('0126 4度C'!$Y:$Y,'0126 4度C'!$A:$A,"新豐6線",'0126 4度C'!$B:$B,"平均")</f>
        <v>0</v>
      </c>
      <c r="E18" s="98">
        <f>SUMIFS('0126 4度C'!$Y:$Y,'0126 4度C'!$A:$A,"新豐2線",'0126 4度C'!$B:$B,"平均")</f>
        <v>0</v>
      </c>
      <c r="F18" s="98">
        <f>SUMIFS('0126 4度C'!$Y:$Y,'0126 4度C'!$A:$A,"新豐5線",'0126 4度C'!$B:$B,"平均")</f>
        <v>0</v>
      </c>
      <c r="G18" s="98">
        <f>SUMIFS('0126 4度C'!$Y:$Y,'0126 4度C'!$A:$A,"新豐7線",'0126 4度C'!$B:$B,"平均")</f>
        <v>0</v>
      </c>
      <c r="H18" s="98">
        <f>SUMIFS('0126 4度C'!$Y:$Y,'0126 4度C'!$A:$A,"新豐3線",'0126 4度C'!$B:$B,"平均")</f>
        <v>0</v>
      </c>
      <c r="I18" s="98">
        <f>SUMIFS('0126 4度C'!$Y:$Y,'0126 4度C'!$A:$A,"新豐1線",'0126 4度C'!$B:$B,"平均")</f>
        <v>0</v>
      </c>
      <c r="J18" s="99">
        <f>SUMIFS('0126 4度C'!$Y:$Y,'0126 4度C'!$A:$A,"新豐10線",'0126 4度C'!$B:$B,"平均")</f>
        <v>0</v>
      </c>
      <c r="K18" s="100">
        <f>SUMIFS('0126 4度C'!$Y:$Y,'0126 4度C'!$A:$A,"新豐8線",'0126 4度C'!$B:$B,"平均")</f>
        <v>0</v>
      </c>
      <c r="L18" s="98">
        <f>SUMIFS('0126 4度C'!$Y:$Y,'0126 4度C'!$A:$A,"新豐9線",'0126 4度C'!$B:$B,"平均")</f>
        <v>0</v>
      </c>
      <c r="M18" s="99">
        <f>SUMIFS('0126 4度C'!$Y:$Y,'0126 4度C'!$A:$A,"新豐4線",'0126 4度C'!$B:$B,"平均")</f>
        <v>0</v>
      </c>
    </row>
    <row r="19" spans="2:13" ht="17.25" customHeight="1">
      <c r="B19" s="429"/>
      <c r="C19" s="96" t="s">
        <v>2245</v>
      </c>
      <c r="D19" s="97">
        <f>SUMIFS('0126 4度C'!$Z:$Z,'0126 4度C'!$A:$A,"新豐6線",'0126 4度C'!$B:$B,"平均")</f>
        <v>0</v>
      </c>
      <c r="E19" s="98">
        <f>SUMIFS('0126 4度C'!$Z:$Z,'0126 4度C'!$A:$A,"新豐2線",'0126 4度C'!$B:$B,"平均")</f>
        <v>0</v>
      </c>
      <c r="F19" s="98">
        <f>SUMIFS('0126 4度C'!$Z:$Z,'0126 4度C'!$A:$A,"新豐5線",'0126 4度C'!$B:$B,"平均")</f>
        <v>0</v>
      </c>
      <c r="G19" s="98">
        <f>SUMIFS('0126 4度C'!$Z:$Z,'0126 4度C'!$A:$A,"新豐7線",'0126 4度C'!$B:$B,"平均")</f>
        <v>0</v>
      </c>
      <c r="H19" s="98">
        <f>SUMIFS('0126 4度C'!$Z:$Z,'0126 4度C'!$A:$A,"新豐3線",'0126 4度C'!$B:$B,"平均")</f>
        <v>0</v>
      </c>
      <c r="I19" s="98">
        <f>SUMIFS('0126 4度C'!$Z:$Z,'0126 4度C'!$A:$A,"新豐1線",'0126 4度C'!$B:$B,"平均")</f>
        <v>0</v>
      </c>
      <c r="J19" s="99">
        <f>SUMIFS('0126 4度C'!$Z:$Z,'0126 4度C'!$A:$A,"新豐10線",'0126 4度C'!$B:$B,"平均")</f>
        <v>0</v>
      </c>
      <c r="K19" s="100">
        <f>SUMIFS('0126 4度C'!$Z:$Z,'0126 4度C'!$A:$A,"新豐8線",'0126 4度C'!$B:$B,"平均")</f>
        <v>0</v>
      </c>
      <c r="L19" s="98">
        <f>SUMIFS('0126 4度C'!$Z:$Z,'0126 4度C'!$A:$A,"新豐9線",'0126 4度C'!$B:$B,"平均")</f>
        <v>0</v>
      </c>
      <c r="M19" s="99">
        <f>SUMIFS('0126 4度C'!$Z:$Z,'0126 4度C'!$A:$A,"新豐4線",'0126 4度C'!$B:$B,"平均")</f>
        <v>0</v>
      </c>
    </row>
    <row r="20" spans="2:13" ht="17.25" customHeight="1">
      <c r="B20" s="428" t="s">
        <v>2246</v>
      </c>
      <c r="C20" s="96" t="s">
        <v>2244</v>
      </c>
      <c r="D20" s="97">
        <f>SUMIFS('0126 4度C'!$AC:$AC,'0126 4度C'!$A:$A,"新豐6線",'0126 4度C'!$B:$B,"平均")</f>
        <v>2</v>
      </c>
      <c r="E20" s="98">
        <f>SUMIFS('0126 4度C'!$AC:$AC,'0126 4度C'!$A:$A,"新豐2線",'0126 4度C'!$B:$B,"平均")</f>
        <v>2</v>
      </c>
      <c r="F20" s="98">
        <f>SUMIFS('0126 4度C'!$AC:$AC,'0126 4度C'!$A:$A,"新豐5線",'0126 4度C'!$B:$B,"平均")</f>
        <v>3</v>
      </c>
      <c r="G20" s="98">
        <f>SUMIFS('0126 4度C'!$AC:$AC,'0126 4度C'!$A:$A,"新豐7線",'0126 4度C'!$B:$B,"平均")</f>
        <v>3</v>
      </c>
      <c r="H20" s="98">
        <f>SUMIFS('0126 4度C'!$AC:$AC,'0126 4度C'!$A:$A,"新豐3線",'0126 4度C'!$B:$B,"平均")</f>
        <v>1</v>
      </c>
      <c r="I20" s="98">
        <f>SUMIFS('0126 4度C'!$AC:$AC,'0126 4度C'!$A:$A,"新豐1線",'0126 4度C'!$B:$B,"平均")</f>
        <v>5</v>
      </c>
      <c r="J20" s="99">
        <f>SUMIFS('0126 4度C'!$AC:$AC,'0126 4度C'!$A:$A,"新豐10線",'0126 4度C'!$B:$B,"平均")</f>
        <v>1</v>
      </c>
      <c r="K20" s="100">
        <f>SUMIFS('0126 4度C'!$AC:$AC,'0126 4度C'!$A:$A,"新豐8線",'0126 4度C'!$B:$B,"平均")</f>
        <v>8</v>
      </c>
      <c r="L20" s="98">
        <f>SUMIFS('0126 4度C'!$AC:$AC,'0126 4度C'!$A:$A,"新豐9線",'0126 4度C'!$B:$B,"平均")</f>
        <v>8</v>
      </c>
      <c r="M20" s="99">
        <f>SUMIFS('0126 4度C'!$AC:$AC,'0126 4度C'!$A:$A,"新豐4線",'0126 4度C'!$B:$B,"平均")</f>
        <v>7</v>
      </c>
    </row>
    <row r="21" spans="2:13" ht="17.25" customHeight="1">
      <c r="B21" s="429"/>
      <c r="C21" s="96" t="s">
        <v>2247</v>
      </c>
      <c r="D21" s="97">
        <f>SUMIFS('0126 4度C'!$AD:$AD,'0126 4度C'!$A:$A,"新豐6線",'0126 4度C'!$B:$B,"平均")</f>
        <v>0</v>
      </c>
      <c r="E21" s="98">
        <f>SUMIFS('0126 4度C'!$AD:$AD,'0126 4度C'!$A:$A,"新豐2線",'0126 4度C'!$B:$B,"平均")</f>
        <v>0</v>
      </c>
      <c r="F21" s="98">
        <f>SUMIFS('0126 4度C'!$AD:$AD,'0126 4度C'!$A:$A,"新豐5線",'0126 4度C'!$B:$B,"平均")</f>
        <v>0</v>
      </c>
      <c r="G21" s="98">
        <f>SUMIFS('0126 4度C'!$AD:$AD,'0126 4度C'!$A:$A,"新豐7線",'0126 4度C'!$B:$B,"平均")</f>
        <v>0</v>
      </c>
      <c r="H21" s="98">
        <f>SUMIFS('0126 4度C'!$AD:$AD,'0126 4度C'!$A:$A,"新豐3線",'0126 4度C'!$B:$B,"平均")</f>
        <v>0</v>
      </c>
      <c r="I21" s="98">
        <f>SUMIFS('0126 4度C'!$AD:$AD,'0126 4度C'!$A:$A,"新豐1線",'0126 4度C'!$B:$B,"平均")</f>
        <v>0</v>
      </c>
      <c r="J21" s="99">
        <f>SUMIFS('0126 4度C'!$AD:$AD,'0126 4度C'!$A:$A,"新豐10線",'0126 4度C'!$B:$B,"平均")</f>
        <v>0</v>
      </c>
      <c r="K21" s="100">
        <f>SUMIFS('0126 4度C'!$AD:$AD,'0126 4度C'!$A:$A,"新豐8線",'0126 4度C'!$B:$B,"平均")</f>
        <v>0</v>
      </c>
      <c r="L21" s="98">
        <f>SUMIFS('0126 4度C'!$AD:$AD,'0126 4度C'!$A:$A,"新豐9線",'0126 4度C'!$B:$B,"平均")</f>
        <v>0</v>
      </c>
      <c r="M21" s="99">
        <f>SUMIFS('0126 4度C'!$AD:$AD,'0126 4度C'!$A:$A,"新豐4線",'0126 4度C'!$B:$B,"平均")</f>
        <v>0</v>
      </c>
    </row>
    <row r="22" spans="2:13" ht="17.25" customHeight="1">
      <c r="B22" s="430" t="s">
        <v>2248</v>
      </c>
      <c r="C22" s="431"/>
      <c r="D22" s="101">
        <f>SUMIFS('0126 4度C'!$I:$I,'0126 4度C'!$A:$A,"新豐6線",'0126 4度C'!$B:$B,"平均")</f>
        <v>17.166666666666668</v>
      </c>
      <c r="E22" s="102">
        <f>SUMIFS('0126 4度C'!$I:$I,'0126 4度C'!$A:$A,"新豐2線",'0126 4度C'!$B:$B,"平均")</f>
        <v>18</v>
      </c>
      <c r="F22" s="102">
        <f>SUMIFS('0126 4度C'!$I:$I,'0126 4度C'!$A:$A,"新豐5線",'0126 4度C'!$B:$B,"平均")</f>
        <v>16.857142857142858</v>
      </c>
      <c r="G22" s="102">
        <f>SUMIFS('0126 4度C'!$I:$I,'0126 4度C'!$A:$A,"新豐7線",'0126 4度C'!$B:$B,"平均")</f>
        <v>15.75</v>
      </c>
      <c r="H22" s="102">
        <f>SUMIFS('0126 4度C'!$I:$I,'0126 4度C'!$A:$A,"新豐3線",'0126 4度C'!$B:$B,"平均")</f>
        <v>10</v>
      </c>
      <c r="I22" s="102">
        <f>SUMIFS('0126 4度C'!$I:$I,'0126 4度C'!$A:$A,"新豐1線",'0126 4度C'!$B:$B,"平均")</f>
        <v>18.8</v>
      </c>
      <c r="J22" s="103">
        <f>SUMIFS('0126 4度C'!$I:$I,'0126 4度C'!$A:$A,"新豐10線",'0126 4度C'!$B:$B,"平均")</f>
        <v>10.6</v>
      </c>
      <c r="K22" s="101">
        <f>SUMIFS('0126 4度C'!$I:$I,'0126 4度C'!$A:$A,"新豐8線",'0126 4度C'!$B:$B,"平均")</f>
        <v>18.166666666666668</v>
      </c>
      <c r="L22" s="102">
        <f>SUMIFS('0126 4度C'!$I:$I,'0126 4度C'!$A:$A,"新豐9線",'0126 4度C'!$B:$B,"平均")</f>
        <v>17.625</v>
      </c>
      <c r="M22" s="103">
        <f>SUMIFS('0126 4度C'!$I:$I,'0126 4度C'!$A:$A,"新豐4線",'0126 4度C'!$B:$B,"平均")</f>
        <v>16.166666666666668</v>
      </c>
    </row>
    <row r="23" spans="2:13" ht="17.25" customHeight="1">
      <c r="B23" s="430" t="s">
        <v>2249</v>
      </c>
      <c r="C23" s="431"/>
      <c r="D23" s="104" t="s">
        <v>157</v>
      </c>
      <c r="E23" s="105" t="s">
        <v>158</v>
      </c>
      <c r="F23" s="105" t="s">
        <v>2250</v>
      </c>
      <c r="G23" s="105" t="s">
        <v>2250</v>
      </c>
      <c r="H23" s="105" t="s">
        <v>159</v>
      </c>
      <c r="I23" s="105" t="s">
        <v>157</v>
      </c>
      <c r="J23" s="106" t="s">
        <v>159</v>
      </c>
      <c r="K23" s="104" t="s">
        <v>2251</v>
      </c>
      <c r="L23" s="105" t="s">
        <v>2251</v>
      </c>
      <c r="M23" s="106" t="s">
        <v>2251</v>
      </c>
    </row>
    <row r="24" spans="2:13" ht="17.25" customHeight="1">
      <c r="B24" s="430" t="s">
        <v>648</v>
      </c>
      <c r="C24" s="431"/>
      <c r="D24" s="104"/>
      <c r="E24" s="105"/>
      <c r="F24" s="105" t="s">
        <v>2252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2253</v>
      </c>
      <c r="C25" s="433"/>
      <c r="D25" s="107"/>
      <c r="E25" s="108" t="s">
        <v>365</v>
      </c>
      <c r="F25" s="426" t="s">
        <v>2254</v>
      </c>
      <c r="G25" s="427"/>
      <c r="H25" s="108" t="s">
        <v>2255</v>
      </c>
      <c r="I25" s="108" t="s">
        <v>2256</v>
      </c>
      <c r="J25" s="109" t="s">
        <v>2255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1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" activePane="bottomLeft" state="frozen"/>
      <selection activeCell="E19" sqref="E19"/>
      <selection pane="bottomLeft" activeCell="E19" sqref="E1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2257</v>
      </c>
      <c r="B1" s="1"/>
      <c r="C1" s="2" t="s">
        <v>2258</v>
      </c>
      <c r="D1" s="3">
        <f>SUM(F5:F80)</f>
        <v>166083</v>
      </c>
      <c r="E1" s="384" t="s">
        <v>2259</v>
      </c>
      <c r="F1" s="1">
        <f>SUM(G5:G80)</f>
        <v>5701199.8900000006</v>
      </c>
      <c r="G1" s="1" t="s">
        <v>2260</v>
      </c>
      <c r="H1" s="5">
        <f>L11+L14+L56+L67+L22+L73+L38+L47+L31+L80</f>
        <v>159.13214285714284</v>
      </c>
      <c r="I1" s="542" t="s">
        <v>2261</v>
      </c>
      <c r="J1" s="542"/>
      <c r="K1" s="542"/>
      <c r="L1" s="542" t="s">
        <v>2262</v>
      </c>
      <c r="M1" s="542"/>
      <c r="N1" s="542"/>
      <c r="O1" s="542" t="s">
        <v>2263</v>
      </c>
      <c r="P1" s="542"/>
      <c r="Q1" s="542"/>
      <c r="R1" s="542"/>
      <c r="S1" s="542" t="s">
        <v>2264</v>
      </c>
      <c r="T1" s="542"/>
      <c r="U1" s="542"/>
      <c r="V1" s="542"/>
      <c r="W1" s="542"/>
      <c r="X1" s="542"/>
      <c r="Y1" s="6" t="s">
        <v>2265</v>
      </c>
      <c r="Z1" s="7" t="s">
        <v>2266</v>
      </c>
      <c r="AA1" s="543" t="s">
        <v>2267</v>
      </c>
      <c r="AB1" s="543"/>
      <c r="AC1" s="8" t="s">
        <v>2265</v>
      </c>
      <c r="AD1" s="7" t="s">
        <v>2268</v>
      </c>
      <c r="AE1" s="542" t="s">
        <v>2269</v>
      </c>
      <c r="AF1" s="544"/>
      <c r="AG1" s="544"/>
    </row>
    <row r="2" spans="1:33" ht="26.25" customHeight="1">
      <c r="A2" s="49">
        <v>46048</v>
      </c>
      <c r="B2" s="50" t="s">
        <v>514</v>
      </c>
      <c r="C2" s="2" t="s">
        <v>2270</v>
      </c>
      <c r="D2" s="10">
        <f>AVERAGE(N11,N14,N56,N67,N22,N73,N31,N38,N47,N80)</f>
        <v>137.48688715280028</v>
      </c>
      <c r="E2" s="11" t="s">
        <v>14</v>
      </c>
      <c r="F2" s="12">
        <f>F1/D1</f>
        <v>34.327413943630596</v>
      </c>
      <c r="G2" s="1" t="s">
        <v>2271</v>
      </c>
      <c r="H2" s="396">
        <f>COUNT(H5:H80)</f>
        <v>10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SUM(Y11+Y14+Y22+Y31+Y38+Y47+Y56+Y67+Y73+Y80)</f>
        <v>0</v>
      </c>
      <c r="Z2" s="14">
        <f>SUM(Z11+Z14+Z22+Z31+Z38+Z47+Z56+Z67+Z73+Z80)</f>
        <v>0</v>
      </c>
      <c r="AA2" s="543"/>
      <c r="AB2" s="543"/>
      <c r="AC2" s="14">
        <f>SUM(AC11+AC14+AC22+AC31+AC38+AC47+AC56+AC67+AC73+AC80)</f>
        <v>40</v>
      </c>
      <c r="AD2" s="14">
        <f>SUM(AD11+AD14+AD22+AD31+AD38+AD47+AD56+AD67+AD73+AD80)</f>
        <v>0</v>
      </c>
      <c r="AE2" s="544"/>
      <c r="AF2" s="544"/>
      <c r="AG2" s="544"/>
    </row>
    <row r="3" spans="1:33" ht="40.5" customHeight="1">
      <c r="A3" s="491" t="s">
        <v>2272</v>
      </c>
      <c r="B3" s="491" t="s">
        <v>2273</v>
      </c>
      <c r="C3" s="491" t="s">
        <v>2274</v>
      </c>
      <c r="D3" s="491"/>
      <c r="E3" s="540" t="s">
        <v>2275</v>
      </c>
      <c r="F3" s="491" t="s">
        <v>2276</v>
      </c>
      <c r="G3" s="540" t="s">
        <v>2277</v>
      </c>
      <c r="H3" s="533" t="s">
        <v>2278</v>
      </c>
      <c r="I3" s="531" t="s">
        <v>2279</v>
      </c>
      <c r="J3" s="528" t="s">
        <v>2280</v>
      </c>
      <c r="K3" s="538" t="s">
        <v>2270</v>
      </c>
      <c r="L3" s="531" t="s">
        <v>2279</v>
      </c>
      <c r="M3" s="528" t="s">
        <v>2280</v>
      </c>
      <c r="N3" s="538" t="s">
        <v>2270</v>
      </c>
      <c r="O3" s="531" t="s">
        <v>2279</v>
      </c>
      <c r="P3" s="538" t="s">
        <v>2270</v>
      </c>
      <c r="Q3" s="529" t="s">
        <v>2281</v>
      </c>
      <c r="R3" s="507" t="s">
        <v>2282</v>
      </c>
      <c r="S3" s="491" t="s">
        <v>27</v>
      </c>
      <c r="T3" s="491"/>
      <c r="U3" s="533" t="s">
        <v>28</v>
      </c>
      <c r="V3" s="533" t="s">
        <v>2283</v>
      </c>
      <c r="W3" s="491" t="s">
        <v>2284</v>
      </c>
      <c r="X3" s="491"/>
      <c r="Y3" s="534" t="s">
        <v>2285</v>
      </c>
      <c r="Z3" s="495"/>
      <c r="AA3" s="535" t="s">
        <v>2286</v>
      </c>
      <c r="AB3" s="536"/>
      <c r="AC3" s="534" t="s">
        <v>2287</v>
      </c>
      <c r="AD3" s="495"/>
      <c r="AE3" s="528" t="s">
        <v>2288</v>
      </c>
      <c r="AF3" s="529" t="s">
        <v>2281</v>
      </c>
      <c r="AG3" s="507" t="s">
        <v>2282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84" t="s">
        <v>37</v>
      </c>
      <c r="T4" s="384" t="s">
        <v>38</v>
      </c>
      <c r="U4" s="533"/>
      <c r="V4" s="533"/>
      <c r="W4" s="384" t="s">
        <v>2289</v>
      </c>
      <c r="X4" s="384" t="s">
        <v>2290</v>
      </c>
      <c r="Y4" s="386" t="s">
        <v>2291</v>
      </c>
      <c r="Z4" s="386" t="s">
        <v>2292</v>
      </c>
      <c r="AA4" s="537"/>
      <c r="AB4" s="536"/>
      <c r="AC4" s="386" t="s">
        <v>2293</v>
      </c>
      <c r="AD4" s="386" t="s">
        <v>2294</v>
      </c>
      <c r="AE4" s="528"/>
      <c r="AF4" s="529"/>
      <c r="AG4" s="507"/>
    </row>
    <row r="5" spans="1:33">
      <c r="A5" s="530" t="s">
        <v>2295</v>
      </c>
      <c r="B5" s="42" t="s">
        <v>103</v>
      </c>
      <c r="C5" s="532" t="s">
        <v>120</v>
      </c>
      <c r="D5" s="532"/>
      <c r="E5" s="42">
        <v>50.67</v>
      </c>
      <c r="F5" s="395">
        <v>1320</v>
      </c>
      <c r="G5" s="384">
        <f t="shared" ref="G5:G10" si="0">E5*F5</f>
        <v>66884.400000000009</v>
      </c>
      <c r="H5" s="397" t="s">
        <v>79</v>
      </c>
      <c r="I5" s="393">
        <v>17</v>
      </c>
      <c r="J5" s="37">
        <v>2000</v>
      </c>
      <c r="K5" s="17">
        <f t="shared" ref="K5:K68" si="1">J5/I5</f>
        <v>117.64705882352941</v>
      </c>
      <c r="L5" s="393">
        <v>17</v>
      </c>
      <c r="M5" s="18">
        <f t="shared" ref="M5:M10" si="2">F5/V5*60</f>
        <v>1931.7073170731699</v>
      </c>
      <c r="N5" s="17">
        <f t="shared" ref="N5:N68" si="3">M5/L5</f>
        <v>113.6298421807747</v>
      </c>
      <c r="O5" s="19">
        <f t="shared" ref="O5:O68" si="4">L5-I5</f>
        <v>0</v>
      </c>
      <c r="P5" s="20">
        <f t="shared" ref="P5:P68" si="5">N5-K5</f>
        <v>-4.017216642754704</v>
      </c>
      <c r="Q5" s="387">
        <f t="shared" ref="Q5:Q68" si="6">N5/K5</f>
        <v>0.965853658536585</v>
      </c>
      <c r="R5" s="489">
        <f>Q11</f>
        <v>0.96005857841492803</v>
      </c>
      <c r="S5" s="40">
        <v>0.70833333333333337</v>
      </c>
      <c r="T5" s="40">
        <v>0.7368055555555556</v>
      </c>
      <c r="U5" s="384"/>
      <c r="V5" s="394">
        <f t="shared" ref="V5:V10" si="7">(T5-S5)*24*60</f>
        <v>41.000000000000014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-68.292682926830139</v>
      </c>
      <c r="AF5" s="387">
        <f t="shared" ref="AF5:AF68" si="9">M5/J5</f>
        <v>0.96585365853658489</v>
      </c>
      <c r="AG5" s="489">
        <f>AF11</f>
        <v>0.96005857841492803</v>
      </c>
    </row>
    <row r="6" spans="1:33">
      <c r="A6" s="531" t="s">
        <v>2296</v>
      </c>
      <c r="B6" s="42" t="s">
        <v>103</v>
      </c>
      <c r="C6" s="532" t="s">
        <v>121</v>
      </c>
      <c r="D6" s="532"/>
      <c r="E6" s="42">
        <v>54.09</v>
      </c>
      <c r="F6" s="395">
        <v>1271</v>
      </c>
      <c r="G6" s="384">
        <f t="shared" si="0"/>
        <v>68748.39</v>
      </c>
      <c r="H6" s="397" t="s">
        <v>79</v>
      </c>
      <c r="I6" s="393">
        <v>19</v>
      </c>
      <c r="J6" s="37">
        <v>2000</v>
      </c>
      <c r="K6" s="17">
        <f t="shared" si="1"/>
        <v>105.26315789473684</v>
      </c>
      <c r="L6" s="393">
        <v>19</v>
      </c>
      <c r="M6" s="18">
        <f t="shared" si="2"/>
        <v>1906.4999999999993</v>
      </c>
      <c r="N6" s="17">
        <f t="shared" si="3"/>
        <v>100.34210526315786</v>
      </c>
      <c r="O6" s="19">
        <f t="shared" si="4"/>
        <v>0</v>
      </c>
      <c r="P6" s="20">
        <f t="shared" si="5"/>
        <v>-4.9210526315789735</v>
      </c>
      <c r="Q6" s="387">
        <f t="shared" si="6"/>
        <v>0.95324999999999971</v>
      </c>
      <c r="R6" s="489"/>
      <c r="S6" s="40">
        <v>0.74236111111111114</v>
      </c>
      <c r="T6" s="40">
        <v>0.77013888888888893</v>
      </c>
      <c r="U6" s="384">
        <f t="shared" ref="U6:U10" si="10">IF(S6=TIME(17,0,0),"",(S6-T5)*24*60)</f>
        <v>7.9999999999999716</v>
      </c>
      <c r="V6" s="394">
        <f t="shared" si="7"/>
        <v>40.000000000000014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-93.500000000000682</v>
      </c>
      <c r="AF6" s="387">
        <f t="shared" si="9"/>
        <v>0.95324999999999971</v>
      </c>
      <c r="AG6" s="489"/>
    </row>
    <row r="7" spans="1:33">
      <c r="A7" s="531" t="s">
        <v>2296</v>
      </c>
      <c r="B7" s="42" t="s">
        <v>103</v>
      </c>
      <c r="C7" s="523" t="s">
        <v>122</v>
      </c>
      <c r="D7" s="524"/>
      <c r="E7" s="42">
        <v>50.29</v>
      </c>
      <c r="F7" s="395">
        <v>986</v>
      </c>
      <c r="G7" s="384">
        <f t="shared" si="0"/>
        <v>49585.94</v>
      </c>
      <c r="H7" s="397" t="s">
        <v>79</v>
      </c>
      <c r="I7" s="393">
        <v>16</v>
      </c>
      <c r="J7" s="37">
        <v>2000</v>
      </c>
      <c r="K7" s="17">
        <f t="shared" si="1"/>
        <v>125</v>
      </c>
      <c r="L7" s="393">
        <v>16</v>
      </c>
      <c r="M7" s="18">
        <f t="shared" si="2"/>
        <v>1908.3870967741905</v>
      </c>
      <c r="N7" s="17">
        <f t="shared" si="3"/>
        <v>119.2741935483869</v>
      </c>
      <c r="O7" s="19">
        <f t="shared" si="4"/>
        <v>0</v>
      </c>
      <c r="P7" s="20">
        <f t="shared" si="5"/>
        <v>-5.7258064516130958</v>
      </c>
      <c r="Q7" s="387">
        <f t="shared" si="6"/>
        <v>0.95419354838709525</v>
      </c>
      <c r="R7" s="489"/>
      <c r="S7" s="40">
        <v>0.77500000000000002</v>
      </c>
      <c r="T7" s="40">
        <v>0.79652777777777783</v>
      </c>
      <c r="U7" s="384">
        <f t="shared" si="10"/>
        <v>6.9999999999999751</v>
      </c>
      <c r="V7" s="394">
        <f t="shared" si="7"/>
        <v>31.00000000000005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-91.612903225809532</v>
      </c>
      <c r="AF7" s="387">
        <f t="shared" si="9"/>
        <v>0.95419354838709525</v>
      </c>
      <c r="AG7" s="489"/>
    </row>
    <row r="8" spans="1:33">
      <c r="A8" s="531" t="s">
        <v>2295</v>
      </c>
      <c r="B8" s="42" t="s">
        <v>103</v>
      </c>
      <c r="C8" s="523" t="s">
        <v>1708</v>
      </c>
      <c r="D8" s="524"/>
      <c r="E8" s="42">
        <v>57.3</v>
      </c>
      <c r="F8" s="395">
        <v>800</v>
      </c>
      <c r="G8" s="384">
        <f t="shared" si="0"/>
        <v>45840</v>
      </c>
      <c r="H8" s="397">
        <v>2</v>
      </c>
      <c r="I8" s="393">
        <v>15</v>
      </c>
      <c r="J8" s="37">
        <v>2000</v>
      </c>
      <c r="K8" s="17">
        <f t="shared" si="1"/>
        <v>133.33333333333334</v>
      </c>
      <c r="L8" s="393">
        <v>15</v>
      </c>
      <c r="M8" s="18">
        <f t="shared" si="2"/>
        <v>1919.9999999999945</v>
      </c>
      <c r="N8" s="17">
        <f t="shared" si="3"/>
        <v>127.99999999999963</v>
      </c>
      <c r="O8" s="19">
        <f t="shared" si="4"/>
        <v>0</v>
      </c>
      <c r="P8" s="20">
        <f t="shared" si="5"/>
        <v>-5.3333333333337123</v>
      </c>
      <c r="Q8" s="387">
        <f t="shared" si="6"/>
        <v>0.95999999999999719</v>
      </c>
      <c r="R8" s="489"/>
      <c r="S8" s="40">
        <v>0.8</v>
      </c>
      <c r="T8" s="40">
        <v>0.8173611111111112</v>
      </c>
      <c r="U8" s="384">
        <f t="shared" si="10"/>
        <v>4.9999999999999822</v>
      </c>
      <c r="V8" s="394">
        <f t="shared" si="7"/>
        <v>25.000000000000071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-80.000000000005457</v>
      </c>
      <c r="AF8" s="387">
        <f t="shared" si="9"/>
        <v>0.9599999999999973</v>
      </c>
      <c r="AG8" s="489"/>
    </row>
    <row r="9" spans="1:33">
      <c r="A9" s="531" t="s">
        <v>2297</v>
      </c>
      <c r="B9" s="42" t="s">
        <v>103</v>
      </c>
      <c r="C9" s="523" t="s">
        <v>515</v>
      </c>
      <c r="D9" s="524"/>
      <c r="E9" s="42">
        <v>50.67</v>
      </c>
      <c r="F9" s="395">
        <v>1168</v>
      </c>
      <c r="G9" s="384">
        <f t="shared" si="0"/>
        <v>59182.560000000005</v>
      </c>
      <c r="H9" s="397" t="s">
        <v>79</v>
      </c>
      <c r="I9" s="393">
        <v>21</v>
      </c>
      <c r="J9" s="37">
        <v>2000</v>
      </c>
      <c r="K9" s="17">
        <f t="shared" si="1"/>
        <v>95.238095238095241</v>
      </c>
      <c r="L9" s="393">
        <v>21</v>
      </c>
      <c r="M9" s="18">
        <f t="shared" si="2"/>
        <v>1946.6666666666654</v>
      </c>
      <c r="N9" s="17">
        <f t="shared" si="3"/>
        <v>92.698412698412639</v>
      </c>
      <c r="O9" s="19">
        <f t="shared" si="4"/>
        <v>0</v>
      </c>
      <c r="P9" s="20">
        <f t="shared" si="5"/>
        <v>-2.5396825396826017</v>
      </c>
      <c r="Q9" s="387">
        <f t="shared" si="6"/>
        <v>0.97333333333333272</v>
      </c>
      <c r="R9" s="489"/>
      <c r="S9" s="40">
        <v>0.82083333333333341</v>
      </c>
      <c r="T9" s="40">
        <v>0.84583333333333344</v>
      </c>
      <c r="U9" s="384">
        <f t="shared" si="10"/>
        <v>4.9999999999999822</v>
      </c>
      <c r="V9" s="394">
        <f t="shared" si="7"/>
        <v>36.000000000000028</v>
      </c>
      <c r="W9" s="23">
        <f>T9</f>
        <v>0.84583333333333344</v>
      </c>
      <c r="X9" s="23">
        <f>S10</f>
        <v>0.88750000000000007</v>
      </c>
      <c r="Y9" s="26"/>
      <c r="Z9" s="26"/>
      <c r="AA9" s="503"/>
      <c r="AB9" s="504"/>
      <c r="AC9" s="155"/>
      <c r="AD9" s="27"/>
      <c r="AE9" s="19">
        <f t="shared" si="8"/>
        <v>-53.333333333334622</v>
      </c>
      <c r="AF9" s="387">
        <f t="shared" si="9"/>
        <v>0.97333333333333272</v>
      </c>
      <c r="AG9" s="489"/>
    </row>
    <row r="10" spans="1:33">
      <c r="A10" s="531" t="s">
        <v>2296</v>
      </c>
      <c r="B10" s="42" t="s">
        <v>103</v>
      </c>
      <c r="C10" s="523" t="s">
        <v>1708</v>
      </c>
      <c r="D10" s="524"/>
      <c r="E10" s="42">
        <v>57.3</v>
      </c>
      <c r="F10" s="395">
        <v>1367</v>
      </c>
      <c r="G10" s="384">
        <f t="shared" si="0"/>
        <v>78329.099999999991</v>
      </c>
      <c r="H10" s="397" t="s">
        <v>79</v>
      </c>
      <c r="I10" s="393">
        <v>15</v>
      </c>
      <c r="J10" s="37">
        <v>2000</v>
      </c>
      <c r="K10" s="17">
        <f t="shared" si="1"/>
        <v>133.33333333333334</v>
      </c>
      <c r="L10" s="393">
        <v>15</v>
      </c>
      <c r="M10" s="18">
        <f t="shared" si="2"/>
        <v>1907.441860465116</v>
      </c>
      <c r="N10" s="17">
        <f t="shared" si="3"/>
        <v>127.1627906976744</v>
      </c>
      <c r="O10" s="19">
        <f t="shared" si="4"/>
        <v>0</v>
      </c>
      <c r="P10" s="20">
        <f t="shared" si="5"/>
        <v>-6.170542635658947</v>
      </c>
      <c r="Q10" s="387">
        <f t="shared" si="6"/>
        <v>0.95372093023255788</v>
      </c>
      <c r="R10" s="489"/>
      <c r="S10" s="40">
        <v>0.88750000000000007</v>
      </c>
      <c r="T10" s="40">
        <v>0.91736111111111118</v>
      </c>
      <c r="U10" s="384">
        <f t="shared" si="10"/>
        <v>59.999999999999943</v>
      </c>
      <c r="V10" s="394">
        <f t="shared" si="7"/>
        <v>43.000000000000007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-92.558139534884049</v>
      </c>
      <c r="AF10" s="387">
        <f t="shared" si="9"/>
        <v>0.953720930232558</v>
      </c>
      <c r="AG10" s="489"/>
    </row>
    <row r="11" spans="1:33">
      <c r="A11" s="531" t="s">
        <v>2296</v>
      </c>
      <c r="B11" s="42" t="s">
        <v>2298</v>
      </c>
      <c r="C11" s="494"/>
      <c r="D11" s="494"/>
      <c r="E11" s="388"/>
      <c r="F11" s="44"/>
      <c r="G11" s="17"/>
      <c r="H11" s="395"/>
      <c r="I11" s="30">
        <v>17.166666666666668</v>
      </c>
      <c r="J11" s="37">
        <v>2000</v>
      </c>
      <c r="K11" s="17">
        <f t="shared" si="1"/>
        <v>116.50485436893203</v>
      </c>
      <c r="L11" s="30">
        <v>17.166666666666668</v>
      </c>
      <c r="M11" s="18">
        <f>AVERAGE(M5:M10)</f>
        <v>1920.117156829856</v>
      </c>
      <c r="N11" s="17">
        <f t="shared" si="3"/>
        <v>111.8514848638751</v>
      </c>
      <c r="O11" s="19">
        <f t="shared" si="4"/>
        <v>0</v>
      </c>
      <c r="P11" s="20">
        <f t="shared" si="5"/>
        <v>-4.6533695050569293</v>
      </c>
      <c r="Q11" s="387">
        <f t="shared" si="6"/>
        <v>0.96005857841492803</v>
      </c>
      <c r="R11" s="489"/>
      <c r="S11" s="40"/>
      <c r="T11" s="40"/>
      <c r="U11" s="384"/>
      <c r="V11" s="394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f>SUM(AC5:AC10)</f>
        <v>2</v>
      </c>
      <c r="AD11" s="31">
        <f>SUM(AD5:AD10)</f>
        <v>0</v>
      </c>
      <c r="AE11" s="19">
        <f t="shared" si="8"/>
        <v>-79.882843170144042</v>
      </c>
      <c r="AF11" s="387">
        <f t="shared" si="9"/>
        <v>0.96005857841492803</v>
      </c>
      <c r="AG11" s="489"/>
    </row>
    <row r="12" spans="1:33" ht="15.75" customHeight="1">
      <c r="A12" s="527" t="s">
        <v>2299</v>
      </c>
      <c r="B12" s="42" t="s">
        <v>100</v>
      </c>
      <c r="C12" s="523" t="s">
        <v>124</v>
      </c>
      <c r="D12" s="524"/>
      <c r="E12" s="42">
        <v>39.619999999999997</v>
      </c>
      <c r="F12" s="395">
        <v>3445</v>
      </c>
      <c r="G12" s="384">
        <f t="shared" ref="G12:G13" si="11">E12*F12</f>
        <v>136490.9</v>
      </c>
      <c r="H12" s="397" t="s">
        <v>79</v>
      </c>
      <c r="I12" s="393">
        <v>19</v>
      </c>
      <c r="J12" s="37">
        <v>1500</v>
      </c>
      <c r="K12" s="17">
        <f t="shared" si="1"/>
        <v>78.94736842105263</v>
      </c>
      <c r="L12" s="393">
        <v>19</v>
      </c>
      <c r="M12" s="18">
        <f t="shared" ref="M12:M13" si="12">F12/V12*60</f>
        <v>1435.4166666666665</v>
      </c>
      <c r="N12" s="17">
        <f t="shared" si="3"/>
        <v>75.548245614035082</v>
      </c>
      <c r="O12" s="19">
        <f t="shared" si="4"/>
        <v>0</v>
      </c>
      <c r="P12" s="20">
        <f t="shared" si="5"/>
        <v>-3.3991228070175481</v>
      </c>
      <c r="Q12" s="387">
        <f t="shared" si="6"/>
        <v>0.95694444444444438</v>
      </c>
      <c r="R12" s="489">
        <f>Q14</f>
        <v>0.95494281045751639</v>
      </c>
      <c r="S12" s="40">
        <v>0.20833333333333334</v>
      </c>
      <c r="T12" s="40">
        <v>0.30833333333333335</v>
      </c>
      <c r="U12" s="384"/>
      <c r="V12" s="394">
        <f t="shared" ref="V12:V13" si="13">(T12-S12)*24*60</f>
        <v>144.00000000000003</v>
      </c>
      <c r="W12" s="23"/>
      <c r="X12" s="23"/>
      <c r="Y12" s="23"/>
      <c r="Z12" s="23"/>
      <c r="AA12" s="491"/>
      <c r="AB12" s="491"/>
      <c r="AC12" s="154">
        <v>2</v>
      </c>
      <c r="AD12" s="25"/>
      <c r="AE12" s="19">
        <f t="shared" si="8"/>
        <v>-64.583333333333485</v>
      </c>
      <c r="AF12" s="387">
        <f t="shared" si="9"/>
        <v>0.95694444444444438</v>
      </c>
      <c r="AG12" s="489">
        <f>AF14</f>
        <v>0.95494281045751628</v>
      </c>
    </row>
    <row r="13" spans="1:33" ht="15.75" customHeight="1">
      <c r="A13" s="527" t="s">
        <v>2300</v>
      </c>
      <c r="B13" s="42" t="s">
        <v>100</v>
      </c>
      <c r="C13" s="523" t="s">
        <v>125</v>
      </c>
      <c r="D13" s="524"/>
      <c r="E13" s="42">
        <v>39.799999999999997</v>
      </c>
      <c r="F13" s="395">
        <v>5265</v>
      </c>
      <c r="G13" s="384">
        <f t="shared" si="11"/>
        <v>209546.99999999997</v>
      </c>
      <c r="H13" s="397" t="s">
        <v>79</v>
      </c>
      <c r="I13" s="393">
        <v>17</v>
      </c>
      <c r="J13" s="37">
        <v>1500</v>
      </c>
      <c r="K13" s="17">
        <f t="shared" si="1"/>
        <v>88.235294117647058</v>
      </c>
      <c r="L13" s="393">
        <v>17</v>
      </c>
      <c r="M13" s="18">
        <f t="shared" si="12"/>
        <v>1429.4117647058824</v>
      </c>
      <c r="N13" s="17">
        <f t="shared" si="3"/>
        <v>84.083044982698965</v>
      </c>
      <c r="O13" s="19">
        <f t="shared" si="4"/>
        <v>0</v>
      </c>
      <c r="P13" s="20">
        <f t="shared" si="5"/>
        <v>-4.152249134948093</v>
      </c>
      <c r="Q13" s="387">
        <f t="shared" si="6"/>
        <v>0.95294117647058829</v>
      </c>
      <c r="R13" s="489"/>
      <c r="S13" s="40">
        <v>0.31388888888888888</v>
      </c>
      <c r="T13" s="40">
        <v>0.46736111111111112</v>
      </c>
      <c r="U13" s="384">
        <f t="shared" ref="U13" si="14">IF(S13=TIME(17,0,0),"",(S13-T12)*24*60)</f>
        <v>7.9999999999999716</v>
      </c>
      <c r="V13" s="394">
        <f t="shared" si="13"/>
        <v>221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-70.588235294117567</v>
      </c>
      <c r="AF13" s="387">
        <f t="shared" si="9"/>
        <v>0.95294117647058829</v>
      </c>
      <c r="AG13" s="489"/>
    </row>
    <row r="14" spans="1:33" ht="16.5" customHeight="1">
      <c r="A14" s="527" t="s">
        <v>2300</v>
      </c>
      <c r="B14" s="42" t="s">
        <v>2298</v>
      </c>
      <c r="C14" s="494"/>
      <c r="D14" s="494"/>
      <c r="E14" s="388"/>
      <c r="F14" s="37"/>
      <c r="G14" s="18"/>
      <c r="H14" s="395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1432.4142156862745</v>
      </c>
      <c r="N14" s="17">
        <f t="shared" si="3"/>
        <v>79.578567538126364</v>
      </c>
      <c r="O14" s="19">
        <f t="shared" si="4"/>
        <v>0</v>
      </c>
      <c r="P14" s="20">
        <f t="shared" si="5"/>
        <v>-3.7547657952069642</v>
      </c>
      <c r="Q14" s="387">
        <f t="shared" si="6"/>
        <v>0.95494281045751639</v>
      </c>
      <c r="R14" s="489"/>
      <c r="S14" s="40"/>
      <c r="T14" s="40"/>
      <c r="U14" s="17"/>
      <c r="V14" s="394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f>SUM(AC12:AC13)</f>
        <v>2</v>
      </c>
      <c r="AD14" s="31">
        <f>SUM(AD12:AD13)</f>
        <v>0</v>
      </c>
      <c r="AE14" s="19">
        <f t="shared" si="8"/>
        <v>-67.585784313725526</v>
      </c>
      <c r="AF14" s="387">
        <f t="shared" si="9"/>
        <v>0.95494281045751628</v>
      </c>
      <c r="AG14" s="489"/>
    </row>
    <row r="15" spans="1:33" ht="16.5" customHeight="1">
      <c r="A15" s="525" t="s">
        <v>2301</v>
      </c>
      <c r="B15" s="395" t="s">
        <v>126</v>
      </c>
      <c r="C15" s="515" t="s">
        <v>127</v>
      </c>
      <c r="D15" s="515"/>
      <c r="E15" s="42">
        <v>41</v>
      </c>
      <c r="F15" s="395">
        <v>2406</v>
      </c>
      <c r="G15" s="384">
        <f t="shared" ref="G15:G21" si="15">E15*F15</f>
        <v>98646</v>
      </c>
      <c r="H15" s="397" t="s">
        <v>79</v>
      </c>
      <c r="I15" s="393">
        <v>26</v>
      </c>
      <c r="J15" s="37">
        <v>1500</v>
      </c>
      <c r="K15" s="17">
        <f t="shared" si="1"/>
        <v>57.692307692307693</v>
      </c>
      <c r="L15" s="393">
        <v>26</v>
      </c>
      <c r="M15" s="18">
        <f t="shared" ref="M15:M21" si="16">F15/V15*60</f>
        <v>1429.3069306930695</v>
      </c>
      <c r="N15" s="17">
        <f t="shared" si="3"/>
        <v>54.973343488194978</v>
      </c>
      <c r="O15" s="19">
        <f t="shared" si="4"/>
        <v>0</v>
      </c>
      <c r="P15" s="20">
        <f t="shared" si="5"/>
        <v>-2.7189642041127158</v>
      </c>
      <c r="Q15" s="387">
        <f t="shared" si="6"/>
        <v>0.95287128712871294</v>
      </c>
      <c r="R15" s="489">
        <f>Q22</f>
        <v>0.96189517769162969</v>
      </c>
      <c r="S15" s="40">
        <v>0.20833333333333334</v>
      </c>
      <c r="T15" s="40">
        <v>0.27847222222222223</v>
      </c>
      <c r="U15" s="384"/>
      <c r="V15" s="394">
        <f t="shared" ref="V15:V21" si="17">(T15-S15)*24*60</f>
        <v>101</v>
      </c>
      <c r="W15" s="28"/>
      <c r="X15" s="28"/>
      <c r="Y15" s="28"/>
      <c r="Z15" s="28"/>
      <c r="AA15" s="491"/>
      <c r="AB15" s="491"/>
      <c r="AC15" s="154">
        <v>3</v>
      </c>
      <c r="AD15" s="25"/>
      <c r="AE15" s="19">
        <f t="shared" si="8"/>
        <v>-70.693069306930511</v>
      </c>
      <c r="AF15" s="387">
        <f t="shared" si="9"/>
        <v>0.95287128712871294</v>
      </c>
      <c r="AG15" s="489">
        <f>AF22</f>
        <v>0.96189517769162969</v>
      </c>
    </row>
    <row r="16" spans="1:33" ht="16.5" customHeight="1">
      <c r="A16" s="526" t="s">
        <v>2301</v>
      </c>
      <c r="B16" s="395" t="s">
        <v>128</v>
      </c>
      <c r="C16" s="515" t="s">
        <v>129</v>
      </c>
      <c r="D16" s="515"/>
      <c r="E16" s="42">
        <v>72.400000000000006</v>
      </c>
      <c r="F16" s="395">
        <v>936</v>
      </c>
      <c r="G16" s="384">
        <f t="shared" si="15"/>
        <v>67766.400000000009</v>
      </c>
      <c r="H16" s="397" t="s">
        <v>79</v>
      </c>
      <c r="I16" s="393">
        <v>18</v>
      </c>
      <c r="J16" s="37">
        <v>1500</v>
      </c>
      <c r="K16" s="17">
        <f t="shared" si="1"/>
        <v>83.333333333333329</v>
      </c>
      <c r="L16" s="393">
        <v>18</v>
      </c>
      <c r="M16" s="18">
        <f t="shared" si="16"/>
        <v>1439.9999999999991</v>
      </c>
      <c r="N16" s="17">
        <f t="shared" si="3"/>
        <v>79.999999999999943</v>
      </c>
      <c r="O16" s="19">
        <f t="shared" si="4"/>
        <v>0</v>
      </c>
      <c r="P16" s="20">
        <f t="shared" si="5"/>
        <v>-3.3333333333333854</v>
      </c>
      <c r="Q16" s="387">
        <f t="shared" si="6"/>
        <v>0.95999999999999941</v>
      </c>
      <c r="R16" s="489"/>
      <c r="S16" s="40">
        <v>0.28194444444444444</v>
      </c>
      <c r="T16" s="40">
        <v>0.30902777777777779</v>
      </c>
      <c r="U16" s="384">
        <f t="shared" ref="U16:U21" si="18">IF(S16=TIME(17,0,0),"",(S16-T15)*24*60)</f>
        <v>4.9999999999999822</v>
      </c>
      <c r="V16" s="394">
        <f t="shared" si="17"/>
        <v>39.000000000000021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-60.000000000000909</v>
      </c>
      <c r="AF16" s="387">
        <f t="shared" si="9"/>
        <v>0.95999999999999941</v>
      </c>
      <c r="AG16" s="489"/>
    </row>
    <row r="17" spans="1:33" ht="16.5" customHeight="1">
      <c r="A17" s="526" t="s">
        <v>2301</v>
      </c>
      <c r="B17" s="395" t="s">
        <v>103</v>
      </c>
      <c r="C17" s="515" t="s">
        <v>123</v>
      </c>
      <c r="D17" s="515"/>
      <c r="E17" s="42">
        <v>50.98</v>
      </c>
      <c r="F17" s="395">
        <v>1000</v>
      </c>
      <c r="G17" s="384">
        <f t="shared" si="15"/>
        <v>50980</v>
      </c>
      <c r="H17" s="397">
        <v>2</v>
      </c>
      <c r="I17" s="393">
        <v>16</v>
      </c>
      <c r="J17" s="37">
        <v>2000</v>
      </c>
      <c r="K17" s="17">
        <f t="shared" si="1"/>
        <v>125</v>
      </c>
      <c r="L17" s="393">
        <v>16</v>
      </c>
      <c r="M17" s="18">
        <f t="shared" si="16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387">
        <f t="shared" si="6"/>
        <v>0.96774193548386944</v>
      </c>
      <c r="R17" s="489"/>
      <c r="S17" s="40">
        <v>0.70833333333333337</v>
      </c>
      <c r="T17" s="40">
        <v>0.72986111111111118</v>
      </c>
      <c r="U17" s="384" t="str">
        <f t="shared" si="18"/>
        <v/>
      </c>
      <c r="V17" s="394">
        <f t="shared" si="17"/>
        <v>31.00000000000005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-64.516129032261006</v>
      </c>
      <c r="AF17" s="387">
        <f t="shared" si="9"/>
        <v>0.96774193548386944</v>
      </c>
      <c r="AG17" s="489"/>
    </row>
    <row r="18" spans="1:33" ht="16.5" customHeight="1">
      <c r="A18" s="526" t="s">
        <v>2301</v>
      </c>
      <c r="B18" s="395" t="s">
        <v>103</v>
      </c>
      <c r="C18" s="515" t="s">
        <v>132</v>
      </c>
      <c r="D18" s="515"/>
      <c r="E18" s="42">
        <v>50.92</v>
      </c>
      <c r="F18" s="395">
        <v>1000</v>
      </c>
      <c r="G18" s="384">
        <f t="shared" si="15"/>
        <v>50920</v>
      </c>
      <c r="H18" s="397">
        <v>2</v>
      </c>
      <c r="I18" s="393">
        <v>15</v>
      </c>
      <c r="J18" s="37">
        <v>2000</v>
      </c>
      <c r="K18" s="17">
        <f t="shared" si="1"/>
        <v>133.33333333333334</v>
      </c>
      <c r="L18" s="393">
        <v>15</v>
      </c>
      <c r="M18" s="18">
        <f t="shared" si="16"/>
        <v>1935.483870967739</v>
      </c>
      <c r="N18" s="17">
        <f t="shared" si="3"/>
        <v>129.03225806451593</v>
      </c>
      <c r="O18" s="19">
        <f t="shared" si="4"/>
        <v>0</v>
      </c>
      <c r="P18" s="20">
        <f t="shared" si="5"/>
        <v>-4.3010752688174136</v>
      </c>
      <c r="Q18" s="387">
        <f t="shared" si="6"/>
        <v>0.96774193548386944</v>
      </c>
      <c r="R18" s="489"/>
      <c r="S18" s="40">
        <v>0.73541666666666672</v>
      </c>
      <c r="T18" s="40">
        <v>0.75694444444444453</v>
      </c>
      <c r="U18" s="384">
        <f t="shared" si="18"/>
        <v>7.9999999999999716</v>
      </c>
      <c r="V18" s="394">
        <f t="shared" si="17"/>
        <v>31.00000000000005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-64.516129032261006</v>
      </c>
      <c r="AF18" s="387">
        <f t="shared" si="9"/>
        <v>0.96774193548386944</v>
      </c>
      <c r="AG18" s="489"/>
    </row>
    <row r="19" spans="1:33" ht="16.5" customHeight="1">
      <c r="A19" s="526" t="s">
        <v>2301</v>
      </c>
      <c r="B19" s="395" t="s">
        <v>103</v>
      </c>
      <c r="C19" s="515" t="s">
        <v>133</v>
      </c>
      <c r="D19" s="515"/>
      <c r="E19" s="42">
        <v>50.67</v>
      </c>
      <c r="F19" s="395">
        <v>1671</v>
      </c>
      <c r="G19" s="384">
        <f t="shared" si="15"/>
        <v>84669.57</v>
      </c>
      <c r="H19" s="397" t="s">
        <v>79</v>
      </c>
      <c r="I19" s="393">
        <v>15</v>
      </c>
      <c r="J19" s="37">
        <v>2000</v>
      </c>
      <c r="K19" s="17">
        <f t="shared" si="1"/>
        <v>133.33333333333334</v>
      </c>
      <c r="L19" s="393">
        <v>15</v>
      </c>
      <c r="M19" s="18">
        <f t="shared" si="16"/>
        <v>1928.076923076924</v>
      </c>
      <c r="N19" s="17">
        <f t="shared" si="3"/>
        <v>128.5384615384616</v>
      </c>
      <c r="O19" s="19">
        <f t="shared" si="4"/>
        <v>0</v>
      </c>
      <c r="P19" s="20">
        <f t="shared" si="5"/>
        <v>-4.7948717948717388</v>
      </c>
      <c r="Q19" s="387">
        <f t="shared" si="6"/>
        <v>0.96403846153846195</v>
      </c>
      <c r="R19" s="489"/>
      <c r="S19" s="40">
        <v>0.76111111111111118</v>
      </c>
      <c r="T19" s="40">
        <v>0.79722222222222228</v>
      </c>
      <c r="U19" s="384">
        <f t="shared" si="18"/>
        <v>5.9999999999999787</v>
      </c>
      <c r="V19" s="394">
        <f t="shared" si="17"/>
        <v>51.999999999999972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-71.923076923075996</v>
      </c>
      <c r="AF19" s="387">
        <f t="shared" si="9"/>
        <v>0.96403846153846195</v>
      </c>
      <c r="AG19" s="489"/>
    </row>
    <row r="20" spans="1:33" ht="16.5" customHeight="1">
      <c r="A20" s="526" t="s">
        <v>2301</v>
      </c>
      <c r="B20" s="395" t="s">
        <v>103</v>
      </c>
      <c r="C20" s="521" t="s">
        <v>134</v>
      </c>
      <c r="D20" s="522"/>
      <c r="E20" s="42">
        <v>57.3</v>
      </c>
      <c r="F20" s="395">
        <v>1902</v>
      </c>
      <c r="G20" s="384">
        <f t="shared" si="15"/>
        <v>108984.59999999999</v>
      </c>
      <c r="H20" s="397" t="s">
        <v>79</v>
      </c>
      <c r="I20" s="393">
        <v>13</v>
      </c>
      <c r="J20" s="37">
        <v>2000</v>
      </c>
      <c r="K20" s="17">
        <f t="shared" si="1"/>
        <v>153.84615384615384</v>
      </c>
      <c r="L20" s="393">
        <v>13</v>
      </c>
      <c r="M20" s="18">
        <f t="shared" si="16"/>
        <v>1902.0000000000018</v>
      </c>
      <c r="N20" s="17">
        <f t="shared" si="3"/>
        <v>146.30769230769243</v>
      </c>
      <c r="O20" s="19">
        <f t="shared" si="4"/>
        <v>0</v>
      </c>
      <c r="P20" s="20">
        <f t="shared" si="5"/>
        <v>-7.5384615384614051</v>
      </c>
      <c r="Q20" s="387">
        <f t="shared" si="6"/>
        <v>0.95100000000000084</v>
      </c>
      <c r="R20" s="489"/>
      <c r="S20" s="40">
        <v>0.80277777777777781</v>
      </c>
      <c r="T20" s="40">
        <v>0.84444444444444444</v>
      </c>
      <c r="U20" s="384">
        <f t="shared" si="18"/>
        <v>7.9999999999999716</v>
      </c>
      <c r="V20" s="394">
        <f t="shared" si="17"/>
        <v>59.999999999999943</v>
      </c>
      <c r="W20" s="23">
        <f>T20</f>
        <v>0.84444444444444444</v>
      </c>
      <c r="X20" s="23">
        <f>S21</f>
        <v>0.88472222222222219</v>
      </c>
      <c r="Y20" s="26"/>
      <c r="Z20" s="26"/>
      <c r="AA20" s="503"/>
      <c r="AB20" s="504"/>
      <c r="AC20" s="154"/>
      <c r="AD20" s="25"/>
      <c r="AE20" s="19">
        <f t="shared" si="8"/>
        <v>-97.999999999998181</v>
      </c>
      <c r="AF20" s="387">
        <f t="shared" si="9"/>
        <v>0.95100000000000096</v>
      </c>
      <c r="AG20" s="489"/>
    </row>
    <row r="21" spans="1:33" ht="16.5" customHeight="1">
      <c r="A21" s="526" t="s">
        <v>2301</v>
      </c>
      <c r="B21" s="395" t="s">
        <v>103</v>
      </c>
      <c r="C21" s="391" t="s">
        <v>132</v>
      </c>
      <c r="D21" s="392"/>
      <c r="E21" s="42">
        <v>50.92</v>
      </c>
      <c r="F21" s="395">
        <v>1354</v>
      </c>
      <c r="G21" s="384">
        <f t="shared" si="15"/>
        <v>68945.680000000008</v>
      </c>
      <c r="H21" s="397" t="s">
        <v>79</v>
      </c>
      <c r="I21" s="393">
        <v>15</v>
      </c>
      <c r="J21" s="37">
        <v>2000</v>
      </c>
      <c r="K21" s="17">
        <f t="shared" si="1"/>
        <v>133.33333333333334</v>
      </c>
      <c r="L21" s="393">
        <v>15</v>
      </c>
      <c r="M21" s="18">
        <f t="shared" si="16"/>
        <v>1934.2857142857135</v>
      </c>
      <c r="N21" s="17">
        <f t="shared" si="3"/>
        <v>128.95238095238091</v>
      </c>
      <c r="O21" s="19">
        <f t="shared" si="4"/>
        <v>0</v>
      </c>
      <c r="P21" s="20">
        <f t="shared" si="5"/>
        <v>-4.3809523809524364</v>
      </c>
      <c r="Q21" s="387">
        <f t="shared" si="6"/>
        <v>0.96714285714285675</v>
      </c>
      <c r="R21" s="489"/>
      <c r="S21" s="40">
        <v>0.88472222222222219</v>
      </c>
      <c r="T21" s="40">
        <v>0.91388888888888886</v>
      </c>
      <c r="U21" s="384">
        <f t="shared" si="18"/>
        <v>57.999999999999957</v>
      </c>
      <c r="V21" s="394">
        <f t="shared" si="17"/>
        <v>42.000000000000014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-65.714285714286461</v>
      </c>
      <c r="AF21" s="387">
        <f t="shared" si="9"/>
        <v>0.96714285714285675</v>
      </c>
      <c r="AG21" s="489"/>
    </row>
    <row r="22" spans="1:33" ht="16.5" customHeight="1">
      <c r="A22" s="526" t="s">
        <v>2301</v>
      </c>
      <c r="B22" s="42" t="s">
        <v>2298</v>
      </c>
      <c r="C22" s="494"/>
      <c r="D22" s="494"/>
      <c r="E22" s="388"/>
      <c r="F22" s="44"/>
      <c r="G22" s="17"/>
      <c r="H22" s="395"/>
      <c r="I22" s="30">
        <v>16.857142857142858</v>
      </c>
      <c r="J22" s="37">
        <v>1857.1428571428571</v>
      </c>
      <c r="K22" s="17">
        <f t="shared" si="1"/>
        <v>110.16949152542372</v>
      </c>
      <c r="L22" s="30">
        <v>16.857142857142858</v>
      </c>
      <c r="M22" s="18">
        <f>AVERAGE(M15:M21)</f>
        <v>1786.3767585701694</v>
      </c>
      <c r="N22" s="17">
        <f t="shared" si="3"/>
        <v>105.97150262704395</v>
      </c>
      <c r="O22" s="19">
        <f t="shared" si="4"/>
        <v>0</v>
      </c>
      <c r="P22" s="20">
        <f t="shared" si="5"/>
        <v>-4.1979888983797764</v>
      </c>
      <c r="Q22" s="387">
        <f t="shared" si="6"/>
        <v>0.96189517769162969</v>
      </c>
      <c r="R22" s="489"/>
      <c r="S22" s="40"/>
      <c r="T22" s="40"/>
      <c r="U22" s="384"/>
      <c r="V22" s="394"/>
      <c r="W22" s="17"/>
      <c r="X22" s="17"/>
      <c r="Y22" s="31">
        <f>SUM(Y15:Y21)</f>
        <v>0</v>
      </c>
      <c r="Z22" s="31">
        <f>SUM(Z15:Z21)</f>
        <v>0</v>
      </c>
      <c r="AA22" s="495"/>
      <c r="AB22" s="495"/>
      <c r="AC22" s="31">
        <f>SUM(AC15:AC21)</f>
        <v>3</v>
      </c>
      <c r="AD22" s="31">
        <f>SUM(AD15:AD21)</f>
        <v>0</v>
      </c>
      <c r="AE22" s="19">
        <f t="shared" si="8"/>
        <v>-70.766098572687724</v>
      </c>
      <c r="AF22" s="387">
        <f t="shared" si="9"/>
        <v>0.96189517769162969</v>
      </c>
      <c r="AG22" s="489"/>
    </row>
    <row r="23" spans="1:33" ht="15.75" customHeight="1">
      <c r="A23" s="519" t="s">
        <v>2302</v>
      </c>
      <c r="B23" s="42" t="s">
        <v>126</v>
      </c>
      <c r="C23" s="515" t="s">
        <v>135</v>
      </c>
      <c r="D23" s="515"/>
      <c r="E23" s="42">
        <v>43.14</v>
      </c>
      <c r="F23" s="395">
        <v>1141</v>
      </c>
      <c r="G23" s="384">
        <f t="shared" ref="G23:G30" si="19">E23*F23</f>
        <v>49222.74</v>
      </c>
      <c r="H23" s="397" t="s">
        <v>79</v>
      </c>
      <c r="I23" s="393">
        <v>17</v>
      </c>
      <c r="J23" s="37">
        <v>2000</v>
      </c>
      <c r="K23" s="17">
        <f t="shared" si="1"/>
        <v>117.64705882352941</v>
      </c>
      <c r="L23" s="393">
        <v>17</v>
      </c>
      <c r="M23" s="18">
        <f t="shared" ref="M23:M30" si="20">F23/V23*60</f>
        <v>1956.0000000000005</v>
      </c>
      <c r="N23" s="17">
        <f t="shared" si="3"/>
        <v>115.0588235294118</v>
      </c>
      <c r="O23" s="19">
        <f t="shared" si="4"/>
        <v>0</v>
      </c>
      <c r="P23" s="20">
        <f t="shared" si="5"/>
        <v>-2.5882352941176094</v>
      </c>
      <c r="Q23" s="387">
        <f t="shared" si="6"/>
        <v>0.97800000000000031</v>
      </c>
      <c r="R23" s="489">
        <f>Q31</f>
        <v>0.96337501735476261</v>
      </c>
      <c r="S23" s="40">
        <v>0.20833333333333334</v>
      </c>
      <c r="T23" s="40">
        <v>0.2326388888888889</v>
      </c>
      <c r="U23" s="384"/>
      <c r="V23" s="394">
        <f t="shared" ref="V23:V30" si="21">(T23-S23)*24*60</f>
        <v>34.999999999999993</v>
      </c>
      <c r="W23" s="28"/>
      <c r="X23" s="28"/>
      <c r="Y23" s="28"/>
      <c r="Z23" s="28"/>
      <c r="AA23" s="491"/>
      <c r="AB23" s="491"/>
      <c r="AC23" s="154">
        <v>3</v>
      </c>
      <c r="AD23" s="25"/>
      <c r="AE23" s="19">
        <f t="shared" si="8"/>
        <v>-43.999999999999545</v>
      </c>
      <c r="AF23" s="387">
        <f t="shared" si="9"/>
        <v>0.9780000000000002</v>
      </c>
      <c r="AG23" s="489">
        <f>AF31</f>
        <v>0.96337501735476261</v>
      </c>
    </row>
    <row r="24" spans="1:33" ht="15.75" customHeight="1">
      <c r="A24" s="520" t="s">
        <v>2302</v>
      </c>
      <c r="B24" s="42" t="s">
        <v>103</v>
      </c>
      <c r="C24" s="515" t="s">
        <v>137</v>
      </c>
      <c r="D24" s="515"/>
      <c r="E24" s="42">
        <v>57.73</v>
      </c>
      <c r="F24" s="395">
        <v>2542</v>
      </c>
      <c r="G24" s="384">
        <f t="shared" si="19"/>
        <v>146749.66</v>
      </c>
      <c r="H24" s="397" t="s">
        <v>79</v>
      </c>
      <c r="I24" s="393">
        <v>14</v>
      </c>
      <c r="J24" s="37">
        <v>2000</v>
      </c>
      <c r="K24" s="17">
        <f t="shared" si="1"/>
        <v>142.85714285714286</v>
      </c>
      <c r="L24" s="393">
        <v>14</v>
      </c>
      <c r="M24" s="18">
        <f t="shared" si="20"/>
        <v>1906.5</v>
      </c>
      <c r="N24" s="17">
        <f t="shared" si="3"/>
        <v>136.17857142857142</v>
      </c>
      <c r="O24" s="19">
        <f t="shared" si="4"/>
        <v>0</v>
      </c>
      <c r="P24" s="20">
        <f t="shared" si="5"/>
        <v>-6.6785714285714448</v>
      </c>
      <c r="Q24" s="387">
        <f t="shared" si="6"/>
        <v>0.95324999999999993</v>
      </c>
      <c r="R24" s="489"/>
      <c r="S24" s="40">
        <v>0.23680555555555557</v>
      </c>
      <c r="T24" s="40">
        <v>0.29236111111111113</v>
      </c>
      <c r="U24" s="384">
        <f t="shared" ref="U24:U30" si="22">IF(S24=TIME(17,0,0),"",(S24-T23)*24*60)</f>
        <v>6.0000000000000187</v>
      </c>
      <c r="V24" s="394">
        <f t="shared" si="21"/>
        <v>80</v>
      </c>
      <c r="W24" s="23"/>
      <c r="X24" s="384"/>
      <c r="Y24" s="384"/>
      <c r="Z24" s="384"/>
      <c r="AA24" s="491"/>
      <c r="AB24" s="491"/>
      <c r="AC24" s="154"/>
      <c r="AD24" s="25"/>
      <c r="AE24" s="19">
        <f t="shared" si="8"/>
        <v>-93.5</v>
      </c>
      <c r="AF24" s="387">
        <f t="shared" si="9"/>
        <v>0.95325000000000004</v>
      </c>
      <c r="AG24" s="489"/>
    </row>
    <row r="25" spans="1:33" ht="15.75" customHeight="1">
      <c r="A25" s="520" t="s">
        <v>2302</v>
      </c>
      <c r="B25" s="42" t="s">
        <v>103</v>
      </c>
      <c r="C25" s="515" t="s">
        <v>138</v>
      </c>
      <c r="D25" s="515"/>
      <c r="E25" s="42">
        <v>53.68</v>
      </c>
      <c r="F25" s="395">
        <v>1578</v>
      </c>
      <c r="G25" s="384">
        <f t="shared" si="19"/>
        <v>84707.04</v>
      </c>
      <c r="H25" s="397" t="s">
        <v>79</v>
      </c>
      <c r="I25" s="393">
        <v>16</v>
      </c>
      <c r="J25" s="37">
        <v>2000</v>
      </c>
      <c r="K25" s="17">
        <f t="shared" si="1"/>
        <v>125</v>
      </c>
      <c r="L25" s="393">
        <v>16</v>
      </c>
      <c r="M25" s="18">
        <f t="shared" si="20"/>
        <v>1932.2448979591843</v>
      </c>
      <c r="N25" s="17">
        <f t="shared" si="3"/>
        <v>120.76530612244902</v>
      </c>
      <c r="O25" s="19">
        <f t="shared" si="4"/>
        <v>0</v>
      </c>
      <c r="P25" s="20">
        <f t="shared" si="5"/>
        <v>-4.2346938775509813</v>
      </c>
      <c r="Q25" s="387">
        <f t="shared" si="6"/>
        <v>0.9661224489795921</v>
      </c>
      <c r="R25" s="489"/>
      <c r="S25" s="40">
        <v>0.29583333333333334</v>
      </c>
      <c r="T25" s="40">
        <v>0.3298611111111111</v>
      </c>
      <c r="U25" s="384">
        <f t="shared" si="22"/>
        <v>4.9999999999999822</v>
      </c>
      <c r="V25" s="394">
        <f t="shared" si="21"/>
        <v>48.999999999999986</v>
      </c>
      <c r="W25" s="23"/>
      <c r="X25" s="384"/>
      <c r="Y25" s="384"/>
      <c r="Z25" s="384"/>
      <c r="AA25" s="491"/>
      <c r="AB25" s="491"/>
      <c r="AC25" s="154"/>
      <c r="AD25" s="25"/>
      <c r="AE25" s="19">
        <f t="shared" si="8"/>
        <v>-67.7551020408157</v>
      </c>
      <c r="AF25" s="387">
        <f t="shared" si="9"/>
        <v>0.9661224489795921</v>
      </c>
      <c r="AG25" s="489"/>
    </row>
    <row r="26" spans="1:33" ht="15.75" customHeight="1">
      <c r="A26" s="520" t="s">
        <v>2302</v>
      </c>
      <c r="B26" s="42" t="s">
        <v>103</v>
      </c>
      <c r="C26" s="515" t="s">
        <v>140</v>
      </c>
      <c r="D26" s="515"/>
      <c r="E26" s="42">
        <v>50.49</v>
      </c>
      <c r="F26" s="395">
        <v>1962</v>
      </c>
      <c r="G26" s="384">
        <f t="shared" si="19"/>
        <v>99061.38</v>
      </c>
      <c r="H26" s="397" t="s">
        <v>79</v>
      </c>
      <c r="I26" s="393">
        <v>15</v>
      </c>
      <c r="J26" s="37">
        <v>2000</v>
      </c>
      <c r="K26" s="17">
        <f t="shared" si="1"/>
        <v>133.33333333333334</v>
      </c>
      <c r="L26" s="393">
        <v>15</v>
      </c>
      <c r="M26" s="18">
        <f t="shared" si="20"/>
        <v>1929.8360655737722</v>
      </c>
      <c r="N26" s="17">
        <f t="shared" si="3"/>
        <v>128.65573770491815</v>
      </c>
      <c r="O26" s="19">
        <f t="shared" si="4"/>
        <v>0</v>
      </c>
      <c r="P26" s="20">
        <f t="shared" si="5"/>
        <v>-4.6775956284151903</v>
      </c>
      <c r="Q26" s="387">
        <f t="shared" si="6"/>
        <v>0.96491803278688604</v>
      </c>
      <c r="R26" s="489"/>
      <c r="S26" s="40">
        <v>0.70833333333333337</v>
      </c>
      <c r="T26" s="40">
        <v>0.75069444444444444</v>
      </c>
      <c r="U26" s="384" t="str">
        <f t="shared" si="22"/>
        <v/>
      </c>
      <c r="V26" s="394">
        <f t="shared" si="21"/>
        <v>60.999999999999943</v>
      </c>
      <c r="W26" s="23"/>
      <c r="X26" s="384"/>
      <c r="Y26" s="384"/>
      <c r="Z26" s="384"/>
      <c r="AA26" s="491"/>
      <c r="AB26" s="491"/>
      <c r="AC26" s="154"/>
      <c r="AD26" s="25"/>
      <c r="AE26" s="19">
        <f t="shared" si="8"/>
        <v>-70.163934426227797</v>
      </c>
      <c r="AF26" s="387">
        <f t="shared" si="9"/>
        <v>0.96491803278688615</v>
      </c>
      <c r="AG26" s="489"/>
    </row>
    <row r="27" spans="1:33" ht="15.75" customHeight="1">
      <c r="A27" s="520" t="s">
        <v>2302</v>
      </c>
      <c r="B27" s="42" t="s">
        <v>103</v>
      </c>
      <c r="C27" s="515" t="s">
        <v>516</v>
      </c>
      <c r="D27" s="515"/>
      <c r="E27" s="42">
        <v>50.67</v>
      </c>
      <c r="F27" s="395">
        <v>1276</v>
      </c>
      <c r="G27" s="384">
        <f t="shared" si="19"/>
        <v>64654.920000000006</v>
      </c>
      <c r="H27" s="397" t="s">
        <v>79</v>
      </c>
      <c r="I27" s="393">
        <v>16</v>
      </c>
      <c r="J27" s="37">
        <v>2000</v>
      </c>
      <c r="K27" s="17">
        <f t="shared" si="1"/>
        <v>125</v>
      </c>
      <c r="L27" s="393">
        <v>16</v>
      </c>
      <c r="M27" s="18">
        <f t="shared" si="20"/>
        <v>1913.9999999999993</v>
      </c>
      <c r="N27" s="17">
        <f t="shared" si="3"/>
        <v>119.62499999999996</v>
      </c>
      <c r="O27" s="19">
        <f t="shared" si="4"/>
        <v>0</v>
      </c>
      <c r="P27" s="20">
        <f t="shared" si="5"/>
        <v>-5.3750000000000426</v>
      </c>
      <c r="Q27" s="387">
        <f t="shared" si="6"/>
        <v>0.95699999999999963</v>
      </c>
      <c r="R27" s="489"/>
      <c r="S27" s="40">
        <v>0.75486111111111109</v>
      </c>
      <c r="T27" s="40">
        <v>0.78263888888888888</v>
      </c>
      <c r="U27" s="384">
        <f t="shared" si="22"/>
        <v>5.9999999999999787</v>
      </c>
      <c r="V27" s="394">
        <f t="shared" si="21"/>
        <v>40.000000000000014</v>
      </c>
      <c r="W27" s="23"/>
      <c r="X27" s="384"/>
      <c r="Y27" s="384"/>
      <c r="Z27" s="384"/>
      <c r="AA27" s="491"/>
      <c r="AB27" s="491"/>
      <c r="AC27" s="154"/>
      <c r="AD27" s="25"/>
      <c r="AE27" s="19">
        <f t="shared" si="8"/>
        <v>-86.000000000000682</v>
      </c>
      <c r="AF27" s="387">
        <f t="shared" si="9"/>
        <v>0.95699999999999963</v>
      </c>
      <c r="AG27" s="489"/>
    </row>
    <row r="28" spans="1:33" ht="15.75" customHeight="1">
      <c r="A28" s="520" t="s">
        <v>2302</v>
      </c>
      <c r="B28" s="42" t="s">
        <v>103</v>
      </c>
      <c r="C28" s="515" t="s">
        <v>142</v>
      </c>
      <c r="D28" s="515"/>
      <c r="E28" s="42">
        <v>53.68</v>
      </c>
      <c r="F28" s="395">
        <v>1000</v>
      </c>
      <c r="G28" s="384">
        <f t="shared" si="19"/>
        <v>53680</v>
      </c>
      <c r="H28" s="397">
        <v>2</v>
      </c>
      <c r="I28" s="393">
        <v>16</v>
      </c>
      <c r="J28" s="37">
        <v>1500</v>
      </c>
      <c r="K28" s="17">
        <f t="shared" si="1"/>
        <v>93.75</v>
      </c>
      <c r="L28" s="393">
        <v>16</v>
      </c>
      <c r="M28" s="18">
        <f t="shared" si="20"/>
        <v>1428.5714285714282</v>
      </c>
      <c r="N28" s="17">
        <f t="shared" si="3"/>
        <v>89.285714285714263</v>
      </c>
      <c r="O28" s="19">
        <f t="shared" si="4"/>
        <v>0</v>
      </c>
      <c r="P28" s="20">
        <f t="shared" si="5"/>
        <v>-4.4642857142857366</v>
      </c>
      <c r="Q28" s="387">
        <f t="shared" si="6"/>
        <v>0.95238095238095211</v>
      </c>
      <c r="R28" s="489"/>
      <c r="S28" s="40">
        <v>0.78680555555555554</v>
      </c>
      <c r="T28" s="40">
        <v>0.81597222222222221</v>
      </c>
      <c r="U28" s="384">
        <f t="shared" si="22"/>
        <v>5.9999999999999787</v>
      </c>
      <c r="V28" s="394">
        <f t="shared" si="21"/>
        <v>42.000000000000014</v>
      </c>
      <c r="W28" s="23">
        <f>T28</f>
        <v>0.81597222222222221</v>
      </c>
      <c r="X28" s="23">
        <f>S29</f>
        <v>0.85763888888888884</v>
      </c>
      <c r="Y28" s="28"/>
      <c r="Z28" s="28"/>
      <c r="AA28" s="491"/>
      <c r="AB28" s="491"/>
      <c r="AC28" s="154"/>
      <c r="AD28" s="25"/>
      <c r="AE28" s="19">
        <f t="shared" si="8"/>
        <v>-71.428571428571786</v>
      </c>
      <c r="AF28" s="387">
        <f t="shared" si="9"/>
        <v>0.95238095238095211</v>
      </c>
      <c r="AG28" s="489"/>
    </row>
    <row r="29" spans="1:33" ht="15.75" customHeight="1">
      <c r="A29" s="520" t="s">
        <v>2302</v>
      </c>
      <c r="B29" s="42" t="s">
        <v>103</v>
      </c>
      <c r="C29" s="515" t="s">
        <v>142</v>
      </c>
      <c r="D29" s="515"/>
      <c r="E29" s="42">
        <v>53.68</v>
      </c>
      <c r="F29" s="395">
        <v>1045</v>
      </c>
      <c r="G29" s="384">
        <f t="shared" si="19"/>
        <v>56095.6</v>
      </c>
      <c r="H29" s="397" t="s">
        <v>79</v>
      </c>
      <c r="I29" s="393">
        <v>16</v>
      </c>
      <c r="J29" s="37">
        <v>1500</v>
      </c>
      <c r="K29" s="17">
        <f t="shared" si="1"/>
        <v>93.75</v>
      </c>
      <c r="L29" s="393">
        <v>16</v>
      </c>
      <c r="M29" s="18">
        <f t="shared" si="20"/>
        <v>1458.1395348837207</v>
      </c>
      <c r="N29" s="17">
        <f t="shared" si="3"/>
        <v>91.133720930232542</v>
      </c>
      <c r="O29" s="19">
        <f t="shared" si="4"/>
        <v>0</v>
      </c>
      <c r="P29" s="20">
        <f t="shared" si="5"/>
        <v>-2.6162790697674581</v>
      </c>
      <c r="Q29" s="387">
        <f t="shared" si="6"/>
        <v>0.97209302325581382</v>
      </c>
      <c r="R29" s="489"/>
      <c r="S29" s="40">
        <v>0.85763888888888884</v>
      </c>
      <c r="T29" s="40">
        <v>0.88749999999999996</v>
      </c>
      <c r="U29" s="384">
        <f t="shared" si="22"/>
        <v>59.999999999999943</v>
      </c>
      <c r="V29" s="394">
        <f t="shared" si="21"/>
        <v>43.000000000000007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-41.860465116279329</v>
      </c>
      <c r="AF29" s="387">
        <f t="shared" si="9"/>
        <v>0.97209302325581382</v>
      </c>
      <c r="AG29" s="489"/>
    </row>
    <row r="30" spans="1:33" ht="15.75" customHeight="1">
      <c r="A30" s="520" t="s">
        <v>2302</v>
      </c>
      <c r="B30" s="42" t="s">
        <v>103</v>
      </c>
      <c r="C30" s="521" t="s">
        <v>123</v>
      </c>
      <c r="D30" s="522"/>
      <c r="E30" s="42">
        <v>50.98</v>
      </c>
      <c r="F30" s="395">
        <v>1444</v>
      </c>
      <c r="G30" s="384">
        <f t="shared" si="19"/>
        <v>73615.12</v>
      </c>
      <c r="H30" s="397" t="s">
        <v>79</v>
      </c>
      <c r="I30" s="393">
        <v>16</v>
      </c>
      <c r="J30" s="37">
        <v>2000</v>
      </c>
      <c r="K30" s="17">
        <f t="shared" si="1"/>
        <v>125</v>
      </c>
      <c r="L30" s="393">
        <v>16</v>
      </c>
      <c r="M30" s="18">
        <f t="shared" si="20"/>
        <v>1925.3333333333333</v>
      </c>
      <c r="N30" s="17">
        <f t="shared" si="3"/>
        <v>120.33333333333333</v>
      </c>
      <c r="O30" s="19">
        <f t="shared" si="4"/>
        <v>0</v>
      </c>
      <c r="P30" s="20">
        <f t="shared" si="5"/>
        <v>-4.6666666666666714</v>
      </c>
      <c r="Q30" s="387">
        <f t="shared" si="6"/>
        <v>0.96266666666666667</v>
      </c>
      <c r="R30" s="489"/>
      <c r="S30" s="40">
        <v>0.89236111111111105</v>
      </c>
      <c r="T30" s="40">
        <v>0.92361111111111105</v>
      </c>
      <c r="U30" s="384">
        <f t="shared" si="22"/>
        <v>6.9999999999999751</v>
      </c>
      <c r="V30" s="394">
        <f t="shared" si="21"/>
        <v>45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-74.666666666666742</v>
      </c>
      <c r="AF30" s="387">
        <f t="shared" si="9"/>
        <v>0.96266666666666667</v>
      </c>
      <c r="AG30" s="489"/>
    </row>
    <row r="31" spans="1:33" ht="15.75" customHeight="1">
      <c r="A31" s="520" t="s">
        <v>2302</v>
      </c>
      <c r="B31" s="42" t="s">
        <v>2298</v>
      </c>
      <c r="C31" s="494"/>
      <c r="D31" s="494"/>
      <c r="E31" s="388"/>
      <c r="F31" s="395"/>
      <c r="G31" s="384"/>
      <c r="H31" s="395"/>
      <c r="I31" s="30">
        <v>15.75</v>
      </c>
      <c r="J31" s="37">
        <v>1875</v>
      </c>
      <c r="K31" s="17">
        <f t="shared" si="1"/>
        <v>119.04761904761905</v>
      </c>
      <c r="L31" s="30">
        <v>15.75</v>
      </c>
      <c r="M31" s="18">
        <f>AVERAGE(M23:M30)</f>
        <v>1806.32815754018</v>
      </c>
      <c r="N31" s="17">
        <f t="shared" si="3"/>
        <v>114.68750206604317</v>
      </c>
      <c r="O31" s="19">
        <f t="shared" si="4"/>
        <v>0</v>
      </c>
      <c r="P31" s="20">
        <f t="shared" si="5"/>
        <v>-4.3601169815758851</v>
      </c>
      <c r="Q31" s="387">
        <f t="shared" si="6"/>
        <v>0.96337501735476261</v>
      </c>
      <c r="R31" s="489"/>
      <c r="S31" s="40"/>
      <c r="T31" s="40"/>
      <c r="U31" s="17"/>
      <c r="V31" s="394"/>
      <c r="W31" s="17"/>
      <c r="X31" s="17"/>
      <c r="Y31" s="31">
        <f>SUM(Y23:Y30)</f>
        <v>0</v>
      </c>
      <c r="Z31" s="31">
        <f>SUM(Z23:Z30)</f>
        <v>0</v>
      </c>
      <c r="AA31" s="495"/>
      <c r="AB31" s="495"/>
      <c r="AC31" s="31">
        <f>SUM(AC23:AC30)</f>
        <v>3</v>
      </c>
      <c r="AD31" s="31">
        <f>SUM(AD23:AD30)</f>
        <v>0</v>
      </c>
      <c r="AE31" s="19">
        <f t="shared" si="8"/>
        <v>-68.671842459820027</v>
      </c>
      <c r="AF31" s="387">
        <f t="shared" si="9"/>
        <v>0.96337501735476261</v>
      </c>
      <c r="AG31" s="489"/>
    </row>
    <row r="32" spans="1:33" ht="15.75" customHeight="1">
      <c r="A32" s="518" t="s">
        <v>2303</v>
      </c>
      <c r="B32" s="42" t="s">
        <v>80</v>
      </c>
      <c r="C32" s="515" t="s">
        <v>81</v>
      </c>
      <c r="D32" s="515"/>
      <c r="E32" s="42">
        <v>31.29</v>
      </c>
      <c r="F32" s="395">
        <v>5400</v>
      </c>
      <c r="G32" s="384">
        <f t="shared" ref="G32:G37" si="23">E32*F32</f>
        <v>168966</v>
      </c>
      <c r="H32" s="397">
        <v>2</v>
      </c>
      <c r="I32" s="393">
        <v>18</v>
      </c>
      <c r="J32" s="37">
        <v>2400</v>
      </c>
      <c r="K32" s="17">
        <f t="shared" si="1"/>
        <v>133.33333333333334</v>
      </c>
      <c r="L32" s="393">
        <v>18</v>
      </c>
      <c r="M32" s="18">
        <f t="shared" ref="M32:M37" si="24">F32/V32*60</f>
        <v>2281.6901408450703</v>
      </c>
      <c r="N32" s="17">
        <f t="shared" si="3"/>
        <v>126.76056338028168</v>
      </c>
      <c r="O32" s="19">
        <f t="shared" si="4"/>
        <v>0</v>
      </c>
      <c r="P32" s="20">
        <f t="shared" si="5"/>
        <v>-6.5727699530516617</v>
      </c>
      <c r="Q32" s="387">
        <f t="shared" si="6"/>
        <v>0.95070422535211252</v>
      </c>
      <c r="R32" s="489">
        <f>Q38</f>
        <v>0.95592237273771807</v>
      </c>
      <c r="S32" s="40">
        <v>8.3333333333333329E-2</v>
      </c>
      <c r="T32" s="40">
        <v>0.18194444444444444</v>
      </c>
      <c r="U32" s="384"/>
      <c r="V32" s="394">
        <f t="shared" ref="V32:V37" si="25">(T32-S32)*24*60</f>
        <v>142</v>
      </c>
      <c r="W32" s="23">
        <f>T32</f>
        <v>0.18194444444444444</v>
      </c>
      <c r="X32" s="23">
        <f>S33</f>
        <v>0.20277777777777778</v>
      </c>
      <c r="Y32" s="23"/>
      <c r="Z32" s="23"/>
      <c r="AA32" s="491"/>
      <c r="AB32" s="491"/>
      <c r="AC32" s="154">
        <v>8</v>
      </c>
      <c r="AD32" s="25"/>
      <c r="AE32" s="19">
        <f t="shared" si="8"/>
        <v>-118.30985915492965</v>
      </c>
      <c r="AF32" s="387">
        <f t="shared" si="9"/>
        <v>0.95070422535211263</v>
      </c>
      <c r="AG32" s="489">
        <f>AF38</f>
        <v>0.95592237273771807</v>
      </c>
    </row>
    <row r="33" spans="1:33" ht="15.75" customHeight="1">
      <c r="A33" s="518" t="s">
        <v>2304</v>
      </c>
      <c r="B33" s="42" t="s">
        <v>80</v>
      </c>
      <c r="C33" s="515" t="s">
        <v>82</v>
      </c>
      <c r="D33" s="515"/>
      <c r="E33" s="42">
        <v>26.2</v>
      </c>
      <c r="F33" s="395">
        <v>4566</v>
      </c>
      <c r="G33" s="384">
        <f t="shared" si="23"/>
        <v>119629.2</v>
      </c>
      <c r="H33" s="397" t="s">
        <v>79</v>
      </c>
      <c r="I33" s="393">
        <v>20</v>
      </c>
      <c r="J33" s="37">
        <v>2400</v>
      </c>
      <c r="K33" s="17">
        <f t="shared" si="1"/>
        <v>120</v>
      </c>
      <c r="L33" s="393">
        <v>20</v>
      </c>
      <c r="M33" s="18">
        <f t="shared" si="24"/>
        <v>2283.0000000000009</v>
      </c>
      <c r="N33" s="17">
        <f t="shared" si="3"/>
        <v>114.15000000000005</v>
      </c>
      <c r="O33" s="19">
        <f t="shared" si="4"/>
        <v>0</v>
      </c>
      <c r="P33" s="20">
        <f t="shared" si="5"/>
        <v>-5.8499999999999517</v>
      </c>
      <c r="Q33" s="387">
        <f t="shared" si="6"/>
        <v>0.95125000000000037</v>
      </c>
      <c r="R33" s="489"/>
      <c r="S33" s="40">
        <v>0.20277777777777778</v>
      </c>
      <c r="T33" s="40">
        <v>0.28611111111111109</v>
      </c>
      <c r="U33" s="384">
        <f t="shared" ref="U33:U37" si="26">(S33-T32)*24*60</f>
        <v>30.000000000000014</v>
      </c>
      <c r="V33" s="394">
        <f t="shared" si="25"/>
        <v>119.99999999999997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-116.99999999999909</v>
      </c>
      <c r="AF33" s="387">
        <f t="shared" si="9"/>
        <v>0.95125000000000037</v>
      </c>
      <c r="AG33" s="489"/>
    </row>
    <row r="34" spans="1:33" ht="15.75" customHeight="1">
      <c r="A34" s="518" t="s">
        <v>2304</v>
      </c>
      <c r="B34" s="42" t="s">
        <v>80</v>
      </c>
      <c r="C34" s="515" t="s">
        <v>83</v>
      </c>
      <c r="D34" s="515"/>
      <c r="E34" s="42">
        <v>25.99</v>
      </c>
      <c r="F34" s="395">
        <v>4016</v>
      </c>
      <c r="G34" s="384">
        <f t="shared" si="23"/>
        <v>104375.84</v>
      </c>
      <c r="H34" s="397" t="s">
        <v>79</v>
      </c>
      <c r="I34" s="393">
        <v>14</v>
      </c>
      <c r="J34" s="37">
        <v>2400</v>
      </c>
      <c r="K34" s="17">
        <f t="shared" si="1"/>
        <v>171.42857142857142</v>
      </c>
      <c r="L34" s="393">
        <v>14</v>
      </c>
      <c r="M34" s="18">
        <f t="shared" si="24"/>
        <v>2294.8571428571422</v>
      </c>
      <c r="N34" s="17">
        <f t="shared" si="3"/>
        <v>163.91836734693874</v>
      </c>
      <c r="O34" s="19">
        <f t="shared" si="4"/>
        <v>0</v>
      </c>
      <c r="P34" s="20">
        <f t="shared" si="5"/>
        <v>-7.5102040816326792</v>
      </c>
      <c r="Q34" s="387">
        <f t="shared" si="6"/>
        <v>0.95619047619047604</v>
      </c>
      <c r="R34" s="489"/>
      <c r="S34" s="40">
        <v>0.29027777777777775</v>
      </c>
      <c r="T34" s="40">
        <v>0.36319444444444443</v>
      </c>
      <c r="U34" s="384">
        <f t="shared" si="26"/>
        <v>5.9999999999999787</v>
      </c>
      <c r="V34" s="394">
        <f t="shared" si="25"/>
        <v>105.00000000000003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-105.14285714285779</v>
      </c>
      <c r="AF34" s="387">
        <f t="shared" si="9"/>
        <v>0.95619047619047592</v>
      </c>
      <c r="AG34" s="489"/>
    </row>
    <row r="35" spans="1:33" ht="15.75" customHeight="1">
      <c r="A35" s="518" t="s">
        <v>2304</v>
      </c>
      <c r="B35" s="42" t="s">
        <v>80</v>
      </c>
      <c r="C35" s="515" t="s">
        <v>84</v>
      </c>
      <c r="D35" s="515"/>
      <c r="E35" s="42">
        <v>20.52</v>
      </c>
      <c r="F35" s="395">
        <v>3842</v>
      </c>
      <c r="G35" s="384">
        <f t="shared" si="23"/>
        <v>78837.84</v>
      </c>
      <c r="H35" s="397" t="s">
        <v>79</v>
      </c>
      <c r="I35" s="393">
        <v>18</v>
      </c>
      <c r="J35" s="37">
        <v>2400</v>
      </c>
      <c r="K35" s="17">
        <f t="shared" si="1"/>
        <v>133.33333333333334</v>
      </c>
      <c r="L35" s="393">
        <v>18</v>
      </c>
      <c r="M35" s="18">
        <f t="shared" si="24"/>
        <v>2305.1999999999989</v>
      </c>
      <c r="N35" s="17">
        <f t="shared" si="3"/>
        <v>128.06666666666661</v>
      </c>
      <c r="O35" s="19">
        <f t="shared" si="4"/>
        <v>0</v>
      </c>
      <c r="P35" s="20">
        <f t="shared" si="5"/>
        <v>-5.2666666666667368</v>
      </c>
      <c r="Q35" s="387">
        <f t="shared" si="6"/>
        <v>0.96049999999999947</v>
      </c>
      <c r="R35" s="489"/>
      <c r="S35" s="40">
        <v>0.36874999999999997</v>
      </c>
      <c r="T35" s="40">
        <v>0.43819444444444444</v>
      </c>
      <c r="U35" s="384">
        <f t="shared" si="26"/>
        <v>7.9999999999999716</v>
      </c>
      <c r="V35" s="394">
        <f t="shared" si="25"/>
        <v>100.00000000000004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-94.800000000001091</v>
      </c>
      <c r="AF35" s="387">
        <f t="shared" si="9"/>
        <v>0.96049999999999958</v>
      </c>
      <c r="AG35" s="489"/>
    </row>
    <row r="36" spans="1:33" ht="15.75" customHeight="1">
      <c r="A36" s="518" t="s">
        <v>2304</v>
      </c>
      <c r="B36" s="42" t="s">
        <v>80</v>
      </c>
      <c r="C36" s="515" t="s">
        <v>85</v>
      </c>
      <c r="D36" s="515"/>
      <c r="E36" s="42">
        <v>25.98</v>
      </c>
      <c r="F36" s="395">
        <v>3068</v>
      </c>
      <c r="G36" s="384">
        <f t="shared" si="23"/>
        <v>79706.64</v>
      </c>
      <c r="H36" s="397" t="s">
        <v>79</v>
      </c>
      <c r="I36" s="393">
        <v>21</v>
      </c>
      <c r="J36" s="37">
        <v>2400</v>
      </c>
      <c r="K36" s="17">
        <f t="shared" si="1"/>
        <v>114.28571428571429</v>
      </c>
      <c r="L36" s="393">
        <v>21</v>
      </c>
      <c r="M36" s="18">
        <f t="shared" si="24"/>
        <v>2300.9999999999991</v>
      </c>
      <c r="N36" s="17">
        <f t="shared" si="3"/>
        <v>109.57142857142853</v>
      </c>
      <c r="O36" s="19">
        <f t="shared" si="4"/>
        <v>0</v>
      </c>
      <c r="P36" s="20">
        <f t="shared" si="5"/>
        <v>-4.714285714285765</v>
      </c>
      <c r="Q36" s="387">
        <f t="shared" si="6"/>
        <v>0.95874999999999955</v>
      </c>
      <c r="R36" s="489"/>
      <c r="S36" s="40">
        <v>0.44166666666666665</v>
      </c>
      <c r="T36" s="40">
        <v>0.49722222222222223</v>
      </c>
      <c r="U36" s="384">
        <f t="shared" si="26"/>
        <v>4.9999999999999822</v>
      </c>
      <c r="V36" s="394">
        <f t="shared" si="25"/>
        <v>80.000000000000028</v>
      </c>
      <c r="W36" s="23">
        <f>T36</f>
        <v>0.49722222222222223</v>
      </c>
      <c r="X36" s="23">
        <f>S37</f>
        <v>0.53680555555555554</v>
      </c>
      <c r="Y36" s="23"/>
      <c r="Z36" s="23"/>
      <c r="AA36" s="491"/>
      <c r="AB36" s="491"/>
      <c r="AC36" s="154"/>
      <c r="AD36" s="25"/>
      <c r="AE36" s="19">
        <f t="shared" si="8"/>
        <v>-99.000000000000909</v>
      </c>
      <c r="AF36" s="387">
        <f t="shared" si="9"/>
        <v>0.95874999999999966</v>
      </c>
      <c r="AG36" s="489"/>
    </row>
    <row r="37" spans="1:33" ht="15.75" customHeight="1">
      <c r="A37" s="518" t="s">
        <v>2304</v>
      </c>
      <c r="B37" s="42" t="s">
        <v>80</v>
      </c>
      <c r="C37" s="515" t="s">
        <v>81</v>
      </c>
      <c r="D37" s="515"/>
      <c r="E37" s="42">
        <v>31.29</v>
      </c>
      <c r="F37" s="395">
        <v>3296</v>
      </c>
      <c r="G37" s="384">
        <f t="shared" si="23"/>
        <v>103131.84</v>
      </c>
      <c r="H37" s="397" t="s">
        <v>79</v>
      </c>
      <c r="I37" s="393">
        <v>18</v>
      </c>
      <c r="J37" s="37">
        <v>2400</v>
      </c>
      <c r="K37" s="17">
        <f t="shared" si="1"/>
        <v>133.33333333333334</v>
      </c>
      <c r="L37" s="393">
        <v>18</v>
      </c>
      <c r="M37" s="18">
        <f t="shared" si="24"/>
        <v>2299.5348837209299</v>
      </c>
      <c r="N37" s="17">
        <f t="shared" si="3"/>
        <v>127.75193798449611</v>
      </c>
      <c r="O37" s="19">
        <f t="shared" si="4"/>
        <v>0</v>
      </c>
      <c r="P37" s="20">
        <f t="shared" si="5"/>
        <v>-5.5813953488372334</v>
      </c>
      <c r="Q37" s="387">
        <f t="shared" si="6"/>
        <v>0.95813953488372072</v>
      </c>
      <c r="R37" s="489"/>
      <c r="S37" s="40">
        <v>0.53680555555555554</v>
      </c>
      <c r="T37" s="40">
        <v>0.59652777777777777</v>
      </c>
      <c r="U37" s="384">
        <f t="shared" si="26"/>
        <v>56.999999999999957</v>
      </c>
      <c r="V37" s="394">
        <f t="shared" si="25"/>
        <v>86.000000000000014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-100.46511627907012</v>
      </c>
      <c r="AF37" s="387">
        <f t="shared" si="9"/>
        <v>0.95813953488372083</v>
      </c>
      <c r="AG37" s="489"/>
    </row>
    <row r="38" spans="1:33" ht="15.75" customHeight="1">
      <c r="A38" s="518" t="s">
        <v>2304</v>
      </c>
      <c r="B38" s="42" t="s">
        <v>2298</v>
      </c>
      <c r="C38" s="494"/>
      <c r="D38" s="494"/>
      <c r="E38" s="388"/>
      <c r="F38" s="395"/>
      <c r="G38" s="384"/>
      <c r="H38" s="395"/>
      <c r="I38" s="30">
        <v>18.166666666666668</v>
      </c>
      <c r="J38" s="37">
        <v>2400</v>
      </c>
      <c r="K38" s="17">
        <f t="shared" si="1"/>
        <v>132.11009174311926</v>
      </c>
      <c r="L38" s="30">
        <v>18.166666666666668</v>
      </c>
      <c r="M38" s="18">
        <f>AVERAGE(M32:M37)</f>
        <v>2294.2136945705233</v>
      </c>
      <c r="N38" s="17">
        <f t="shared" si="3"/>
        <v>126.28699236168018</v>
      </c>
      <c r="O38" s="19">
        <f t="shared" si="4"/>
        <v>0</v>
      </c>
      <c r="P38" s="20">
        <f t="shared" si="5"/>
        <v>-5.8230993814390786</v>
      </c>
      <c r="Q38" s="387">
        <f t="shared" si="6"/>
        <v>0.95592237273771807</v>
      </c>
      <c r="R38" s="489"/>
      <c r="S38" s="40"/>
      <c r="T38" s="40"/>
      <c r="U38" s="384"/>
      <c r="V38" s="394"/>
      <c r="W38" s="384"/>
      <c r="X38" s="384"/>
      <c r="Y38" s="31">
        <f>SUM(Y32:Y37)</f>
        <v>0</v>
      </c>
      <c r="Z38" s="31">
        <f>SUM(Z32:Z37)</f>
        <v>0</v>
      </c>
      <c r="AA38" s="495"/>
      <c r="AB38" s="495"/>
      <c r="AC38" s="31">
        <f>SUM(AC32:AC37)</f>
        <v>8</v>
      </c>
      <c r="AD38" s="31">
        <f>SUM(AD32:AD37)</f>
        <v>0</v>
      </c>
      <c r="AE38" s="19">
        <f t="shared" si="8"/>
        <v>-105.78630542947667</v>
      </c>
      <c r="AF38" s="387">
        <f t="shared" si="9"/>
        <v>0.95592237273771807</v>
      </c>
      <c r="AG38" s="489"/>
    </row>
    <row r="39" spans="1:33" ht="15.75" customHeight="1">
      <c r="A39" s="516" t="s">
        <v>2305</v>
      </c>
      <c r="B39" s="42" t="s">
        <v>80</v>
      </c>
      <c r="C39" s="490" t="s">
        <v>87</v>
      </c>
      <c r="D39" s="490"/>
      <c r="E39" s="42">
        <v>26.2</v>
      </c>
      <c r="F39" s="395">
        <v>3800</v>
      </c>
      <c r="G39" s="384">
        <f t="shared" ref="G39:G46" si="27">E39*F39</f>
        <v>99560</v>
      </c>
      <c r="H39" s="397">
        <v>2</v>
      </c>
      <c r="I39" s="393">
        <v>18</v>
      </c>
      <c r="J39" s="37">
        <v>2400</v>
      </c>
      <c r="K39" s="17">
        <f t="shared" si="1"/>
        <v>133.33333333333334</v>
      </c>
      <c r="L39" s="393">
        <v>18</v>
      </c>
      <c r="M39" s="18">
        <f t="shared" ref="M39:M46" si="28">F39/V39*60</f>
        <v>2303.030303030303</v>
      </c>
      <c r="N39" s="17">
        <f t="shared" si="3"/>
        <v>127.94612794612794</v>
      </c>
      <c r="O39" s="19">
        <f t="shared" si="4"/>
        <v>0</v>
      </c>
      <c r="P39" s="20">
        <f t="shared" si="5"/>
        <v>-5.3872053872053982</v>
      </c>
      <c r="Q39" s="387">
        <f t="shared" si="6"/>
        <v>0.95959595959595956</v>
      </c>
      <c r="R39" s="489">
        <f>Q47</f>
        <v>0.95791043566490974</v>
      </c>
      <c r="S39" s="40">
        <v>8.3333333333333329E-2</v>
      </c>
      <c r="T39" s="40">
        <v>0.15208333333333332</v>
      </c>
      <c r="U39" s="384"/>
      <c r="V39" s="394">
        <f t="shared" ref="V39:V46" si="29">(T39-S39)*24*60</f>
        <v>99</v>
      </c>
      <c r="W39" s="28">
        <f>T39</f>
        <v>0.15208333333333332</v>
      </c>
      <c r="X39" s="28">
        <f>S40</f>
        <v>0.17083333333333334</v>
      </c>
      <c r="Y39" s="28"/>
      <c r="Z39" s="28"/>
      <c r="AA39" s="491"/>
      <c r="AB39" s="491"/>
      <c r="AC39" s="154">
        <v>8</v>
      </c>
      <c r="AD39" s="25"/>
      <c r="AE39" s="19">
        <f t="shared" si="8"/>
        <v>-96.969696969696997</v>
      </c>
      <c r="AF39" s="387">
        <f t="shared" si="9"/>
        <v>0.95959595959595956</v>
      </c>
      <c r="AG39" s="489">
        <f>AF47</f>
        <v>0.95791043566490963</v>
      </c>
    </row>
    <row r="40" spans="1:33" ht="15.75" customHeight="1">
      <c r="A40" s="516" t="s">
        <v>2305</v>
      </c>
      <c r="B40" s="42" t="s">
        <v>80</v>
      </c>
      <c r="C40" s="490" t="s">
        <v>88</v>
      </c>
      <c r="D40" s="490"/>
      <c r="E40" s="42">
        <v>26.18</v>
      </c>
      <c r="F40" s="395">
        <v>2130</v>
      </c>
      <c r="G40" s="384">
        <f t="shared" si="27"/>
        <v>55763.4</v>
      </c>
      <c r="H40" s="397" t="s">
        <v>79</v>
      </c>
      <c r="I40" s="393">
        <v>19</v>
      </c>
      <c r="J40" s="37">
        <v>2400</v>
      </c>
      <c r="K40" s="17">
        <f t="shared" si="1"/>
        <v>126.31578947368421</v>
      </c>
      <c r="L40" s="393">
        <v>19</v>
      </c>
      <c r="M40" s="18">
        <f t="shared" si="28"/>
        <v>2323.6363636363631</v>
      </c>
      <c r="N40" s="17">
        <f t="shared" si="3"/>
        <v>122.29665071770332</v>
      </c>
      <c r="O40" s="19">
        <f t="shared" si="4"/>
        <v>0</v>
      </c>
      <c r="P40" s="20">
        <f t="shared" si="5"/>
        <v>-4.0191387559808902</v>
      </c>
      <c r="Q40" s="387">
        <f t="shared" si="6"/>
        <v>0.96818181818181792</v>
      </c>
      <c r="R40" s="489"/>
      <c r="S40" s="40">
        <v>0.17083333333333334</v>
      </c>
      <c r="T40" s="40">
        <v>0.20902777777777778</v>
      </c>
      <c r="U40" s="384">
        <f t="shared" ref="U40:U46" si="30">(S40-T39)*24*60</f>
        <v>27.000000000000025</v>
      </c>
      <c r="V40" s="394">
        <f t="shared" si="29"/>
        <v>55.000000000000007</v>
      </c>
      <c r="W40" s="384"/>
      <c r="X40" s="384"/>
      <c r="Y40" s="384"/>
      <c r="Z40" s="384"/>
      <c r="AA40" s="491"/>
      <c r="AB40" s="491"/>
      <c r="AC40" s="154"/>
      <c r="AD40" s="25"/>
      <c r="AE40" s="19">
        <f t="shared" si="8"/>
        <v>-76.363636363636942</v>
      </c>
      <c r="AF40" s="387">
        <f t="shared" si="9"/>
        <v>0.96818181818181792</v>
      </c>
      <c r="AG40" s="489"/>
    </row>
    <row r="41" spans="1:33">
      <c r="A41" s="517" t="s">
        <v>2305</v>
      </c>
      <c r="B41" s="42" t="s">
        <v>80</v>
      </c>
      <c r="C41" s="490" t="s">
        <v>89</v>
      </c>
      <c r="D41" s="490"/>
      <c r="E41" s="42">
        <v>26.39</v>
      </c>
      <c r="F41" s="395">
        <v>5620</v>
      </c>
      <c r="G41" s="384">
        <f t="shared" si="27"/>
        <v>148311.80000000002</v>
      </c>
      <c r="H41" s="397" t="s">
        <v>79</v>
      </c>
      <c r="I41" s="393">
        <v>19</v>
      </c>
      <c r="J41" s="37">
        <v>2400</v>
      </c>
      <c r="K41" s="17">
        <f t="shared" si="1"/>
        <v>126.31578947368421</v>
      </c>
      <c r="L41" s="393">
        <v>19</v>
      </c>
      <c r="M41" s="18">
        <f t="shared" si="28"/>
        <v>2293.8775510204077</v>
      </c>
      <c r="N41" s="17">
        <f t="shared" si="3"/>
        <v>120.73039742212673</v>
      </c>
      <c r="O41" s="19">
        <f t="shared" si="4"/>
        <v>0</v>
      </c>
      <c r="P41" s="20">
        <f t="shared" si="5"/>
        <v>-5.5853920515574771</v>
      </c>
      <c r="Q41" s="387">
        <f t="shared" si="6"/>
        <v>0.95578231292517002</v>
      </c>
      <c r="R41" s="489"/>
      <c r="S41" s="40">
        <v>0.21458333333333335</v>
      </c>
      <c r="T41" s="40">
        <v>0.31666666666666671</v>
      </c>
      <c r="U41" s="384">
        <f t="shared" si="30"/>
        <v>8.0000000000000107</v>
      </c>
      <c r="V41" s="394">
        <f t="shared" si="29"/>
        <v>147.00000000000003</v>
      </c>
      <c r="W41" s="384"/>
      <c r="X41" s="384"/>
      <c r="Y41" s="384"/>
      <c r="Z41" s="384"/>
      <c r="AA41" s="491"/>
      <c r="AB41" s="491"/>
      <c r="AC41" s="154"/>
      <c r="AD41" s="25"/>
      <c r="AE41" s="19">
        <f t="shared" si="8"/>
        <v>-106.12244897959226</v>
      </c>
      <c r="AF41" s="387">
        <f t="shared" si="9"/>
        <v>0.95578231292516991</v>
      </c>
      <c r="AG41" s="489"/>
    </row>
    <row r="42" spans="1:33">
      <c r="A42" s="517" t="s">
        <v>2305</v>
      </c>
      <c r="B42" s="42" t="s">
        <v>80</v>
      </c>
      <c r="C42" s="490" t="s">
        <v>90</v>
      </c>
      <c r="D42" s="490"/>
      <c r="E42" s="42">
        <v>22.69</v>
      </c>
      <c r="F42" s="395">
        <v>1567</v>
      </c>
      <c r="G42" s="384">
        <f t="shared" si="27"/>
        <v>35555.230000000003</v>
      </c>
      <c r="H42" s="397" t="s">
        <v>79</v>
      </c>
      <c r="I42" s="393">
        <v>15</v>
      </c>
      <c r="J42" s="37">
        <v>2400</v>
      </c>
      <c r="K42" s="17">
        <f t="shared" si="1"/>
        <v>160</v>
      </c>
      <c r="L42" s="393">
        <v>15</v>
      </c>
      <c r="M42" s="18">
        <f t="shared" si="28"/>
        <v>2293.170731707316</v>
      </c>
      <c r="N42" s="17">
        <f t="shared" si="3"/>
        <v>152.87804878048775</v>
      </c>
      <c r="O42" s="19">
        <f t="shared" si="4"/>
        <v>0</v>
      </c>
      <c r="P42" s="20">
        <f t="shared" si="5"/>
        <v>-7.1219512195122547</v>
      </c>
      <c r="Q42" s="387">
        <f t="shared" si="6"/>
        <v>0.95548780487804841</v>
      </c>
      <c r="R42" s="489"/>
      <c r="S42" s="40">
        <v>0.32083333333333336</v>
      </c>
      <c r="T42" s="40">
        <v>0.34930555555555559</v>
      </c>
      <c r="U42" s="384">
        <f t="shared" si="30"/>
        <v>5.9999999999999787</v>
      </c>
      <c r="V42" s="394">
        <f t="shared" si="29"/>
        <v>41.000000000000014</v>
      </c>
      <c r="W42" s="23"/>
      <c r="X42" s="23"/>
      <c r="Y42" s="23"/>
      <c r="Z42" s="23"/>
      <c r="AA42" s="491"/>
      <c r="AB42" s="491"/>
      <c r="AC42" s="154"/>
      <c r="AD42" s="25"/>
      <c r="AE42" s="19">
        <f t="shared" si="8"/>
        <v>-106.82926829268399</v>
      </c>
      <c r="AF42" s="387">
        <f t="shared" si="9"/>
        <v>0.9554878048780483</v>
      </c>
      <c r="AG42" s="489"/>
    </row>
    <row r="43" spans="1:33">
      <c r="A43" s="517" t="s">
        <v>2305</v>
      </c>
      <c r="B43" s="42" t="s">
        <v>80</v>
      </c>
      <c r="C43" s="490" t="s">
        <v>91</v>
      </c>
      <c r="D43" s="490"/>
      <c r="E43" s="42">
        <v>24.45</v>
      </c>
      <c r="F43" s="395">
        <v>2455</v>
      </c>
      <c r="G43" s="384">
        <f t="shared" si="27"/>
        <v>60024.75</v>
      </c>
      <c r="H43" s="397" t="s">
        <v>79</v>
      </c>
      <c r="I43" s="393">
        <v>20</v>
      </c>
      <c r="J43" s="37">
        <v>2400</v>
      </c>
      <c r="K43" s="17">
        <f t="shared" si="1"/>
        <v>120</v>
      </c>
      <c r="L43" s="393">
        <v>20</v>
      </c>
      <c r="M43" s="18">
        <f t="shared" si="28"/>
        <v>2301.5624999999995</v>
      </c>
      <c r="N43" s="17">
        <f t="shared" si="3"/>
        <v>115.07812499999997</v>
      </c>
      <c r="O43" s="19">
        <f t="shared" si="4"/>
        <v>0</v>
      </c>
      <c r="P43" s="20">
        <f t="shared" si="5"/>
        <v>-4.9218750000000284</v>
      </c>
      <c r="Q43" s="387">
        <f t="shared" si="6"/>
        <v>0.95898437499999978</v>
      </c>
      <c r="R43" s="489"/>
      <c r="S43" s="40">
        <v>0.35486111111111113</v>
      </c>
      <c r="T43" s="40">
        <v>0.39930555555555558</v>
      </c>
      <c r="U43" s="384">
        <f t="shared" si="30"/>
        <v>7.9999999999999716</v>
      </c>
      <c r="V43" s="394">
        <f t="shared" si="29"/>
        <v>64.000000000000014</v>
      </c>
      <c r="W43" s="23"/>
      <c r="X43" s="23"/>
      <c r="Y43" s="23"/>
      <c r="Z43" s="23"/>
      <c r="AA43" s="491"/>
      <c r="AB43" s="491"/>
      <c r="AC43" s="154"/>
      <c r="AD43" s="25"/>
      <c r="AE43" s="19">
        <f t="shared" si="8"/>
        <v>-98.437500000000455</v>
      </c>
      <c r="AF43" s="387">
        <f t="shared" si="9"/>
        <v>0.95898437499999978</v>
      </c>
      <c r="AG43" s="489"/>
    </row>
    <row r="44" spans="1:33">
      <c r="A44" s="517" t="s">
        <v>2305</v>
      </c>
      <c r="B44" s="42" t="s">
        <v>80</v>
      </c>
      <c r="C44" s="490" t="s">
        <v>1224</v>
      </c>
      <c r="D44" s="490"/>
      <c r="E44" s="42">
        <v>22.69</v>
      </c>
      <c r="F44" s="395">
        <v>4500</v>
      </c>
      <c r="G44" s="384">
        <f t="shared" si="27"/>
        <v>102105</v>
      </c>
      <c r="H44" s="397">
        <v>2</v>
      </c>
      <c r="I44" s="393">
        <v>16</v>
      </c>
      <c r="J44" s="37">
        <v>2400</v>
      </c>
      <c r="K44" s="17">
        <f t="shared" si="1"/>
        <v>150</v>
      </c>
      <c r="L44" s="393">
        <v>16</v>
      </c>
      <c r="M44" s="18">
        <f t="shared" si="28"/>
        <v>2288.1355932203396</v>
      </c>
      <c r="N44" s="17">
        <f t="shared" si="3"/>
        <v>143.00847457627123</v>
      </c>
      <c r="O44" s="19">
        <f t="shared" si="4"/>
        <v>0</v>
      </c>
      <c r="P44" s="20">
        <f t="shared" si="5"/>
        <v>-6.9915254237287741</v>
      </c>
      <c r="Q44" s="387">
        <f t="shared" si="6"/>
        <v>0.95338983050847481</v>
      </c>
      <c r="R44" s="489"/>
      <c r="S44" s="40">
        <v>0.40486111111111112</v>
      </c>
      <c r="T44" s="40">
        <v>0.48680555555555555</v>
      </c>
      <c r="U44" s="384">
        <f t="shared" si="30"/>
        <v>7.9999999999999716</v>
      </c>
      <c r="V44" s="394">
        <f t="shared" si="29"/>
        <v>117.99999999999999</v>
      </c>
      <c r="W44" s="23">
        <f>T44</f>
        <v>0.48680555555555555</v>
      </c>
      <c r="X44" s="23">
        <f>S45</f>
        <v>0.52708333333333335</v>
      </c>
      <c r="Y44" s="23"/>
      <c r="Z44" s="23"/>
      <c r="AA44" s="491"/>
      <c r="AB44" s="491"/>
      <c r="AC44" s="154"/>
      <c r="AD44" s="25"/>
      <c r="AE44" s="19">
        <f t="shared" si="8"/>
        <v>-111.86440677966038</v>
      </c>
      <c r="AF44" s="387">
        <f t="shared" si="9"/>
        <v>0.95338983050847481</v>
      </c>
      <c r="AG44" s="489"/>
    </row>
    <row r="45" spans="1:33">
      <c r="A45" s="517" t="s">
        <v>2305</v>
      </c>
      <c r="B45" s="42" t="s">
        <v>80</v>
      </c>
      <c r="C45" s="490" t="s">
        <v>1224</v>
      </c>
      <c r="D45" s="490"/>
      <c r="E45" s="42">
        <v>22.69</v>
      </c>
      <c r="F45" s="395">
        <v>3490</v>
      </c>
      <c r="G45" s="384">
        <f t="shared" si="27"/>
        <v>79188.100000000006</v>
      </c>
      <c r="H45" s="397" t="s">
        <v>79</v>
      </c>
      <c r="I45" s="393">
        <v>16</v>
      </c>
      <c r="J45" s="37">
        <v>2400</v>
      </c>
      <c r="K45" s="17">
        <f t="shared" si="1"/>
        <v>150</v>
      </c>
      <c r="L45" s="393">
        <v>16</v>
      </c>
      <c r="M45" s="18">
        <f t="shared" si="28"/>
        <v>2301.098901098901</v>
      </c>
      <c r="N45" s="17">
        <f t="shared" si="3"/>
        <v>143.81868131868131</v>
      </c>
      <c r="O45" s="19">
        <f t="shared" si="4"/>
        <v>0</v>
      </c>
      <c r="P45" s="20">
        <f t="shared" si="5"/>
        <v>-6.181318681318686</v>
      </c>
      <c r="Q45" s="387">
        <f t="shared" si="6"/>
        <v>0.95879120879120872</v>
      </c>
      <c r="R45" s="489"/>
      <c r="S45" s="40">
        <v>0.52708333333333335</v>
      </c>
      <c r="T45" s="40">
        <v>0.59027777777777779</v>
      </c>
      <c r="U45" s="384">
        <f t="shared" si="30"/>
        <v>58.000000000000036</v>
      </c>
      <c r="V45" s="394">
        <f t="shared" si="29"/>
        <v>91</v>
      </c>
      <c r="W45" s="23"/>
      <c r="X45" s="23"/>
      <c r="Y45" s="26"/>
      <c r="Z45" s="26"/>
      <c r="AA45" s="503"/>
      <c r="AB45" s="504"/>
      <c r="AC45" s="154"/>
      <c r="AD45" s="25"/>
      <c r="AE45" s="19">
        <f t="shared" si="8"/>
        <v>-98.901098901098976</v>
      </c>
      <c r="AF45" s="387">
        <f t="shared" si="9"/>
        <v>0.95879120879120872</v>
      </c>
      <c r="AG45" s="489"/>
    </row>
    <row r="46" spans="1:33">
      <c r="A46" s="517" t="s">
        <v>2305</v>
      </c>
      <c r="B46" s="42" t="s">
        <v>80</v>
      </c>
      <c r="C46" s="490" t="s">
        <v>87</v>
      </c>
      <c r="D46" s="490"/>
      <c r="E46" s="42">
        <v>26.2</v>
      </c>
      <c r="F46" s="395">
        <v>2173</v>
      </c>
      <c r="G46" s="384">
        <f t="shared" si="27"/>
        <v>56932.6</v>
      </c>
      <c r="H46" s="397" t="s">
        <v>79</v>
      </c>
      <c r="I46" s="393">
        <v>18</v>
      </c>
      <c r="J46" s="37">
        <v>2400</v>
      </c>
      <c r="K46" s="17">
        <f t="shared" si="1"/>
        <v>133.33333333333334</v>
      </c>
      <c r="L46" s="393">
        <v>18</v>
      </c>
      <c r="M46" s="18">
        <f t="shared" si="28"/>
        <v>2287.3684210526335</v>
      </c>
      <c r="N46" s="17">
        <f t="shared" si="3"/>
        <v>127.07602339181297</v>
      </c>
      <c r="O46" s="19">
        <f t="shared" si="4"/>
        <v>0</v>
      </c>
      <c r="P46" s="20">
        <f t="shared" si="5"/>
        <v>-6.2573099415203757</v>
      </c>
      <c r="Q46" s="387">
        <f t="shared" si="6"/>
        <v>0.95307017543859718</v>
      </c>
      <c r="R46" s="489"/>
      <c r="S46" s="40">
        <v>0.59513888888888888</v>
      </c>
      <c r="T46" s="40">
        <v>0.63472222222222219</v>
      </c>
      <c r="U46" s="384">
        <f t="shared" si="30"/>
        <v>6.9999999999999751</v>
      </c>
      <c r="V46" s="394">
        <f t="shared" si="29"/>
        <v>56.999999999999957</v>
      </c>
      <c r="W46" s="23"/>
      <c r="X46" s="23"/>
      <c r="Y46" s="26"/>
      <c r="Z46" s="26"/>
      <c r="AA46" s="503"/>
      <c r="AB46" s="504"/>
      <c r="AC46" s="154"/>
      <c r="AD46" s="25"/>
      <c r="AE46" s="19">
        <f t="shared" si="8"/>
        <v>-112.63157894736651</v>
      </c>
      <c r="AF46" s="387">
        <f t="shared" si="9"/>
        <v>0.95307017543859729</v>
      </c>
      <c r="AG46" s="489"/>
    </row>
    <row r="47" spans="1:33">
      <c r="A47" s="517" t="s">
        <v>2305</v>
      </c>
      <c r="B47" s="44" t="s">
        <v>2298</v>
      </c>
      <c r="C47" s="494"/>
      <c r="D47" s="494"/>
      <c r="E47" s="388"/>
      <c r="F47" s="44"/>
      <c r="G47" s="17"/>
      <c r="H47" s="395"/>
      <c r="I47" s="30">
        <v>17.625</v>
      </c>
      <c r="J47" s="37">
        <v>2400</v>
      </c>
      <c r="K47" s="17">
        <f t="shared" si="1"/>
        <v>136.17021276595744</v>
      </c>
      <c r="L47" s="30">
        <v>17.625</v>
      </c>
      <c r="M47" s="18">
        <f>AVERAGE(M39:M46)</f>
        <v>2298.985045595783</v>
      </c>
      <c r="N47" s="17">
        <f t="shared" si="3"/>
        <v>130.43886783522174</v>
      </c>
      <c r="O47" s="19">
        <f t="shared" si="4"/>
        <v>0</v>
      </c>
      <c r="P47" s="20">
        <f t="shared" si="5"/>
        <v>-5.7313449307357018</v>
      </c>
      <c r="Q47" s="387">
        <f t="shared" si="6"/>
        <v>0.95791043566490974</v>
      </c>
      <c r="R47" s="489"/>
      <c r="S47" s="40"/>
      <c r="T47" s="40"/>
      <c r="U47" s="17"/>
      <c r="V47" s="394"/>
      <c r="W47" s="17"/>
      <c r="X47" s="17"/>
      <c r="Y47" s="31">
        <f>SUM(Y39:Y46)</f>
        <v>0</v>
      </c>
      <c r="Z47" s="31">
        <f>SUM(Z39:Z46)</f>
        <v>0</v>
      </c>
      <c r="AA47" s="495"/>
      <c r="AB47" s="495"/>
      <c r="AC47" s="31">
        <f>SUM(AC39:AC46)</f>
        <v>8</v>
      </c>
      <c r="AD47" s="31">
        <f>SUM(AD39:AD46)</f>
        <v>0</v>
      </c>
      <c r="AE47" s="19">
        <f t="shared" si="8"/>
        <v>-101.01495440421695</v>
      </c>
      <c r="AF47" s="387">
        <f t="shared" si="9"/>
        <v>0.95791043566490963</v>
      </c>
      <c r="AG47" s="489"/>
    </row>
    <row r="48" spans="1:33" ht="15.75" customHeight="1">
      <c r="A48" s="512" t="s">
        <v>2306</v>
      </c>
      <c r="B48" s="42" t="s">
        <v>93</v>
      </c>
      <c r="C48" s="501" t="s">
        <v>94</v>
      </c>
      <c r="D48" s="502"/>
      <c r="E48" s="42">
        <v>21.13</v>
      </c>
      <c r="F48" s="395">
        <v>5250</v>
      </c>
      <c r="G48" s="384">
        <f t="shared" ref="G48:G55" si="31">E48*F48</f>
        <v>110932.5</v>
      </c>
      <c r="H48" s="397" t="s">
        <v>79</v>
      </c>
      <c r="I48" s="393">
        <v>10</v>
      </c>
      <c r="J48" s="37">
        <v>3000</v>
      </c>
      <c r="K48" s="17">
        <f t="shared" si="1"/>
        <v>300</v>
      </c>
      <c r="L48" s="393">
        <v>10</v>
      </c>
      <c r="M48" s="18">
        <f t="shared" ref="M48:M55" si="32">F48/V48*60</f>
        <v>2863.636363636364</v>
      </c>
      <c r="N48" s="18">
        <f t="shared" si="3"/>
        <v>286.36363636363637</v>
      </c>
      <c r="O48" s="19">
        <f t="shared" si="4"/>
        <v>0</v>
      </c>
      <c r="P48" s="20">
        <f t="shared" si="5"/>
        <v>-13.636363636363626</v>
      </c>
      <c r="Q48" s="387">
        <f t="shared" si="6"/>
        <v>0.95454545454545459</v>
      </c>
      <c r="R48" s="509">
        <f>Q56</f>
        <v>0.95767908770018817</v>
      </c>
      <c r="S48" s="40">
        <v>8.3333333333333329E-2</v>
      </c>
      <c r="T48" s="40">
        <v>0.15972222222222221</v>
      </c>
      <c r="U48" s="28"/>
      <c r="V48" s="394">
        <f t="shared" ref="V48:V55" si="33">(T48-S48)*24*60</f>
        <v>109.99999999999999</v>
      </c>
      <c r="W48" s="23">
        <f>T48</f>
        <v>0.15972222222222221</v>
      </c>
      <c r="X48" s="23">
        <f>S49</f>
        <v>0.17777777777777776</v>
      </c>
      <c r="Y48" s="26"/>
      <c r="Z48" s="26"/>
      <c r="AA48" s="503"/>
      <c r="AB48" s="504"/>
      <c r="AC48" s="154" t="s">
        <v>79</v>
      </c>
      <c r="AD48" s="25"/>
      <c r="AE48" s="19">
        <f t="shared" si="8"/>
        <v>-136.36363636363603</v>
      </c>
      <c r="AF48" s="387">
        <f t="shared" si="9"/>
        <v>0.9545454545454547</v>
      </c>
      <c r="AG48" s="509">
        <f>AF56</f>
        <v>0.95767908770018817</v>
      </c>
    </row>
    <row r="49" spans="1:33" ht="15.75" customHeight="1">
      <c r="A49" s="513" t="s">
        <v>2306</v>
      </c>
      <c r="B49" s="42" t="s">
        <v>93</v>
      </c>
      <c r="C49" s="501" t="s">
        <v>95</v>
      </c>
      <c r="D49" s="502"/>
      <c r="E49" s="42">
        <v>27.17</v>
      </c>
      <c r="F49" s="395">
        <v>4300</v>
      </c>
      <c r="G49" s="384">
        <f t="shared" si="31"/>
        <v>116831.00000000001</v>
      </c>
      <c r="H49" s="397">
        <v>2</v>
      </c>
      <c r="I49" s="393">
        <v>10</v>
      </c>
      <c r="J49" s="37">
        <v>3000</v>
      </c>
      <c r="K49" s="17">
        <f t="shared" si="1"/>
        <v>300</v>
      </c>
      <c r="L49" s="393">
        <v>10</v>
      </c>
      <c r="M49" s="18">
        <f t="shared" si="32"/>
        <v>2866.6666666666665</v>
      </c>
      <c r="N49" s="18">
        <f t="shared" si="3"/>
        <v>286.66666666666663</v>
      </c>
      <c r="O49" s="19">
        <f t="shared" si="4"/>
        <v>0</v>
      </c>
      <c r="P49" s="20">
        <f t="shared" si="5"/>
        <v>-13.333333333333371</v>
      </c>
      <c r="Q49" s="387">
        <f t="shared" si="6"/>
        <v>0.95555555555555538</v>
      </c>
      <c r="R49" s="510"/>
      <c r="S49" s="40">
        <v>0.17777777777777776</v>
      </c>
      <c r="T49" s="40">
        <v>0.24027777777777776</v>
      </c>
      <c r="U49" s="384">
        <f t="shared" ref="U49:U55" si="34">(S49-T48)*24*60</f>
        <v>25.999999999999986</v>
      </c>
      <c r="V49" s="394">
        <f t="shared" si="33"/>
        <v>90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-133.33333333333348</v>
      </c>
      <c r="AF49" s="387">
        <f t="shared" si="9"/>
        <v>0.95555555555555549</v>
      </c>
      <c r="AG49" s="510"/>
    </row>
    <row r="50" spans="1:33" ht="15.75" customHeight="1">
      <c r="A50" s="513" t="s">
        <v>2306</v>
      </c>
      <c r="B50" s="42" t="s">
        <v>93</v>
      </c>
      <c r="C50" s="501" t="s">
        <v>96</v>
      </c>
      <c r="D50" s="502"/>
      <c r="E50" s="42">
        <v>35.119999999999997</v>
      </c>
      <c r="F50" s="395">
        <v>5365</v>
      </c>
      <c r="G50" s="384">
        <f t="shared" si="31"/>
        <v>188418.8</v>
      </c>
      <c r="H50" s="397" t="s">
        <v>79</v>
      </c>
      <c r="I50" s="393">
        <v>10</v>
      </c>
      <c r="J50" s="37">
        <v>3000</v>
      </c>
      <c r="K50" s="17">
        <f t="shared" si="1"/>
        <v>300</v>
      </c>
      <c r="L50" s="393">
        <v>10</v>
      </c>
      <c r="M50" s="18">
        <f t="shared" si="32"/>
        <v>2874.1071428571436</v>
      </c>
      <c r="N50" s="18">
        <f t="shared" si="3"/>
        <v>287.41071428571433</v>
      </c>
      <c r="O50" s="19">
        <f t="shared" si="4"/>
        <v>0</v>
      </c>
      <c r="P50" s="20">
        <f t="shared" si="5"/>
        <v>-12.589285714285666</v>
      </c>
      <c r="Q50" s="387">
        <f t="shared" si="6"/>
        <v>0.95803571428571443</v>
      </c>
      <c r="R50" s="510"/>
      <c r="S50" s="40">
        <v>0.24583333333333332</v>
      </c>
      <c r="T50" s="40">
        <v>0.32361111111111107</v>
      </c>
      <c r="U50" s="384">
        <f t="shared" si="34"/>
        <v>8.0000000000000107</v>
      </c>
      <c r="V50" s="394">
        <f t="shared" si="33"/>
        <v>111.99999999999996</v>
      </c>
      <c r="W50" s="23"/>
      <c r="X50" s="23"/>
      <c r="Y50" s="26"/>
      <c r="Z50" s="26"/>
      <c r="AA50" s="503"/>
      <c r="AB50" s="504"/>
      <c r="AC50" s="154">
        <v>1</v>
      </c>
      <c r="AD50" s="25"/>
      <c r="AE50" s="19">
        <f t="shared" si="8"/>
        <v>-125.89285714285643</v>
      </c>
      <c r="AF50" s="387">
        <f t="shared" si="9"/>
        <v>0.95803571428571455</v>
      </c>
      <c r="AG50" s="510"/>
    </row>
    <row r="51" spans="1:33" ht="15.75" customHeight="1">
      <c r="A51" s="513" t="s">
        <v>2306</v>
      </c>
      <c r="B51" s="42" t="s">
        <v>93</v>
      </c>
      <c r="C51" s="501" t="s">
        <v>110</v>
      </c>
      <c r="D51" s="502"/>
      <c r="E51" s="42">
        <v>26.78</v>
      </c>
      <c r="F51" s="395">
        <v>2814</v>
      </c>
      <c r="G51" s="384">
        <f t="shared" si="31"/>
        <v>75358.92</v>
      </c>
      <c r="H51" s="397" t="s">
        <v>79</v>
      </c>
      <c r="I51" s="393">
        <v>10</v>
      </c>
      <c r="J51" s="37">
        <v>3000</v>
      </c>
      <c r="K51" s="17">
        <f t="shared" si="1"/>
        <v>300</v>
      </c>
      <c r="L51" s="393">
        <v>10</v>
      </c>
      <c r="M51" s="18">
        <f t="shared" si="32"/>
        <v>2861.6949152542361</v>
      </c>
      <c r="N51" s="18">
        <f t="shared" si="3"/>
        <v>286.16949152542361</v>
      </c>
      <c r="O51" s="19">
        <f t="shared" si="4"/>
        <v>0</v>
      </c>
      <c r="P51" s="20">
        <f t="shared" si="5"/>
        <v>-13.830508474576391</v>
      </c>
      <c r="Q51" s="387">
        <f t="shared" si="6"/>
        <v>0.95389830508474538</v>
      </c>
      <c r="R51" s="510"/>
      <c r="S51" s="40">
        <v>0.32777777777777772</v>
      </c>
      <c r="T51" s="40">
        <v>0.36874999999999997</v>
      </c>
      <c r="U51" s="384">
        <f t="shared" si="34"/>
        <v>5.9999999999999787</v>
      </c>
      <c r="V51" s="394">
        <f t="shared" si="33"/>
        <v>59.000000000000028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-138.30508474576391</v>
      </c>
      <c r="AF51" s="387">
        <f t="shared" si="9"/>
        <v>0.95389830508474538</v>
      </c>
      <c r="AG51" s="510"/>
    </row>
    <row r="52" spans="1:33" ht="15.75" customHeight="1">
      <c r="A52" s="513" t="s">
        <v>2306</v>
      </c>
      <c r="B52" s="42" t="s">
        <v>93</v>
      </c>
      <c r="C52" s="501" t="s">
        <v>99</v>
      </c>
      <c r="D52" s="502"/>
      <c r="E52" s="42">
        <v>32.020000000000003</v>
      </c>
      <c r="F52" s="395">
        <v>2249</v>
      </c>
      <c r="G52" s="384">
        <f t="shared" si="31"/>
        <v>72012.98000000001</v>
      </c>
      <c r="H52" s="397" t="s">
        <v>79</v>
      </c>
      <c r="I52" s="393">
        <v>11</v>
      </c>
      <c r="J52" s="37">
        <v>3000</v>
      </c>
      <c r="K52" s="17">
        <f t="shared" si="1"/>
        <v>272.72727272727275</v>
      </c>
      <c r="L52" s="393">
        <v>11</v>
      </c>
      <c r="M52" s="18">
        <f t="shared" si="32"/>
        <v>2871.0638297872347</v>
      </c>
      <c r="N52" s="18">
        <f t="shared" si="3"/>
        <v>261.0058027079304</v>
      </c>
      <c r="O52" s="19">
        <f t="shared" si="4"/>
        <v>0</v>
      </c>
      <c r="P52" s="20">
        <f t="shared" si="5"/>
        <v>-11.721470019342348</v>
      </c>
      <c r="Q52" s="387">
        <f t="shared" si="6"/>
        <v>0.95702127659574476</v>
      </c>
      <c r="R52" s="510"/>
      <c r="S52" s="40">
        <v>0.3743055555555555</v>
      </c>
      <c r="T52" s="40">
        <v>0.40694444444444439</v>
      </c>
      <c r="U52" s="384">
        <f t="shared" si="34"/>
        <v>7.9999999999999716</v>
      </c>
      <c r="V52" s="394">
        <f t="shared" si="33"/>
        <v>46.999999999999993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-128.93617021276532</v>
      </c>
      <c r="AF52" s="387">
        <f t="shared" si="9"/>
        <v>0.95702127659574487</v>
      </c>
      <c r="AG52" s="510"/>
    </row>
    <row r="53" spans="1:33" ht="15.75" customHeight="1">
      <c r="A53" s="513" t="s">
        <v>2306</v>
      </c>
      <c r="B53" s="42" t="s">
        <v>93</v>
      </c>
      <c r="C53" s="501" t="s">
        <v>112</v>
      </c>
      <c r="D53" s="502"/>
      <c r="E53" s="42">
        <v>35.869999999999997</v>
      </c>
      <c r="F53" s="395">
        <v>3468</v>
      </c>
      <c r="G53" s="384">
        <f t="shared" si="31"/>
        <v>124397.15999999999</v>
      </c>
      <c r="H53" s="397" t="s">
        <v>79</v>
      </c>
      <c r="I53" s="393">
        <v>9</v>
      </c>
      <c r="J53" s="37">
        <v>3000</v>
      </c>
      <c r="K53" s="17">
        <f t="shared" si="1"/>
        <v>333.33333333333331</v>
      </c>
      <c r="L53" s="393">
        <v>9</v>
      </c>
      <c r="M53" s="18">
        <f t="shared" si="32"/>
        <v>2890.0000000000009</v>
      </c>
      <c r="N53" s="18">
        <f t="shared" si="3"/>
        <v>321.1111111111112</v>
      </c>
      <c r="O53" s="19">
        <f t="shared" si="4"/>
        <v>0</v>
      </c>
      <c r="P53" s="20">
        <f t="shared" si="5"/>
        <v>-12.222222222222115</v>
      </c>
      <c r="Q53" s="387">
        <f t="shared" si="6"/>
        <v>0.96333333333333371</v>
      </c>
      <c r="R53" s="510"/>
      <c r="S53" s="40">
        <v>0.41111111111111104</v>
      </c>
      <c r="T53" s="40">
        <v>0.46111111111111103</v>
      </c>
      <c r="U53" s="384">
        <f t="shared" si="34"/>
        <v>5.9999999999999787</v>
      </c>
      <c r="V53" s="394">
        <f t="shared" si="33"/>
        <v>71.999999999999986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-109.99999999999909</v>
      </c>
      <c r="AF53" s="387">
        <f t="shared" si="9"/>
        <v>0.9633333333333336</v>
      </c>
      <c r="AG53" s="510"/>
    </row>
    <row r="54" spans="1:33" ht="15.75" customHeight="1">
      <c r="A54" s="513" t="s">
        <v>2306</v>
      </c>
      <c r="B54" s="42" t="s">
        <v>93</v>
      </c>
      <c r="C54" s="501" t="s">
        <v>1778</v>
      </c>
      <c r="D54" s="502"/>
      <c r="E54" s="42">
        <v>44.03</v>
      </c>
      <c r="F54" s="395">
        <v>1836</v>
      </c>
      <c r="G54" s="384">
        <f t="shared" si="31"/>
        <v>80839.08</v>
      </c>
      <c r="H54" s="397" t="s">
        <v>79</v>
      </c>
      <c r="I54" s="393">
        <v>10</v>
      </c>
      <c r="J54" s="37">
        <v>3000</v>
      </c>
      <c r="K54" s="17">
        <f t="shared" si="1"/>
        <v>300</v>
      </c>
      <c r="L54" s="393">
        <v>10</v>
      </c>
      <c r="M54" s="18">
        <f t="shared" si="32"/>
        <v>2898.9473684210507</v>
      </c>
      <c r="N54" s="18">
        <f t="shared" si="3"/>
        <v>289.89473684210509</v>
      </c>
      <c r="O54" s="19">
        <f t="shared" si="4"/>
        <v>0</v>
      </c>
      <c r="P54" s="20">
        <f t="shared" si="5"/>
        <v>-10.10526315789491</v>
      </c>
      <c r="Q54" s="387">
        <f t="shared" si="6"/>
        <v>0.96631578947368368</v>
      </c>
      <c r="R54" s="510"/>
      <c r="S54" s="40">
        <v>0.46666666666666656</v>
      </c>
      <c r="T54" s="40">
        <v>0.49305555555555547</v>
      </c>
      <c r="U54" s="384">
        <f t="shared" si="34"/>
        <v>7.9999999999999716</v>
      </c>
      <c r="V54" s="394">
        <f t="shared" si="33"/>
        <v>38.000000000000028</v>
      </c>
      <c r="W54" s="23">
        <f>T54</f>
        <v>0.49305555555555547</v>
      </c>
      <c r="X54" s="23">
        <f>S55</f>
        <v>0.53402777777777766</v>
      </c>
      <c r="Y54" s="26"/>
      <c r="Z54" s="26"/>
      <c r="AA54" s="503"/>
      <c r="AB54" s="504"/>
      <c r="AC54" s="154" t="s">
        <v>79</v>
      </c>
      <c r="AD54" s="25"/>
      <c r="AE54" s="19">
        <f t="shared" si="8"/>
        <v>-101.05263157894933</v>
      </c>
      <c r="AF54" s="387">
        <f t="shared" si="9"/>
        <v>0.96631578947368357</v>
      </c>
      <c r="AG54" s="510"/>
    </row>
    <row r="55" spans="1:33" ht="15.75" customHeight="1">
      <c r="A55" s="513" t="s">
        <v>2306</v>
      </c>
      <c r="B55" s="42" t="s">
        <v>93</v>
      </c>
      <c r="C55" s="501" t="s">
        <v>95</v>
      </c>
      <c r="D55" s="502"/>
      <c r="E55" s="42">
        <v>27.17</v>
      </c>
      <c r="F55" s="395">
        <v>2620</v>
      </c>
      <c r="G55" s="384">
        <f t="shared" si="31"/>
        <v>71185.400000000009</v>
      </c>
      <c r="H55" s="397" t="s">
        <v>79</v>
      </c>
      <c r="I55" s="393">
        <v>10</v>
      </c>
      <c r="J55" s="37">
        <v>3000</v>
      </c>
      <c r="K55" s="17">
        <f t="shared" si="1"/>
        <v>300</v>
      </c>
      <c r="L55" s="393">
        <v>10</v>
      </c>
      <c r="M55" s="18">
        <f t="shared" si="32"/>
        <v>2858.1818181818203</v>
      </c>
      <c r="N55" s="18">
        <f t="shared" si="3"/>
        <v>285.81818181818204</v>
      </c>
      <c r="O55" s="19">
        <f t="shared" si="4"/>
        <v>0</v>
      </c>
      <c r="P55" s="20">
        <f t="shared" si="5"/>
        <v>-14.18181818181796</v>
      </c>
      <c r="Q55" s="387">
        <f t="shared" si="6"/>
        <v>0.95272727272727342</v>
      </c>
      <c r="R55" s="510"/>
      <c r="S55" s="40">
        <v>0.53402777777777766</v>
      </c>
      <c r="T55" s="40">
        <v>0.57222222222222208</v>
      </c>
      <c r="U55" s="384">
        <f t="shared" si="34"/>
        <v>58.99999999999995</v>
      </c>
      <c r="V55" s="394">
        <f t="shared" si="33"/>
        <v>54.999999999999964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-141.81818181817971</v>
      </c>
      <c r="AF55" s="387">
        <f t="shared" si="9"/>
        <v>0.95272727272727342</v>
      </c>
      <c r="AG55" s="510"/>
    </row>
    <row r="56" spans="1:33" ht="15.75" customHeight="1">
      <c r="A56" s="514" t="s">
        <v>2306</v>
      </c>
      <c r="B56" s="42" t="s">
        <v>2298</v>
      </c>
      <c r="C56" s="492"/>
      <c r="D56" s="493"/>
      <c r="E56" s="385"/>
      <c r="F56" s="395"/>
      <c r="G56" s="384"/>
      <c r="H56" s="395"/>
      <c r="I56" s="30">
        <v>10</v>
      </c>
      <c r="J56" s="37">
        <v>3000</v>
      </c>
      <c r="K56" s="17">
        <f t="shared" si="1"/>
        <v>300</v>
      </c>
      <c r="L56" s="30">
        <v>10</v>
      </c>
      <c r="M56" s="18">
        <f>AVERAGE(M48:M55)</f>
        <v>2873.0372631005644</v>
      </c>
      <c r="N56" s="17">
        <f t="shared" si="3"/>
        <v>287.30372631005645</v>
      </c>
      <c r="O56" s="19">
        <f t="shared" si="4"/>
        <v>0</v>
      </c>
      <c r="P56" s="20">
        <f t="shared" si="5"/>
        <v>-12.696273689943553</v>
      </c>
      <c r="Q56" s="387">
        <f t="shared" si="6"/>
        <v>0.95767908770018817</v>
      </c>
      <c r="R56" s="511"/>
      <c r="S56" s="40"/>
      <c r="T56" s="40"/>
      <c r="U56" s="384"/>
      <c r="V56" s="394"/>
      <c r="W56" s="23"/>
      <c r="X56" s="23"/>
      <c r="Y56" s="31">
        <f>SUM(Y48:Y55)</f>
        <v>0</v>
      </c>
      <c r="Z56" s="31">
        <f>SUM(Z48:Z55)</f>
        <v>0</v>
      </c>
      <c r="AA56" s="505"/>
      <c r="AB56" s="506"/>
      <c r="AC56" s="31">
        <f>SUM(AC48:AC55)</f>
        <v>1</v>
      </c>
      <c r="AD56" s="31">
        <f>SUM(AD48:AD55)</f>
        <v>0</v>
      </c>
      <c r="AE56" s="19">
        <f t="shared" si="8"/>
        <v>-126.96273689943564</v>
      </c>
      <c r="AF56" s="387">
        <f t="shared" si="9"/>
        <v>0.95767908770018817</v>
      </c>
      <c r="AG56" s="511"/>
    </row>
    <row r="57" spans="1:33" ht="15.75" customHeight="1">
      <c r="A57" s="507" t="s">
        <v>2307</v>
      </c>
      <c r="B57" s="42" t="s">
        <v>100</v>
      </c>
      <c r="C57" s="490" t="s">
        <v>101</v>
      </c>
      <c r="D57" s="490"/>
      <c r="E57" s="42">
        <v>46</v>
      </c>
      <c r="F57" s="46">
        <v>1724</v>
      </c>
      <c r="G57" s="384">
        <f t="shared" ref="G57:G66" si="35">E57*F57</f>
        <v>79304</v>
      </c>
      <c r="H57" s="397" t="s">
        <v>79</v>
      </c>
      <c r="I57" s="393">
        <v>17</v>
      </c>
      <c r="J57" s="37">
        <v>2000</v>
      </c>
      <c r="K57" s="17">
        <f t="shared" si="1"/>
        <v>117.64705882352941</v>
      </c>
      <c r="L57" s="393">
        <v>17</v>
      </c>
      <c r="M57" s="18">
        <f t="shared" ref="M57:M66" si="36">F57/V57*60</f>
        <v>1915.5555555555552</v>
      </c>
      <c r="N57" s="18">
        <f t="shared" si="3"/>
        <v>112.67973856209149</v>
      </c>
      <c r="O57" s="19">
        <f t="shared" si="4"/>
        <v>0</v>
      </c>
      <c r="P57" s="20">
        <f t="shared" si="5"/>
        <v>-4.9673202614379193</v>
      </c>
      <c r="Q57" s="387">
        <f t="shared" si="6"/>
        <v>0.95777777777777773</v>
      </c>
      <c r="R57" s="489">
        <f>Q67</f>
        <v>0.93938069645175004</v>
      </c>
      <c r="S57" s="40">
        <v>0.20833333333333334</v>
      </c>
      <c r="T57" s="40">
        <v>0.24583333333333335</v>
      </c>
      <c r="U57" s="28"/>
      <c r="V57" s="394">
        <f t="shared" ref="V57:V66" si="37">(T57-S57)*24*60</f>
        <v>54.000000000000007</v>
      </c>
      <c r="W57" s="28"/>
      <c r="X57" s="28"/>
      <c r="Y57" s="28"/>
      <c r="Z57" s="28"/>
      <c r="AA57" s="491"/>
      <c r="AB57" s="491"/>
      <c r="AC57" s="154">
        <v>5</v>
      </c>
      <c r="AD57" s="25"/>
      <c r="AE57" s="19">
        <f t="shared" si="8"/>
        <v>-84.444444444444798</v>
      </c>
      <c r="AF57" s="387">
        <f t="shared" si="9"/>
        <v>0.95777777777777762</v>
      </c>
      <c r="AG57" s="489">
        <f>AF67</f>
        <v>0.93938069645175004</v>
      </c>
    </row>
    <row r="58" spans="1:33" ht="15.75" customHeight="1">
      <c r="A58" s="507" t="s">
        <v>2307</v>
      </c>
      <c r="B58" s="42" t="s">
        <v>100</v>
      </c>
      <c r="C58" s="490" t="s">
        <v>102</v>
      </c>
      <c r="D58" s="490"/>
      <c r="E58" s="42">
        <v>46</v>
      </c>
      <c r="F58" s="46">
        <v>1795</v>
      </c>
      <c r="G58" s="384">
        <f t="shared" si="35"/>
        <v>82570</v>
      </c>
      <c r="H58" s="397" t="s">
        <v>79</v>
      </c>
      <c r="I58" s="393">
        <v>17</v>
      </c>
      <c r="J58" s="37">
        <v>2000</v>
      </c>
      <c r="K58" s="17">
        <f t="shared" si="1"/>
        <v>117.64705882352941</v>
      </c>
      <c r="L58" s="393">
        <v>17</v>
      </c>
      <c r="M58" s="18">
        <f t="shared" si="36"/>
        <v>1923.2142857142871</v>
      </c>
      <c r="N58" s="18">
        <f t="shared" si="3"/>
        <v>113.13025210084042</v>
      </c>
      <c r="O58" s="19">
        <f t="shared" si="4"/>
        <v>0</v>
      </c>
      <c r="P58" s="20">
        <f t="shared" si="5"/>
        <v>-4.5168067226889832</v>
      </c>
      <c r="Q58" s="387">
        <f t="shared" si="6"/>
        <v>0.96160714285714366</v>
      </c>
      <c r="R58" s="489"/>
      <c r="S58" s="40">
        <v>0.24930555555555556</v>
      </c>
      <c r="T58" s="40">
        <v>0.28819444444444442</v>
      </c>
      <c r="U58" s="384">
        <f t="shared" ref="U58:U66" si="38">IF(S58=TIME(17,0,0),"",(S58-T57)*24*60)</f>
        <v>4.9999999999999822</v>
      </c>
      <c r="V58" s="394">
        <f t="shared" si="37"/>
        <v>55.999999999999957</v>
      </c>
      <c r="W58" s="23"/>
      <c r="X58" s="23"/>
      <c r="Y58" s="23"/>
      <c r="Z58" s="23"/>
      <c r="AA58" s="491"/>
      <c r="AB58" s="491"/>
      <c r="AC58" s="154"/>
      <c r="AD58" s="25"/>
      <c r="AE58" s="19">
        <f t="shared" si="8"/>
        <v>-76.785714285712857</v>
      </c>
      <c r="AF58" s="387">
        <f t="shared" si="9"/>
        <v>0.96160714285714355</v>
      </c>
      <c r="AG58" s="489"/>
    </row>
    <row r="59" spans="1:33" ht="15.75" customHeight="1">
      <c r="A59" s="507" t="s">
        <v>2307</v>
      </c>
      <c r="B59" s="42" t="s">
        <v>103</v>
      </c>
      <c r="C59" s="501" t="s">
        <v>105</v>
      </c>
      <c r="D59" s="502"/>
      <c r="E59" s="42">
        <v>56.43</v>
      </c>
      <c r="F59" s="46">
        <v>2036</v>
      </c>
      <c r="G59" s="384">
        <f t="shared" si="35"/>
        <v>114891.48</v>
      </c>
      <c r="H59" s="397" t="s">
        <v>79</v>
      </c>
      <c r="I59" s="393">
        <v>22</v>
      </c>
      <c r="J59" s="37">
        <v>2000</v>
      </c>
      <c r="K59" s="17">
        <f t="shared" si="1"/>
        <v>90.909090909090907</v>
      </c>
      <c r="L59" s="393">
        <v>22</v>
      </c>
      <c r="M59" s="18">
        <f t="shared" si="36"/>
        <v>1770.4347826086955</v>
      </c>
      <c r="N59" s="18">
        <f t="shared" si="3"/>
        <v>80.474308300395251</v>
      </c>
      <c r="O59" s="19">
        <f t="shared" si="4"/>
        <v>0</v>
      </c>
      <c r="P59" s="20">
        <f t="shared" si="5"/>
        <v>-10.434782608695656</v>
      </c>
      <c r="Q59" s="387">
        <f t="shared" si="6"/>
        <v>0.88521739130434773</v>
      </c>
      <c r="R59" s="489"/>
      <c r="S59" s="40">
        <v>0.29236111111111107</v>
      </c>
      <c r="T59" s="40">
        <v>0.34027777777777773</v>
      </c>
      <c r="U59" s="384">
        <f t="shared" si="38"/>
        <v>5.9999999999999787</v>
      </c>
      <c r="V59" s="394">
        <f t="shared" si="37"/>
        <v>69</v>
      </c>
      <c r="W59" s="23"/>
      <c r="X59" s="23"/>
      <c r="Y59" s="26"/>
      <c r="Z59" s="26"/>
      <c r="AA59" s="491"/>
      <c r="AB59" s="491"/>
      <c r="AC59" s="154"/>
      <c r="AD59" s="25"/>
      <c r="AE59" s="19">
        <f t="shared" si="8"/>
        <v>-229.56521739130449</v>
      </c>
      <c r="AF59" s="387">
        <f t="shared" si="9"/>
        <v>0.88521739130434773</v>
      </c>
      <c r="AG59" s="489"/>
    </row>
    <row r="60" spans="1:33" ht="15.75" customHeight="1">
      <c r="A60" s="507" t="s">
        <v>2307</v>
      </c>
      <c r="B60" s="42" t="s">
        <v>103</v>
      </c>
      <c r="C60" s="389" t="s">
        <v>518</v>
      </c>
      <c r="D60" s="390"/>
      <c r="E60" s="42">
        <v>51.75</v>
      </c>
      <c r="F60" s="46">
        <v>2010</v>
      </c>
      <c r="G60" s="384">
        <f t="shared" si="35"/>
        <v>104017.5</v>
      </c>
      <c r="H60" s="397" t="s">
        <v>79</v>
      </c>
      <c r="I60" s="393">
        <v>25</v>
      </c>
      <c r="J60" s="37">
        <v>2000</v>
      </c>
      <c r="K60" s="17">
        <f t="shared" si="1"/>
        <v>80</v>
      </c>
      <c r="L60" s="393">
        <v>25</v>
      </c>
      <c r="M60" s="18">
        <f t="shared" si="36"/>
        <v>1698.5915492957749</v>
      </c>
      <c r="N60" s="18">
        <f t="shared" si="3"/>
        <v>67.943661971830991</v>
      </c>
      <c r="O60" s="19">
        <f t="shared" si="4"/>
        <v>0</v>
      </c>
      <c r="P60" s="20">
        <f t="shared" si="5"/>
        <v>-12.056338028169009</v>
      </c>
      <c r="Q60" s="387">
        <f t="shared" si="6"/>
        <v>0.84929577464788741</v>
      </c>
      <c r="R60" s="489"/>
      <c r="S60" s="40">
        <v>0.34374999999999994</v>
      </c>
      <c r="T60" s="40">
        <v>0.39305555555555549</v>
      </c>
      <c r="U60" s="384">
        <f t="shared" si="38"/>
        <v>4.9999999999999822</v>
      </c>
      <c r="V60" s="394">
        <f t="shared" si="37"/>
        <v>70.999999999999986</v>
      </c>
      <c r="W60" s="23"/>
      <c r="X60" s="23"/>
      <c r="Y60" s="26"/>
      <c r="Z60" s="26"/>
      <c r="AA60" s="491"/>
      <c r="AB60" s="491"/>
      <c r="AC60" s="154"/>
      <c r="AD60" s="25"/>
      <c r="AE60" s="19">
        <f t="shared" si="8"/>
        <v>-301.40845070422506</v>
      </c>
      <c r="AF60" s="387">
        <f t="shared" si="9"/>
        <v>0.84929577464788752</v>
      </c>
      <c r="AG60" s="489"/>
    </row>
    <row r="61" spans="1:33" ht="15.75" customHeight="1">
      <c r="A61" s="507" t="s">
        <v>2307</v>
      </c>
      <c r="B61" s="42" t="s">
        <v>103</v>
      </c>
      <c r="C61" s="389" t="s">
        <v>1781</v>
      </c>
      <c r="D61" s="390"/>
      <c r="E61" s="42">
        <v>54.09</v>
      </c>
      <c r="F61" s="46">
        <v>2053</v>
      </c>
      <c r="G61" s="384">
        <f t="shared" si="35"/>
        <v>111046.77</v>
      </c>
      <c r="H61" s="397" t="s">
        <v>79</v>
      </c>
      <c r="I61" s="393">
        <v>19</v>
      </c>
      <c r="J61" s="37">
        <v>1700</v>
      </c>
      <c r="K61" s="17">
        <f t="shared" si="1"/>
        <v>89.473684210526315</v>
      </c>
      <c r="L61" s="393">
        <v>19</v>
      </c>
      <c r="M61" s="18">
        <f t="shared" si="36"/>
        <v>1620.7894736842111</v>
      </c>
      <c r="N61" s="18">
        <f t="shared" si="3"/>
        <v>85.304709141274273</v>
      </c>
      <c r="O61" s="19">
        <f t="shared" si="4"/>
        <v>0</v>
      </c>
      <c r="P61" s="20">
        <f t="shared" si="5"/>
        <v>-4.168975069252042</v>
      </c>
      <c r="Q61" s="387">
        <f t="shared" si="6"/>
        <v>0.95340557275541837</v>
      </c>
      <c r="R61" s="489"/>
      <c r="S61" s="40">
        <v>0.39791666666666659</v>
      </c>
      <c r="T61" s="40">
        <v>0.45069444444444434</v>
      </c>
      <c r="U61" s="384">
        <f t="shared" si="38"/>
        <v>6.9999999999999751</v>
      </c>
      <c r="V61" s="394">
        <f t="shared" si="37"/>
        <v>75.999999999999972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-79.210526315788911</v>
      </c>
      <c r="AF61" s="387">
        <f t="shared" si="9"/>
        <v>0.95340557275541826</v>
      </c>
      <c r="AG61" s="489"/>
    </row>
    <row r="62" spans="1:33" ht="15.75" customHeight="1">
      <c r="A62" s="507" t="s">
        <v>2307</v>
      </c>
      <c r="B62" s="42" t="s">
        <v>103</v>
      </c>
      <c r="C62" s="501" t="s">
        <v>106</v>
      </c>
      <c r="D62" s="502"/>
      <c r="E62" s="42">
        <v>55.56</v>
      </c>
      <c r="F62" s="46">
        <v>1945</v>
      </c>
      <c r="G62" s="384">
        <f t="shared" si="35"/>
        <v>108064.20000000001</v>
      </c>
      <c r="H62" s="397" t="s">
        <v>79</v>
      </c>
      <c r="I62" s="393">
        <v>17</v>
      </c>
      <c r="J62" s="37">
        <v>2000</v>
      </c>
      <c r="K62" s="17">
        <f t="shared" si="1"/>
        <v>117.64705882352941</v>
      </c>
      <c r="L62" s="393">
        <v>17</v>
      </c>
      <c r="M62" s="18">
        <f t="shared" si="36"/>
        <v>1913.1147540983623</v>
      </c>
      <c r="N62" s="18">
        <f t="shared" si="3"/>
        <v>112.53616200578601</v>
      </c>
      <c r="O62" s="19">
        <f t="shared" si="4"/>
        <v>0</v>
      </c>
      <c r="P62" s="20">
        <f t="shared" si="5"/>
        <v>-5.1108968177433951</v>
      </c>
      <c r="Q62" s="387">
        <f t="shared" si="6"/>
        <v>0.95655737704918109</v>
      </c>
      <c r="R62" s="489"/>
      <c r="S62" s="40">
        <v>0.70833333333333337</v>
      </c>
      <c r="T62" s="40">
        <v>0.75069444444444444</v>
      </c>
      <c r="U62" s="384" t="str">
        <f t="shared" si="38"/>
        <v/>
      </c>
      <c r="V62" s="394">
        <f t="shared" si="37"/>
        <v>60.999999999999943</v>
      </c>
      <c r="W62" s="23"/>
      <c r="X62" s="23"/>
      <c r="Y62" s="26"/>
      <c r="Z62" s="26"/>
      <c r="AA62" s="503"/>
      <c r="AB62" s="504"/>
      <c r="AC62" s="154"/>
      <c r="AD62" s="25"/>
      <c r="AE62" s="19">
        <f t="shared" si="8"/>
        <v>-86.885245901637745</v>
      </c>
      <c r="AF62" s="387">
        <f t="shared" si="9"/>
        <v>0.95655737704918109</v>
      </c>
      <c r="AG62" s="489"/>
    </row>
    <row r="63" spans="1:33" ht="15.75" customHeight="1">
      <c r="A63" s="507" t="s">
        <v>2307</v>
      </c>
      <c r="B63" s="42" t="s">
        <v>103</v>
      </c>
      <c r="C63" s="501" t="s">
        <v>107</v>
      </c>
      <c r="D63" s="502"/>
      <c r="E63" s="42">
        <v>55.32</v>
      </c>
      <c r="F63" s="46">
        <v>1468</v>
      </c>
      <c r="G63" s="384">
        <f t="shared" si="35"/>
        <v>81209.759999999995</v>
      </c>
      <c r="H63" s="397" t="s">
        <v>79</v>
      </c>
      <c r="I63" s="393">
        <v>15</v>
      </c>
      <c r="J63" s="37">
        <v>2000</v>
      </c>
      <c r="K63" s="17">
        <f t="shared" si="1"/>
        <v>133.33333333333334</v>
      </c>
      <c r="L63" s="393">
        <v>15</v>
      </c>
      <c r="M63" s="18">
        <f t="shared" si="36"/>
        <v>1914.7826086956522</v>
      </c>
      <c r="N63" s="18">
        <f t="shared" si="3"/>
        <v>127.65217391304348</v>
      </c>
      <c r="O63" s="19">
        <f t="shared" si="4"/>
        <v>0</v>
      </c>
      <c r="P63" s="20">
        <f t="shared" si="5"/>
        <v>-5.681159420289859</v>
      </c>
      <c r="Q63" s="387">
        <f t="shared" si="6"/>
        <v>0.95739130434782604</v>
      </c>
      <c r="R63" s="489"/>
      <c r="S63" s="40">
        <v>0.75624999999999998</v>
      </c>
      <c r="T63" s="40">
        <v>0.78819444444444442</v>
      </c>
      <c r="U63" s="384">
        <f t="shared" si="38"/>
        <v>7.9999999999999716</v>
      </c>
      <c r="V63" s="394">
        <f t="shared" si="37"/>
        <v>46</v>
      </c>
      <c r="W63" s="23"/>
      <c r="X63" s="23"/>
      <c r="Y63" s="26"/>
      <c r="Z63" s="26"/>
      <c r="AA63" s="503"/>
      <c r="AB63" s="504"/>
      <c r="AC63" s="154"/>
      <c r="AD63" s="25"/>
      <c r="AE63" s="19">
        <f t="shared" si="8"/>
        <v>-85.217391304347757</v>
      </c>
      <c r="AF63" s="387">
        <f t="shared" si="9"/>
        <v>0.95739130434782616</v>
      </c>
      <c r="AG63" s="489"/>
    </row>
    <row r="64" spans="1:33" ht="15.75" customHeight="1">
      <c r="A64" s="507" t="s">
        <v>2307</v>
      </c>
      <c r="B64" s="42" t="s">
        <v>103</v>
      </c>
      <c r="C64" s="501" t="s">
        <v>108</v>
      </c>
      <c r="D64" s="502"/>
      <c r="E64" s="42">
        <v>54.29</v>
      </c>
      <c r="F64" s="46">
        <v>800</v>
      </c>
      <c r="G64" s="384">
        <f t="shared" si="35"/>
        <v>43432</v>
      </c>
      <c r="H64" s="397">
        <v>2</v>
      </c>
      <c r="I64" s="393">
        <v>20</v>
      </c>
      <c r="J64" s="37">
        <v>2000</v>
      </c>
      <c r="K64" s="17">
        <f t="shared" si="1"/>
        <v>100</v>
      </c>
      <c r="L64" s="393">
        <v>20</v>
      </c>
      <c r="M64" s="18">
        <f t="shared" si="36"/>
        <v>1919.9999999999945</v>
      </c>
      <c r="N64" s="18">
        <f t="shared" si="3"/>
        <v>95.99999999999973</v>
      </c>
      <c r="O64" s="19">
        <f t="shared" si="4"/>
        <v>0</v>
      </c>
      <c r="P64" s="20">
        <f t="shared" si="5"/>
        <v>-4.00000000000027</v>
      </c>
      <c r="Q64" s="387">
        <f t="shared" si="6"/>
        <v>0.9599999999999973</v>
      </c>
      <c r="R64" s="489"/>
      <c r="S64" s="40">
        <v>0.79236111111111107</v>
      </c>
      <c r="T64" s="40">
        <v>0.80972222222222223</v>
      </c>
      <c r="U64" s="384">
        <f t="shared" si="38"/>
        <v>5.9999999999999787</v>
      </c>
      <c r="V64" s="394">
        <f t="shared" si="37"/>
        <v>25.000000000000071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-80.000000000005457</v>
      </c>
      <c r="AF64" s="387">
        <f t="shared" si="9"/>
        <v>0.9599999999999973</v>
      </c>
      <c r="AG64" s="489"/>
    </row>
    <row r="65" spans="1:33">
      <c r="A65" s="507" t="s">
        <v>2307</v>
      </c>
      <c r="B65" s="42" t="s">
        <v>103</v>
      </c>
      <c r="C65" s="501" t="s">
        <v>141</v>
      </c>
      <c r="D65" s="502"/>
      <c r="E65" s="42">
        <v>57.73</v>
      </c>
      <c r="F65" s="46">
        <v>1130</v>
      </c>
      <c r="G65" s="384">
        <f t="shared" si="35"/>
        <v>65234.899999999994</v>
      </c>
      <c r="H65" s="397" t="s">
        <v>79</v>
      </c>
      <c r="I65" s="393">
        <v>16</v>
      </c>
      <c r="J65" s="37">
        <v>1500</v>
      </c>
      <c r="K65" s="17">
        <f t="shared" si="1"/>
        <v>93.75</v>
      </c>
      <c r="L65" s="393">
        <v>16</v>
      </c>
      <c r="M65" s="18">
        <f t="shared" si="36"/>
        <v>1442.5531914893618</v>
      </c>
      <c r="N65" s="18">
        <f t="shared" si="3"/>
        <v>90.159574468085111</v>
      </c>
      <c r="O65" s="19">
        <f t="shared" si="4"/>
        <v>0</v>
      </c>
      <c r="P65" s="20">
        <f t="shared" si="5"/>
        <v>-3.5904255319148888</v>
      </c>
      <c r="Q65" s="387">
        <f t="shared" si="6"/>
        <v>0.96170212765957452</v>
      </c>
      <c r="R65" s="489"/>
      <c r="S65" s="40">
        <v>0.81458333333333333</v>
      </c>
      <c r="T65" s="40">
        <v>0.84722222222222221</v>
      </c>
      <c r="U65" s="384">
        <f t="shared" si="38"/>
        <v>6.9999999999999751</v>
      </c>
      <c r="V65" s="394">
        <f t="shared" si="37"/>
        <v>46.999999999999993</v>
      </c>
      <c r="W65" s="23">
        <f>T65</f>
        <v>0.84722222222222221</v>
      </c>
      <c r="X65" s="23">
        <f>S66</f>
        <v>0.88749999999999996</v>
      </c>
      <c r="Y65" s="26"/>
      <c r="Z65" s="26"/>
      <c r="AA65" s="503"/>
      <c r="AB65" s="504"/>
      <c r="AC65" s="154"/>
      <c r="AD65" s="25"/>
      <c r="AE65" s="19">
        <f t="shared" si="8"/>
        <v>-57.44680851063822</v>
      </c>
      <c r="AF65" s="387">
        <f t="shared" si="9"/>
        <v>0.96170212765957452</v>
      </c>
      <c r="AG65" s="489"/>
    </row>
    <row r="66" spans="1:33">
      <c r="A66" s="507" t="s">
        <v>2307</v>
      </c>
      <c r="B66" s="42" t="s">
        <v>103</v>
      </c>
      <c r="C66" s="501" t="s">
        <v>108</v>
      </c>
      <c r="D66" s="502"/>
      <c r="E66" s="42">
        <v>54.29</v>
      </c>
      <c r="F66" s="46">
        <v>1310</v>
      </c>
      <c r="G66" s="384">
        <f t="shared" si="35"/>
        <v>71119.899999999994</v>
      </c>
      <c r="H66" s="397" t="s">
        <v>79</v>
      </c>
      <c r="I66" s="393">
        <v>20</v>
      </c>
      <c r="J66" s="37">
        <v>2000</v>
      </c>
      <c r="K66" s="17">
        <f t="shared" si="1"/>
        <v>100</v>
      </c>
      <c r="L66" s="393">
        <v>20</v>
      </c>
      <c r="M66" s="18">
        <f t="shared" si="36"/>
        <v>1917.0731707317066</v>
      </c>
      <c r="N66" s="18">
        <f t="shared" si="3"/>
        <v>95.853658536585328</v>
      </c>
      <c r="O66" s="19">
        <f t="shared" si="4"/>
        <v>0</v>
      </c>
      <c r="P66" s="20">
        <f t="shared" si="5"/>
        <v>-4.1463414634146716</v>
      </c>
      <c r="Q66" s="387">
        <f t="shared" si="6"/>
        <v>0.95853658536585329</v>
      </c>
      <c r="R66" s="489"/>
      <c r="S66" s="40">
        <v>0.88749999999999996</v>
      </c>
      <c r="T66" s="40">
        <v>0.91597222222222219</v>
      </c>
      <c r="U66" s="384">
        <f t="shared" si="38"/>
        <v>57.999999999999957</v>
      </c>
      <c r="V66" s="394">
        <f t="shared" si="37"/>
        <v>41.000000000000014</v>
      </c>
      <c r="W66" s="23"/>
      <c r="X66" s="23"/>
      <c r="Y66" s="26"/>
      <c r="Z66" s="26"/>
      <c r="AA66" s="503"/>
      <c r="AB66" s="504"/>
      <c r="AC66" s="154"/>
      <c r="AD66" s="25"/>
      <c r="AE66" s="19">
        <f t="shared" si="8"/>
        <v>-82.926829268293432</v>
      </c>
      <c r="AF66" s="387">
        <f t="shared" si="9"/>
        <v>0.95853658536585329</v>
      </c>
      <c r="AG66" s="489"/>
    </row>
    <row r="67" spans="1:33">
      <c r="A67" s="508" t="s">
        <v>2307</v>
      </c>
      <c r="B67" s="42" t="s">
        <v>2298</v>
      </c>
      <c r="C67" s="494"/>
      <c r="D67" s="494"/>
      <c r="E67" s="388"/>
      <c r="F67" s="44"/>
      <c r="G67" s="17"/>
      <c r="H67" s="395"/>
      <c r="I67" s="30">
        <v>18.8</v>
      </c>
      <c r="J67" s="37">
        <v>1920</v>
      </c>
      <c r="K67" s="17">
        <f t="shared" si="1"/>
        <v>102.12765957446808</v>
      </c>
      <c r="L67" s="30">
        <v>18.8</v>
      </c>
      <c r="M67" s="18">
        <f>AVERAGE(M57:M66)</f>
        <v>1803.6109371873602</v>
      </c>
      <c r="N67" s="17">
        <f t="shared" si="3"/>
        <v>95.936751978051063</v>
      </c>
      <c r="O67" s="19">
        <f t="shared" si="4"/>
        <v>0</v>
      </c>
      <c r="P67" s="20">
        <f t="shared" si="5"/>
        <v>-6.1909075964170199</v>
      </c>
      <c r="Q67" s="387">
        <f t="shared" si="6"/>
        <v>0.93938069645175004</v>
      </c>
      <c r="R67" s="489"/>
      <c r="S67" s="41"/>
      <c r="T67" s="40"/>
      <c r="U67" s="17"/>
      <c r="V67" s="394"/>
      <c r="W67" s="17"/>
      <c r="X67" s="17"/>
      <c r="Y67" s="31">
        <f>SUM(Y57:Y66)</f>
        <v>0</v>
      </c>
      <c r="Z67" s="31">
        <f>SUM(Z57:Z66)</f>
        <v>0</v>
      </c>
      <c r="AA67" s="495"/>
      <c r="AB67" s="495"/>
      <c r="AC67" s="31">
        <f>SUM(AC57:AC66)</f>
        <v>5</v>
      </c>
      <c r="AD67" s="31">
        <f>SUM(AD57:AD66)</f>
        <v>0</v>
      </c>
      <c r="AE67" s="19">
        <f t="shared" si="8"/>
        <v>-116.38906281263985</v>
      </c>
      <c r="AF67" s="387">
        <f t="shared" si="9"/>
        <v>0.93938069645175004</v>
      </c>
      <c r="AG67" s="489"/>
    </row>
    <row r="68" spans="1:33" ht="15.75" customHeight="1">
      <c r="A68" s="499" t="s">
        <v>2308</v>
      </c>
      <c r="B68" s="395" t="s">
        <v>100</v>
      </c>
      <c r="C68" s="490" t="s">
        <v>109</v>
      </c>
      <c r="D68" s="490"/>
      <c r="E68" s="42">
        <v>26.97</v>
      </c>
      <c r="F68" s="46">
        <v>2536</v>
      </c>
      <c r="G68" s="384">
        <f t="shared" ref="G68:G72" si="39">E68*F68</f>
        <v>68395.92</v>
      </c>
      <c r="H68" s="397" t="s">
        <v>79</v>
      </c>
      <c r="I68" s="393">
        <v>8</v>
      </c>
      <c r="J68" s="37">
        <v>1500</v>
      </c>
      <c r="K68" s="17">
        <f t="shared" si="1"/>
        <v>187.5</v>
      </c>
      <c r="L68" s="393">
        <v>8</v>
      </c>
      <c r="M68" s="18">
        <f t="shared" ref="M68:M72" si="40">F68/V68*60</f>
        <v>1435.4716981132078</v>
      </c>
      <c r="N68" s="17">
        <f t="shared" si="3"/>
        <v>179.43396226415098</v>
      </c>
      <c r="O68" s="19">
        <f t="shared" si="4"/>
        <v>0</v>
      </c>
      <c r="P68" s="20">
        <f t="shared" si="5"/>
        <v>-8.0660377358490223</v>
      </c>
      <c r="Q68" s="387">
        <f t="shared" si="6"/>
        <v>0.95698113207547186</v>
      </c>
      <c r="R68" s="489">
        <f>Q73</f>
        <v>0.9606431823781616</v>
      </c>
      <c r="S68" s="40">
        <v>0.20833333333333334</v>
      </c>
      <c r="T68" s="40">
        <v>0.28194444444444444</v>
      </c>
      <c r="U68" s="384"/>
      <c r="V68" s="394">
        <f t="shared" ref="V68:V72" si="41">(T68-S68)*24*60</f>
        <v>105.99999999999999</v>
      </c>
      <c r="W68" s="28"/>
      <c r="X68" s="28"/>
      <c r="Y68" s="28"/>
      <c r="Z68" s="28"/>
      <c r="AA68" s="491"/>
      <c r="AB68" s="491"/>
      <c r="AC68" s="154">
        <v>1</v>
      </c>
      <c r="AD68" s="25"/>
      <c r="AE68" s="19">
        <f t="shared" si="8"/>
        <v>-64.528301886792178</v>
      </c>
      <c r="AF68" s="387">
        <f t="shared" si="9"/>
        <v>0.95698113207547186</v>
      </c>
      <c r="AG68" s="489">
        <f>AF73</f>
        <v>0.9606431823781616</v>
      </c>
    </row>
    <row r="69" spans="1:33" ht="15.75" customHeight="1">
      <c r="A69" s="499" t="s">
        <v>2308</v>
      </c>
      <c r="B69" s="395" t="s">
        <v>100</v>
      </c>
      <c r="C69" s="490" t="s">
        <v>519</v>
      </c>
      <c r="D69" s="490"/>
      <c r="E69" s="42">
        <v>27.4</v>
      </c>
      <c r="F69" s="46">
        <v>2222</v>
      </c>
      <c r="G69" s="384">
        <f t="shared" si="39"/>
        <v>60882.799999999996</v>
      </c>
      <c r="H69" s="397" t="s">
        <v>79</v>
      </c>
      <c r="I69" s="393">
        <v>10</v>
      </c>
      <c r="J69" s="37">
        <v>1500</v>
      </c>
      <c r="K69" s="17">
        <f t="shared" ref="K69:K80" si="42">J69/I69</f>
        <v>150</v>
      </c>
      <c r="L69" s="393">
        <v>10</v>
      </c>
      <c r="M69" s="18">
        <f t="shared" si="40"/>
        <v>1433.5483870967746</v>
      </c>
      <c r="N69" s="17">
        <f t="shared" ref="N69:N80" si="43">M69/L69</f>
        <v>143.35483870967747</v>
      </c>
      <c r="O69" s="19">
        <f t="shared" ref="O69:O80" si="44">L69-I69</f>
        <v>0</v>
      </c>
      <c r="P69" s="20">
        <f t="shared" ref="P69:P80" si="45">N69-K69</f>
        <v>-6.6451612903225339</v>
      </c>
      <c r="Q69" s="387">
        <f t="shared" ref="Q69:Q80" si="46">N69/K69</f>
        <v>0.95569892473118312</v>
      </c>
      <c r="R69" s="489"/>
      <c r="S69" s="40">
        <v>0.28611111111111109</v>
      </c>
      <c r="T69" s="40">
        <v>0.35069444444444442</v>
      </c>
      <c r="U69" s="384">
        <f t="shared" ref="U69:U72" si="47">(S69-T68)*24*60</f>
        <v>5.9999999999999787</v>
      </c>
      <c r="V69" s="394">
        <f t="shared" si="41"/>
        <v>92.999999999999986</v>
      </c>
      <c r="W69" s="384"/>
      <c r="X69" s="384"/>
      <c r="Y69" s="384"/>
      <c r="Z69" s="384"/>
      <c r="AA69" s="491"/>
      <c r="AB69" s="491"/>
      <c r="AC69" s="154"/>
      <c r="AD69" s="25"/>
      <c r="AE69" s="19">
        <f t="shared" ref="AE69:AE80" si="48">M69-J69</f>
        <v>-66.451612903225396</v>
      </c>
      <c r="AF69" s="387">
        <f t="shared" ref="AF69:AF80" si="49">M69/J69</f>
        <v>0.95569892473118312</v>
      </c>
      <c r="AG69" s="489"/>
    </row>
    <row r="70" spans="1:33" ht="15.75" customHeight="1">
      <c r="A70" s="499" t="s">
        <v>2308</v>
      </c>
      <c r="B70" s="395" t="s">
        <v>93</v>
      </c>
      <c r="C70" s="490" t="s">
        <v>97</v>
      </c>
      <c r="D70" s="490"/>
      <c r="E70" s="42">
        <v>31</v>
      </c>
      <c r="F70" s="46">
        <v>1004</v>
      </c>
      <c r="G70" s="384">
        <f t="shared" si="39"/>
        <v>31124</v>
      </c>
      <c r="H70" s="397" t="s">
        <v>79</v>
      </c>
      <c r="I70" s="393">
        <v>13</v>
      </c>
      <c r="J70" s="37">
        <v>2000</v>
      </c>
      <c r="K70" s="17">
        <f t="shared" si="42"/>
        <v>153.84615384615384</v>
      </c>
      <c r="L70" s="393">
        <v>13</v>
      </c>
      <c r="M70" s="18">
        <f t="shared" si="40"/>
        <v>1943.2258064516147</v>
      </c>
      <c r="N70" s="17">
        <f t="shared" si="43"/>
        <v>149.47890818858576</v>
      </c>
      <c r="O70" s="19">
        <f t="shared" si="44"/>
        <v>0</v>
      </c>
      <c r="P70" s="20">
        <f t="shared" si="45"/>
        <v>-4.3672456575680769</v>
      </c>
      <c r="Q70" s="387">
        <f t="shared" si="46"/>
        <v>0.97161290322580751</v>
      </c>
      <c r="R70" s="489"/>
      <c r="S70" s="40">
        <v>0.35416666666666663</v>
      </c>
      <c r="T70" s="40">
        <v>0.37569444444444439</v>
      </c>
      <c r="U70" s="384">
        <f t="shared" si="47"/>
        <v>4.9999999999999822</v>
      </c>
      <c r="V70" s="394">
        <f t="shared" si="41"/>
        <v>30.999999999999972</v>
      </c>
      <c r="W70" s="384"/>
      <c r="X70" s="384"/>
      <c r="Y70" s="384"/>
      <c r="Z70" s="384"/>
      <c r="AA70" s="491"/>
      <c r="AB70" s="491"/>
      <c r="AC70" s="154" t="s">
        <v>79</v>
      </c>
      <c r="AD70" s="25"/>
      <c r="AE70" s="19">
        <f t="shared" si="48"/>
        <v>-56.774193548385256</v>
      </c>
      <c r="AF70" s="387">
        <f t="shared" si="49"/>
        <v>0.9716129032258074</v>
      </c>
      <c r="AG70" s="489"/>
    </row>
    <row r="71" spans="1:33" ht="15.75" customHeight="1">
      <c r="A71" s="499" t="s">
        <v>2308</v>
      </c>
      <c r="B71" s="395" t="s">
        <v>93</v>
      </c>
      <c r="C71" s="490" t="s">
        <v>1235</v>
      </c>
      <c r="D71" s="490"/>
      <c r="E71" s="42">
        <v>37.85</v>
      </c>
      <c r="F71" s="46">
        <v>3408</v>
      </c>
      <c r="G71" s="384">
        <f t="shared" si="39"/>
        <v>128992.8</v>
      </c>
      <c r="H71" s="397" t="s">
        <v>79</v>
      </c>
      <c r="I71" s="393">
        <v>12</v>
      </c>
      <c r="J71" s="37">
        <v>2000</v>
      </c>
      <c r="K71" s="17">
        <f t="shared" si="42"/>
        <v>166.66666666666666</v>
      </c>
      <c r="L71" s="393">
        <v>12</v>
      </c>
      <c r="M71" s="18">
        <f t="shared" si="40"/>
        <v>1911.0280373831772</v>
      </c>
      <c r="N71" s="17">
        <f t="shared" si="43"/>
        <v>159.2523364485981</v>
      </c>
      <c r="O71" s="19">
        <f t="shared" si="44"/>
        <v>0</v>
      </c>
      <c r="P71" s="20">
        <f t="shared" si="45"/>
        <v>-7.4143302180685566</v>
      </c>
      <c r="Q71" s="387">
        <f t="shared" si="46"/>
        <v>0.9555140186915887</v>
      </c>
      <c r="R71" s="489"/>
      <c r="S71" s="40">
        <v>0.38055555555555548</v>
      </c>
      <c r="T71" s="40">
        <v>0.45486111111111105</v>
      </c>
      <c r="U71" s="384">
        <f t="shared" si="47"/>
        <v>6.9999999999999751</v>
      </c>
      <c r="V71" s="394">
        <f t="shared" si="41"/>
        <v>107.00000000000001</v>
      </c>
      <c r="W71" s="384"/>
      <c r="X71" s="384"/>
      <c r="Y71" s="384"/>
      <c r="Z71" s="384"/>
      <c r="AA71" s="491"/>
      <c r="AB71" s="491"/>
      <c r="AC71" s="154" t="s">
        <v>79</v>
      </c>
      <c r="AD71" s="25"/>
      <c r="AE71" s="19">
        <f t="shared" si="48"/>
        <v>-88.971962616822793</v>
      </c>
      <c r="AF71" s="387">
        <f t="shared" si="49"/>
        <v>0.95551401869158858</v>
      </c>
      <c r="AG71" s="489"/>
    </row>
    <row r="72" spans="1:33">
      <c r="A72" s="500" t="s">
        <v>2308</v>
      </c>
      <c r="B72" s="395" t="s">
        <v>93</v>
      </c>
      <c r="C72" s="490" t="s">
        <v>113</v>
      </c>
      <c r="D72" s="490"/>
      <c r="E72" s="42">
        <v>34.36</v>
      </c>
      <c r="F72" s="46">
        <v>1826</v>
      </c>
      <c r="G72" s="384">
        <f t="shared" si="39"/>
        <v>62741.36</v>
      </c>
      <c r="H72" s="397" t="s">
        <v>79</v>
      </c>
      <c r="I72" s="393">
        <v>10</v>
      </c>
      <c r="J72" s="37">
        <v>3000</v>
      </c>
      <c r="K72" s="17">
        <f t="shared" si="42"/>
        <v>300</v>
      </c>
      <c r="L72" s="393">
        <v>10</v>
      </c>
      <c r="M72" s="18">
        <f t="shared" si="40"/>
        <v>2883.1578947368403</v>
      </c>
      <c r="N72" s="17">
        <f t="shared" si="43"/>
        <v>288.31578947368405</v>
      </c>
      <c r="O72" s="19">
        <f t="shared" si="44"/>
        <v>0</v>
      </c>
      <c r="P72" s="20">
        <f t="shared" si="45"/>
        <v>-11.684210526315951</v>
      </c>
      <c r="Q72" s="387">
        <f t="shared" si="46"/>
        <v>0.96105263157894683</v>
      </c>
      <c r="R72" s="489"/>
      <c r="S72" s="40">
        <v>0.46041666666666659</v>
      </c>
      <c r="T72" s="40">
        <v>0.48680555555555549</v>
      </c>
      <c r="U72" s="384">
        <f t="shared" si="47"/>
        <v>7.9999999999999716</v>
      </c>
      <c r="V72" s="394">
        <f t="shared" si="41"/>
        <v>38.000000000000028</v>
      </c>
      <c r="W72" s="23"/>
      <c r="X72" s="23"/>
      <c r="Y72" s="23"/>
      <c r="Z72" s="23"/>
      <c r="AA72" s="491"/>
      <c r="AB72" s="491"/>
      <c r="AC72" s="154" t="s">
        <v>79</v>
      </c>
      <c r="AD72" s="25"/>
      <c r="AE72" s="19">
        <f t="shared" si="48"/>
        <v>-116.84210526315974</v>
      </c>
      <c r="AF72" s="387">
        <f t="shared" si="49"/>
        <v>0.96105263157894671</v>
      </c>
      <c r="AG72" s="489"/>
    </row>
    <row r="73" spans="1:33">
      <c r="A73" s="500" t="s">
        <v>2308</v>
      </c>
      <c r="B73" s="42" t="s">
        <v>2298</v>
      </c>
      <c r="C73" s="494"/>
      <c r="D73" s="494"/>
      <c r="E73" s="388"/>
      <c r="F73" s="44"/>
      <c r="G73" s="17"/>
      <c r="H73" s="395"/>
      <c r="I73" s="30">
        <v>10.6</v>
      </c>
      <c r="J73" s="37">
        <v>2000</v>
      </c>
      <c r="K73" s="17">
        <f t="shared" si="42"/>
        <v>188.67924528301887</v>
      </c>
      <c r="L73" s="30">
        <v>10.6</v>
      </c>
      <c r="M73" s="18">
        <f>AVERAGE(M68:M72)</f>
        <v>1921.2863647563231</v>
      </c>
      <c r="N73" s="17">
        <f t="shared" si="43"/>
        <v>181.25343063738899</v>
      </c>
      <c r="O73" s="19">
        <f t="shared" si="44"/>
        <v>0</v>
      </c>
      <c r="P73" s="20">
        <f t="shared" si="45"/>
        <v>-7.4258146456298846</v>
      </c>
      <c r="Q73" s="387">
        <f t="shared" si="46"/>
        <v>0.9606431823781616</v>
      </c>
      <c r="R73" s="489"/>
      <c r="S73" s="40"/>
      <c r="T73" s="40"/>
      <c r="U73" s="17"/>
      <c r="V73" s="394"/>
      <c r="W73" s="17"/>
      <c r="X73" s="17"/>
      <c r="Y73" s="31">
        <f>SUM(Y68:Y72)</f>
        <v>0</v>
      </c>
      <c r="Z73" s="31">
        <f>SUM(Z68:Z72)</f>
        <v>0</v>
      </c>
      <c r="AA73" s="495"/>
      <c r="AB73" s="495"/>
      <c r="AC73" s="31">
        <f>SUM(AC68:AC72)</f>
        <v>1</v>
      </c>
      <c r="AD73" s="31">
        <f>SUM(AD68:AD72)</f>
        <v>0</v>
      </c>
      <c r="AE73" s="19">
        <f t="shared" si="48"/>
        <v>-78.71363524367689</v>
      </c>
      <c r="AF73" s="387">
        <f t="shared" si="49"/>
        <v>0.9606431823781616</v>
      </c>
      <c r="AG73" s="489"/>
    </row>
    <row r="74" spans="1:33" ht="15.75" customHeight="1">
      <c r="A74" s="496" t="s">
        <v>2309</v>
      </c>
      <c r="B74" s="395" t="s">
        <v>80</v>
      </c>
      <c r="C74" s="490" t="s">
        <v>115</v>
      </c>
      <c r="D74" s="490"/>
      <c r="E74" s="42">
        <v>20.2</v>
      </c>
      <c r="F74" s="395">
        <v>2021</v>
      </c>
      <c r="G74" s="384">
        <f t="shared" ref="G74:G79" si="50">E74*F74</f>
        <v>40824.199999999997</v>
      </c>
      <c r="H74" s="397" t="s">
        <v>79</v>
      </c>
      <c r="I74" s="393">
        <v>19</v>
      </c>
      <c r="J74" s="37">
        <v>2400</v>
      </c>
      <c r="K74" s="17">
        <f t="shared" si="42"/>
        <v>126.31578947368421</v>
      </c>
      <c r="L74" s="393">
        <v>19</v>
      </c>
      <c r="M74" s="18">
        <f t="shared" ref="M74:M79" si="51">F74/V74*60</f>
        <v>2287.9245283018868</v>
      </c>
      <c r="N74" s="17">
        <f t="shared" si="43"/>
        <v>120.4170804369414</v>
      </c>
      <c r="O74" s="19">
        <f t="shared" si="44"/>
        <v>0</v>
      </c>
      <c r="P74" s="20">
        <f t="shared" si="45"/>
        <v>-5.898709036742801</v>
      </c>
      <c r="Q74" s="387">
        <f t="shared" si="46"/>
        <v>0.95330188679245287</v>
      </c>
      <c r="R74" s="489">
        <f>Q80</f>
        <v>0.95356419410555571</v>
      </c>
      <c r="S74" s="40">
        <v>8.3333333333333329E-2</v>
      </c>
      <c r="T74" s="40">
        <v>0.12013888888888888</v>
      </c>
      <c r="U74" s="28"/>
      <c r="V74" s="394">
        <f t="shared" ref="V74:V79" si="52">(T74-S74)*24*60</f>
        <v>52.999999999999993</v>
      </c>
      <c r="W74" s="23">
        <f>T74</f>
        <v>0.12013888888888888</v>
      </c>
      <c r="X74" s="23">
        <f>S75</f>
        <v>0.14027777777777778</v>
      </c>
      <c r="Y74" s="23"/>
      <c r="Z74" s="23"/>
      <c r="AA74" s="491"/>
      <c r="AB74" s="491"/>
      <c r="AC74" s="154">
        <v>7</v>
      </c>
      <c r="AD74" s="25"/>
      <c r="AE74" s="19">
        <f t="shared" si="48"/>
        <v>-112.07547169811323</v>
      </c>
      <c r="AF74" s="387">
        <f t="shared" si="49"/>
        <v>0.95330188679245287</v>
      </c>
      <c r="AG74" s="489">
        <f>AF80</f>
        <v>0.95356419410555571</v>
      </c>
    </row>
    <row r="75" spans="1:33" ht="15.75" customHeight="1">
      <c r="A75" s="497" t="s">
        <v>2309</v>
      </c>
      <c r="B75" s="395" t="s">
        <v>80</v>
      </c>
      <c r="C75" s="490" t="s">
        <v>116</v>
      </c>
      <c r="D75" s="490"/>
      <c r="E75" s="42">
        <v>20.52</v>
      </c>
      <c r="F75" s="395">
        <v>2862</v>
      </c>
      <c r="G75" s="384">
        <f t="shared" si="50"/>
        <v>58728.24</v>
      </c>
      <c r="H75" s="397" t="s">
        <v>79</v>
      </c>
      <c r="I75" s="393">
        <v>18</v>
      </c>
      <c r="J75" s="37">
        <v>2400</v>
      </c>
      <c r="K75" s="17">
        <f t="shared" si="42"/>
        <v>133.33333333333334</v>
      </c>
      <c r="L75" s="393">
        <v>18</v>
      </c>
      <c r="M75" s="18">
        <f t="shared" si="51"/>
        <v>2289.5999999999995</v>
      </c>
      <c r="N75" s="17">
        <f t="shared" si="43"/>
        <v>127.19999999999997</v>
      </c>
      <c r="O75" s="19">
        <f t="shared" si="44"/>
        <v>0</v>
      </c>
      <c r="P75" s="20">
        <f t="shared" si="45"/>
        <v>-6.1333333333333684</v>
      </c>
      <c r="Q75" s="387">
        <f t="shared" si="46"/>
        <v>0.95399999999999974</v>
      </c>
      <c r="R75" s="489"/>
      <c r="S75" s="40">
        <v>0.14027777777777778</v>
      </c>
      <c r="T75" s="40">
        <v>0.19236111111111112</v>
      </c>
      <c r="U75" s="384">
        <f t="shared" ref="U75:U79" si="53">(S75-T74)*24*60</f>
        <v>29.000000000000018</v>
      </c>
      <c r="V75" s="394">
        <f t="shared" si="52"/>
        <v>75.000000000000014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-110.40000000000055</v>
      </c>
      <c r="AF75" s="387">
        <f t="shared" si="49"/>
        <v>0.95399999999999974</v>
      </c>
      <c r="AG75" s="489"/>
    </row>
    <row r="76" spans="1:33" ht="15.75" customHeight="1">
      <c r="A76" s="497" t="s">
        <v>2309</v>
      </c>
      <c r="B76" s="395" t="s">
        <v>80</v>
      </c>
      <c r="C76" s="490" t="s">
        <v>119</v>
      </c>
      <c r="D76" s="490"/>
      <c r="E76" s="42">
        <v>19.02</v>
      </c>
      <c r="F76" s="395">
        <v>5400</v>
      </c>
      <c r="G76" s="384">
        <f t="shared" si="50"/>
        <v>102708</v>
      </c>
      <c r="H76" s="397">
        <v>2</v>
      </c>
      <c r="I76" s="393">
        <v>15</v>
      </c>
      <c r="J76" s="37">
        <v>2400</v>
      </c>
      <c r="K76" s="17">
        <f t="shared" si="42"/>
        <v>160</v>
      </c>
      <c r="L76" s="393">
        <v>15</v>
      </c>
      <c r="M76" s="18">
        <f t="shared" si="51"/>
        <v>2281.6901408450699</v>
      </c>
      <c r="N76" s="17">
        <f t="shared" si="43"/>
        <v>152.11267605633799</v>
      </c>
      <c r="O76" s="19">
        <f t="shared" si="44"/>
        <v>0</v>
      </c>
      <c r="P76" s="20">
        <f t="shared" si="45"/>
        <v>-7.8873239436620111</v>
      </c>
      <c r="Q76" s="387">
        <f t="shared" si="46"/>
        <v>0.95070422535211241</v>
      </c>
      <c r="R76" s="489"/>
      <c r="S76" s="40">
        <v>0.19583333333333333</v>
      </c>
      <c r="T76" s="40">
        <v>0.29444444444444445</v>
      </c>
      <c r="U76" s="384">
        <f t="shared" si="53"/>
        <v>4.9999999999999822</v>
      </c>
      <c r="V76" s="394">
        <f t="shared" si="52"/>
        <v>142.00000000000003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8"/>
        <v>-118.30985915493011</v>
      </c>
      <c r="AF76" s="387">
        <f t="shared" si="49"/>
        <v>0.95070422535211241</v>
      </c>
      <c r="AG76" s="489"/>
    </row>
    <row r="77" spans="1:33" ht="15.75" customHeight="1">
      <c r="A77" s="497" t="s">
        <v>2309</v>
      </c>
      <c r="B77" s="395" t="s">
        <v>80</v>
      </c>
      <c r="C77" s="490" t="s">
        <v>117</v>
      </c>
      <c r="D77" s="490"/>
      <c r="E77" s="42">
        <v>24.43</v>
      </c>
      <c r="F77" s="395">
        <v>6033</v>
      </c>
      <c r="G77" s="384">
        <f t="shared" si="50"/>
        <v>147386.19</v>
      </c>
      <c r="H77" s="397" t="s">
        <v>79</v>
      </c>
      <c r="I77" s="393">
        <v>14</v>
      </c>
      <c r="J77" s="37">
        <v>2400</v>
      </c>
      <c r="K77" s="17">
        <f t="shared" si="42"/>
        <v>171.42857142857142</v>
      </c>
      <c r="L77" s="393">
        <v>14</v>
      </c>
      <c r="M77" s="18">
        <f t="shared" si="51"/>
        <v>2291.0126582278481</v>
      </c>
      <c r="N77" s="17">
        <f t="shared" si="43"/>
        <v>163.64376130198914</v>
      </c>
      <c r="O77" s="19">
        <f t="shared" si="44"/>
        <v>0</v>
      </c>
      <c r="P77" s="20">
        <f t="shared" si="45"/>
        <v>-7.784810126582272</v>
      </c>
      <c r="Q77" s="387">
        <f t="shared" si="46"/>
        <v>0.95458860759493669</v>
      </c>
      <c r="R77" s="489"/>
      <c r="S77" s="40">
        <v>0.2986111111111111</v>
      </c>
      <c r="T77" s="40">
        <v>0.40833333333333333</v>
      </c>
      <c r="U77" s="384">
        <f t="shared" si="53"/>
        <v>5.9999999999999787</v>
      </c>
      <c r="V77" s="394">
        <f t="shared" si="52"/>
        <v>158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8"/>
        <v>-108.98734177215192</v>
      </c>
      <c r="AF77" s="387">
        <f t="shared" si="49"/>
        <v>0.95458860759493669</v>
      </c>
      <c r="AG77" s="489"/>
    </row>
    <row r="78" spans="1:33" ht="15.75" customHeight="1">
      <c r="A78" s="497" t="s">
        <v>2309</v>
      </c>
      <c r="B78" s="395" t="s">
        <v>80</v>
      </c>
      <c r="C78" s="490" t="s">
        <v>118</v>
      </c>
      <c r="D78" s="490"/>
      <c r="E78" s="42">
        <v>20.21</v>
      </c>
      <c r="F78" s="395">
        <v>3273</v>
      </c>
      <c r="G78" s="384">
        <f t="shared" si="50"/>
        <v>66147.33</v>
      </c>
      <c r="H78" s="397" t="s">
        <v>79</v>
      </c>
      <c r="I78" s="393">
        <v>16</v>
      </c>
      <c r="J78" s="37">
        <v>2400</v>
      </c>
      <c r="K78" s="17">
        <f t="shared" si="42"/>
        <v>150</v>
      </c>
      <c r="L78" s="393">
        <v>16</v>
      </c>
      <c r="M78" s="18">
        <f t="shared" si="51"/>
        <v>2283.4883720930229</v>
      </c>
      <c r="N78" s="17">
        <f t="shared" si="43"/>
        <v>142.71802325581393</v>
      </c>
      <c r="O78" s="19">
        <f t="shared" si="44"/>
        <v>0</v>
      </c>
      <c r="P78" s="20">
        <f t="shared" si="45"/>
        <v>-7.2819767441860677</v>
      </c>
      <c r="Q78" s="387">
        <f t="shared" si="46"/>
        <v>0.95145348837209287</v>
      </c>
      <c r="R78" s="489"/>
      <c r="S78" s="40">
        <v>0.41319444444444442</v>
      </c>
      <c r="T78" s="40">
        <v>0.47291666666666665</v>
      </c>
      <c r="U78" s="384">
        <f t="shared" si="53"/>
        <v>6.9999999999999751</v>
      </c>
      <c r="V78" s="394">
        <f t="shared" si="52"/>
        <v>86.000000000000014</v>
      </c>
      <c r="W78" s="23">
        <f>T78</f>
        <v>0.47291666666666665</v>
      </c>
      <c r="X78" s="23">
        <f>S79</f>
        <v>0.51388888888888884</v>
      </c>
      <c r="Y78" s="23"/>
      <c r="Z78" s="23"/>
      <c r="AA78" s="491"/>
      <c r="AB78" s="491"/>
      <c r="AC78" s="154"/>
      <c r="AD78" s="25"/>
      <c r="AE78" s="19">
        <f t="shared" si="48"/>
        <v>-116.51162790697708</v>
      </c>
      <c r="AF78" s="387">
        <f t="shared" si="49"/>
        <v>0.95145348837209287</v>
      </c>
      <c r="AG78" s="489"/>
    </row>
    <row r="79" spans="1:33" ht="15.75" customHeight="1">
      <c r="A79" s="497" t="s">
        <v>2309</v>
      </c>
      <c r="B79" s="395" t="s">
        <v>80</v>
      </c>
      <c r="C79" s="490" t="s">
        <v>119</v>
      </c>
      <c r="D79" s="490"/>
      <c r="E79" s="42">
        <v>19.02</v>
      </c>
      <c r="F79" s="395">
        <v>3523</v>
      </c>
      <c r="G79" s="384">
        <f t="shared" si="50"/>
        <v>67007.459999999992</v>
      </c>
      <c r="H79" s="397" t="s">
        <v>79</v>
      </c>
      <c r="I79" s="393">
        <v>15</v>
      </c>
      <c r="J79" s="37">
        <v>2400</v>
      </c>
      <c r="K79" s="17">
        <f t="shared" si="42"/>
        <v>160</v>
      </c>
      <c r="L79" s="393">
        <v>15</v>
      </c>
      <c r="M79" s="18">
        <f t="shared" si="51"/>
        <v>2297.608695652174</v>
      </c>
      <c r="N79" s="17">
        <f t="shared" si="43"/>
        <v>153.17391304347828</v>
      </c>
      <c r="O79" s="19">
        <f t="shared" si="44"/>
        <v>0</v>
      </c>
      <c r="P79" s="20">
        <f t="shared" si="45"/>
        <v>-6.8260869565217206</v>
      </c>
      <c r="Q79" s="387">
        <f t="shared" si="46"/>
        <v>0.95733695652173922</v>
      </c>
      <c r="R79" s="489"/>
      <c r="S79" s="40">
        <v>0.51388888888888884</v>
      </c>
      <c r="T79" s="40">
        <v>0.57777777777777772</v>
      </c>
      <c r="U79" s="384">
        <f t="shared" si="53"/>
        <v>58.99999999999995</v>
      </c>
      <c r="V79" s="394">
        <f t="shared" si="52"/>
        <v>92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8"/>
        <v>-102.39130434782601</v>
      </c>
      <c r="AF79" s="387">
        <f t="shared" si="49"/>
        <v>0.95733695652173911</v>
      </c>
      <c r="AG79" s="489"/>
    </row>
    <row r="80" spans="1:33" ht="16.5" customHeight="1">
      <c r="A80" s="498" t="s">
        <v>2309</v>
      </c>
      <c r="B80" s="42" t="s">
        <v>2298</v>
      </c>
      <c r="C80" s="492"/>
      <c r="D80" s="493"/>
      <c r="E80" s="388"/>
      <c r="F80" s="44"/>
      <c r="G80" s="17"/>
      <c r="H80" s="395"/>
      <c r="I80" s="30">
        <v>16.166666666666668</v>
      </c>
      <c r="J80" s="37">
        <v>2400</v>
      </c>
      <c r="K80" s="17">
        <f t="shared" si="42"/>
        <v>148.45360824742266</v>
      </c>
      <c r="L80" s="30">
        <v>16.166666666666668</v>
      </c>
      <c r="M80" s="18">
        <f>AVERAGE(M74:M79)</f>
        <v>2288.5540658533337</v>
      </c>
      <c r="N80" s="17">
        <f t="shared" si="43"/>
        <v>141.56004531051548</v>
      </c>
      <c r="O80" s="19">
        <f t="shared" si="44"/>
        <v>0</v>
      </c>
      <c r="P80" s="20">
        <f t="shared" si="45"/>
        <v>-6.8935629369071876</v>
      </c>
      <c r="Q80" s="387">
        <f t="shared" si="46"/>
        <v>0.95356419410555571</v>
      </c>
      <c r="R80" s="489"/>
      <c r="S80" s="40"/>
      <c r="T80" s="40"/>
      <c r="U80" s="17"/>
      <c r="V80" s="394"/>
      <c r="W80" s="17"/>
      <c r="X80" s="17"/>
      <c r="Y80" s="31">
        <f>SUM(Y74:Y79)</f>
        <v>0</v>
      </c>
      <c r="Z80" s="31">
        <f>SUM(Z74:Z79)</f>
        <v>0</v>
      </c>
      <c r="AA80" s="495"/>
      <c r="AB80" s="495"/>
      <c r="AC80" s="31">
        <f>SUM(AC74:AC79)</f>
        <v>7</v>
      </c>
      <c r="AD80" s="31">
        <f>SUM(AD74:AD79)</f>
        <v>0</v>
      </c>
      <c r="AE80" s="19">
        <f t="shared" si="48"/>
        <v>-111.44593414666633</v>
      </c>
      <c r="AF80" s="387">
        <f t="shared" si="49"/>
        <v>0.95356419410555571</v>
      </c>
      <c r="AG80" s="489"/>
    </row>
    <row r="81" spans="4:5">
      <c r="D81" s="33"/>
      <c r="E81" s="33"/>
    </row>
  </sheetData>
  <mergeCells count="212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5:A22"/>
    <mergeCell ref="C15:D15"/>
    <mergeCell ref="R15:R22"/>
    <mergeCell ref="AA15:AB15"/>
    <mergeCell ref="AG15:AG22"/>
    <mergeCell ref="C10:D10"/>
    <mergeCell ref="AA10:AB10"/>
    <mergeCell ref="C11:D11"/>
    <mergeCell ref="AA11:AB11"/>
    <mergeCell ref="A12:A14"/>
    <mergeCell ref="C12:D12"/>
    <mergeCell ref="R12:R14"/>
    <mergeCell ref="AA12:AB12"/>
    <mergeCell ref="A5:A1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AA14:AB14"/>
    <mergeCell ref="AG23:AG31"/>
    <mergeCell ref="C24:D24"/>
    <mergeCell ref="AA24:AB24"/>
    <mergeCell ref="C25:D25"/>
    <mergeCell ref="AA25:AB25"/>
    <mergeCell ref="C26:D26"/>
    <mergeCell ref="C19:D19"/>
    <mergeCell ref="AA19:AB19"/>
    <mergeCell ref="C20:D20"/>
    <mergeCell ref="AA20:AB20"/>
    <mergeCell ref="AA21:AB21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23:A31"/>
    <mergeCell ref="C23:D23"/>
    <mergeCell ref="R23:R31"/>
    <mergeCell ref="AA23:AB23"/>
    <mergeCell ref="C30:D30"/>
    <mergeCell ref="AA30:AB30"/>
    <mergeCell ref="C31:D31"/>
    <mergeCell ref="AA31:AB31"/>
    <mergeCell ref="A32:A38"/>
    <mergeCell ref="C32:D32"/>
    <mergeCell ref="R32:R38"/>
    <mergeCell ref="AA32:AB32"/>
    <mergeCell ref="AA37:AB37"/>
    <mergeCell ref="C38:D38"/>
    <mergeCell ref="AG32:AG38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C44:D44"/>
    <mergeCell ref="AA44:AB44"/>
    <mergeCell ref="AA38:AB38"/>
    <mergeCell ref="A39:A47"/>
    <mergeCell ref="C39:D39"/>
    <mergeCell ref="R39:R47"/>
    <mergeCell ref="AA39:AB39"/>
    <mergeCell ref="C40:D40"/>
    <mergeCell ref="AA40:AB40"/>
    <mergeCell ref="C41:D41"/>
    <mergeCell ref="AA41:AB41"/>
    <mergeCell ref="AG48:AG56"/>
    <mergeCell ref="C49:D49"/>
    <mergeCell ref="AA49:AB49"/>
    <mergeCell ref="C50:D50"/>
    <mergeCell ref="AA50:AB50"/>
    <mergeCell ref="C51:D51"/>
    <mergeCell ref="C45:D45"/>
    <mergeCell ref="AA45:AB45"/>
    <mergeCell ref="C46:D46"/>
    <mergeCell ref="AA46:AB46"/>
    <mergeCell ref="C47:D47"/>
    <mergeCell ref="AA47:AB47"/>
    <mergeCell ref="AG39:AG47"/>
    <mergeCell ref="AA51:AB51"/>
    <mergeCell ref="C52:D52"/>
    <mergeCell ref="AA52:AB52"/>
    <mergeCell ref="C53:D53"/>
    <mergeCell ref="AA53:AB53"/>
    <mergeCell ref="C54:D54"/>
    <mergeCell ref="AA54:AB54"/>
    <mergeCell ref="C42:D42"/>
    <mergeCell ref="AA42:AB42"/>
    <mergeCell ref="C43:D43"/>
    <mergeCell ref="AA43:AB43"/>
    <mergeCell ref="A48:A56"/>
    <mergeCell ref="C48:D48"/>
    <mergeCell ref="R48:R56"/>
    <mergeCell ref="AA48:AB48"/>
    <mergeCell ref="C55:D55"/>
    <mergeCell ref="AA55:AB55"/>
    <mergeCell ref="C56:D56"/>
    <mergeCell ref="AA56:AB56"/>
    <mergeCell ref="A57:A67"/>
    <mergeCell ref="C57:D57"/>
    <mergeCell ref="R57:R67"/>
    <mergeCell ref="AA57:AB57"/>
    <mergeCell ref="AA63:AB63"/>
    <mergeCell ref="C64:D64"/>
    <mergeCell ref="AG68:AG73"/>
    <mergeCell ref="C69:D69"/>
    <mergeCell ref="AA69:AB69"/>
    <mergeCell ref="C70:D70"/>
    <mergeCell ref="AA70:AB70"/>
    <mergeCell ref="C71:D71"/>
    <mergeCell ref="AA64:AB64"/>
    <mergeCell ref="C65:D65"/>
    <mergeCell ref="AA65:AB65"/>
    <mergeCell ref="C66:D66"/>
    <mergeCell ref="AA66:AB66"/>
    <mergeCell ref="C67:D67"/>
    <mergeCell ref="AA67:AB67"/>
    <mergeCell ref="AG57:AG67"/>
    <mergeCell ref="C58:D58"/>
    <mergeCell ref="AA58:AB58"/>
    <mergeCell ref="C59:D59"/>
    <mergeCell ref="AA59:AB59"/>
    <mergeCell ref="AA60:AB60"/>
    <mergeCell ref="AA61:AB61"/>
    <mergeCell ref="C62:D62"/>
    <mergeCell ref="AA62:AB62"/>
    <mergeCell ref="C63:D63"/>
    <mergeCell ref="AA71:AB71"/>
    <mergeCell ref="C72:D72"/>
    <mergeCell ref="AA72:AB72"/>
    <mergeCell ref="C73:D73"/>
    <mergeCell ref="AA73:AB73"/>
    <mergeCell ref="A74:A80"/>
    <mergeCell ref="C74:D74"/>
    <mergeCell ref="R74:R80"/>
    <mergeCell ref="AA74:AB74"/>
    <mergeCell ref="AA79:AB79"/>
    <mergeCell ref="A68:A73"/>
    <mergeCell ref="C68:D68"/>
    <mergeCell ref="R68:R73"/>
    <mergeCell ref="AA68:AB68"/>
    <mergeCell ref="C80:D80"/>
    <mergeCell ref="AA80:AB80"/>
    <mergeCell ref="AG74:AG80"/>
    <mergeCell ref="C75:D75"/>
    <mergeCell ref="AA75:AB75"/>
    <mergeCell ref="C76:D76"/>
    <mergeCell ref="AA76:AB76"/>
    <mergeCell ref="C77:D77"/>
    <mergeCell ref="AA77:AB77"/>
    <mergeCell ref="C78:D78"/>
    <mergeCell ref="AA78:AB78"/>
    <mergeCell ref="C79:D79"/>
  </mergeCells>
  <phoneticPr fontId="3" type="noConversion"/>
  <conditionalFormatting sqref="O67:O68 O71:O80 O5:O12 O14:O16 O56:O62 O22:O53">
    <cfRule type="cellIs" dxfId="2145" priority="71" operator="greaterThan">
      <formula>0</formula>
    </cfRule>
  </conditionalFormatting>
  <conditionalFormatting sqref="P5:P10 P71:P72 AE71:AE72 P74:P79 P32:P37 P68 P12 P14:P16 P23:P30 P57:P62 P39:P53 AE5:AE68 AE74:AE80">
    <cfRule type="cellIs" dxfId="2144" priority="75" operator="lessThan">
      <formula>0</formula>
    </cfRule>
  </conditionalFormatting>
  <conditionalFormatting sqref="AF71:AF72 Q67:Q68 Q71:Q80 Q5:Q12 Q14:Q16 Q56:Q62 Q22:Q53 AF5:AF68 AF74:AF80">
    <cfRule type="cellIs" dxfId="2143" priority="72" operator="greaterThan">
      <formula>1</formula>
    </cfRule>
    <cfRule type="cellIs" dxfId="2142" priority="73" operator="lessThan">
      <formula>0.8</formula>
    </cfRule>
  </conditionalFormatting>
  <conditionalFormatting sqref="AG15:AG16 R15:R16 AG71 R22:R28 AG22:AG28 AG67:AG68 R67:R68 R71:R80 AG5:AG12 R5:R12 R31:R53 AG31:AG53 AG56:AG62 R56:R62">
    <cfRule type="cellIs" dxfId="2141" priority="77" operator="lessThan">
      <formula>0.8</formula>
    </cfRule>
  </conditionalFormatting>
  <conditionalFormatting sqref="AG48">
    <cfRule type="cellIs" dxfId="2140" priority="79" operator="lessThan">
      <formula>0.8</formula>
    </cfRule>
  </conditionalFormatting>
  <conditionalFormatting sqref="AG23:AG28">
    <cfRule type="cellIs" dxfId="2139" priority="76" operator="lessThan">
      <formula>0.8</formula>
    </cfRule>
  </conditionalFormatting>
  <conditionalFormatting sqref="AG32">
    <cfRule type="cellIs" dxfId="2138" priority="78" operator="lessThan">
      <formula>0.8</formula>
    </cfRule>
  </conditionalFormatting>
  <conditionalFormatting sqref="AG39:AG46">
    <cfRule type="cellIs" dxfId="2137" priority="74" operator="lessThan">
      <formula>0.8</formula>
    </cfRule>
  </conditionalFormatting>
  <conditionalFormatting sqref="AE73">
    <cfRule type="cellIs" dxfId="2136" priority="70" operator="lessThan">
      <formula>0</formula>
    </cfRule>
  </conditionalFormatting>
  <conditionalFormatting sqref="AF73">
    <cfRule type="cellIs" dxfId="2135" priority="68" operator="greaterThan">
      <formula>1</formula>
    </cfRule>
    <cfRule type="cellIs" dxfId="2134" priority="69" operator="lessThan">
      <formula>0.8</formula>
    </cfRule>
  </conditionalFormatting>
  <conditionalFormatting sqref="O17:O18">
    <cfRule type="cellIs" dxfId="2133" priority="63" operator="greaterThan">
      <formula>0</formula>
    </cfRule>
  </conditionalFormatting>
  <conditionalFormatting sqref="P17:P18">
    <cfRule type="cellIs" dxfId="2132" priority="66" operator="lessThan">
      <formula>0</formula>
    </cfRule>
  </conditionalFormatting>
  <conditionalFormatting sqref="Q17:Q18">
    <cfRule type="cellIs" dxfId="2131" priority="64" operator="greaterThan">
      <formula>1</formula>
    </cfRule>
    <cfRule type="cellIs" dxfId="2130" priority="65" operator="lessThan">
      <formula>0.8</formula>
    </cfRule>
  </conditionalFormatting>
  <conditionalFormatting sqref="R17:R18 AG17:AG18">
    <cfRule type="cellIs" dxfId="2129" priority="67" operator="lessThan">
      <formula>0.8</formula>
    </cfRule>
  </conditionalFormatting>
  <conditionalFormatting sqref="O13">
    <cfRule type="cellIs" dxfId="2128" priority="59" operator="greaterThan">
      <formula>0</formula>
    </cfRule>
  </conditionalFormatting>
  <conditionalFormatting sqref="P13">
    <cfRule type="cellIs" dxfId="2127" priority="62" operator="lessThan">
      <formula>0</formula>
    </cfRule>
  </conditionalFormatting>
  <conditionalFormatting sqref="Q13">
    <cfRule type="cellIs" dxfId="2126" priority="60" operator="greaterThan">
      <formula>1</formula>
    </cfRule>
    <cfRule type="cellIs" dxfId="2125" priority="61" operator="lessThan">
      <formula>0.8</formula>
    </cfRule>
  </conditionalFormatting>
  <conditionalFormatting sqref="O63">
    <cfRule type="cellIs" dxfId="2124" priority="54" operator="greaterThan">
      <formula>0</formula>
    </cfRule>
  </conditionalFormatting>
  <conditionalFormatting sqref="P63">
    <cfRule type="cellIs" dxfId="2123" priority="57" operator="lessThan">
      <formula>0</formula>
    </cfRule>
  </conditionalFormatting>
  <conditionalFormatting sqref="Q63">
    <cfRule type="cellIs" dxfId="2122" priority="55" operator="greaterThan">
      <formula>1</formula>
    </cfRule>
    <cfRule type="cellIs" dxfId="2121" priority="56" operator="lessThan">
      <formula>0.8</formula>
    </cfRule>
  </conditionalFormatting>
  <conditionalFormatting sqref="R63 AG63">
    <cfRule type="cellIs" dxfId="2120" priority="58" operator="lessThan">
      <formula>0.8</formula>
    </cfRule>
  </conditionalFormatting>
  <conditionalFormatting sqref="AG30 R30">
    <cfRule type="cellIs" dxfId="2119" priority="53" operator="lessThan">
      <formula>0.8</formula>
    </cfRule>
  </conditionalFormatting>
  <conditionalFormatting sqref="O70">
    <cfRule type="cellIs" dxfId="2118" priority="48" operator="greaterThan">
      <formula>0</formula>
    </cfRule>
  </conditionalFormatting>
  <conditionalFormatting sqref="P70 AE70">
    <cfRule type="cellIs" dxfId="2117" priority="51" operator="lessThan">
      <formula>0</formula>
    </cfRule>
  </conditionalFormatting>
  <conditionalFormatting sqref="Q70 AF70">
    <cfRule type="cellIs" dxfId="2116" priority="49" operator="greaterThan">
      <formula>1</formula>
    </cfRule>
    <cfRule type="cellIs" dxfId="2115" priority="50" operator="lessThan">
      <formula>0.8</formula>
    </cfRule>
  </conditionalFormatting>
  <conditionalFormatting sqref="R70 AG70">
    <cfRule type="cellIs" dxfId="2114" priority="52" operator="lessThan">
      <formula>0.8</formula>
    </cfRule>
  </conditionalFormatting>
  <conditionalFormatting sqref="O19:O20">
    <cfRule type="cellIs" dxfId="2113" priority="43" operator="greaterThan">
      <formula>0</formula>
    </cfRule>
  </conditionalFormatting>
  <conditionalFormatting sqref="P19:P20">
    <cfRule type="cellIs" dxfId="2112" priority="46" operator="lessThan">
      <formula>0</formula>
    </cfRule>
  </conditionalFormatting>
  <conditionalFormatting sqref="Q19:Q20">
    <cfRule type="cellIs" dxfId="2111" priority="44" operator="greaterThan">
      <formula>1</formula>
    </cfRule>
    <cfRule type="cellIs" dxfId="2110" priority="45" operator="lessThan">
      <formula>0.8</formula>
    </cfRule>
  </conditionalFormatting>
  <conditionalFormatting sqref="R19:R20 AG19:AG20">
    <cfRule type="cellIs" dxfId="2109" priority="47" operator="lessThan">
      <formula>0.8</formula>
    </cfRule>
  </conditionalFormatting>
  <conditionalFormatting sqref="O54">
    <cfRule type="cellIs" dxfId="2108" priority="37" operator="greaterThan">
      <formula>0</formula>
    </cfRule>
  </conditionalFormatting>
  <conditionalFormatting sqref="P54">
    <cfRule type="cellIs" dxfId="2107" priority="41" operator="lessThan">
      <formula>0</formula>
    </cfRule>
  </conditionalFormatting>
  <conditionalFormatting sqref="Q54">
    <cfRule type="cellIs" dxfId="2106" priority="38" operator="greaterThan">
      <formula>1</formula>
    </cfRule>
    <cfRule type="cellIs" dxfId="2105" priority="39" operator="lessThan">
      <formula>0.8</formula>
    </cfRule>
  </conditionalFormatting>
  <conditionalFormatting sqref="R54 AG54">
    <cfRule type="cellIs" dxfId="2104" priority="42" operator="lessThan">
      <formula>0.8</formula>
    </cfRule>
  </conditionalFormatting>
  <conditionalFormatting sqref="AG54">
    <cfRule type="cellIs" dxfId="2103" priority="40" operator="lessThan">
      <formula>0.8</formula>
    </cfRule>
  </conditionalFormatting>
  <conditionalFormatting sqref="O55">
    <cfRule type="cellIs" dxfId="2102" priority="31" operator="greaterThan">
      <formula>0</formula>
    </cfRule>
  </conditionalFormatting>
  <conditionalFormatting sqref="P55">
    <cfRule type="cellIs" dxfId="2101" priority="35" operator="lessThan">
      <formula>0</formula>
    </cfRule>
  </conditionalFormatting>
  <conditionalFormatting sqref="Q55">
    <cfRule type="cellIs" dxfId="2100" priority="32" operator="greaterThan">
      <formula>1</formula>
    </cfRule>
    <cfRule type="cellIs" dxfId="2099" priority="33" operator="lessThan">
      <formula>0.8</formula>
    </cfRule>
  </conditionalFormatting>
  <conditionalFormatting sqref="R55 AG55">
    <cfRule type="cellIs" dxfId="2098" priority="36" operator="lessThan">
      <formula>0.8</formula>
    </cfRule>
  </conditionalFormatting>
  <conditionalFormatting sqref="AG55">
    <cfRule type="cellIs" dxfId="2097" priority="34" operator="lessThan">
      <formula>0.8</formula>
    </cfRule>
  </conditionalFormatting>
  <conditionalFormatting sqref="O64">
    <cfRule type="cellIs" dxfId="2096" priority="26" operator="greaterThan">
      <formula>0</formula>
    </cfRule>
  </conditionalFormatting>
  <conditionalFormatting sqref="P64">
    <cfRule type="cellIs" dxfId="2095" priority="29" operator="lessThan">
      <formula>0</formula>
    </cfRule>
  </conditionalFormatting>
  <conditionalFormatting sqref="Q64">
    <cfRule type="cellIs" dxfId="2094" priority="27" operator="greaterThan">
      <formula>1</formula>
    </cfRule>
    <cfRule type="cellIs" dxfId="2093" priority="28" operator="lessThan">
      <formula>0.8</formula>
    </cfRule>
  </conditionalFormatting>
  <conditionalFormatting sqref="AG64 R64">
    <cfRule type="cellIs" dxfId="2092" priority="30" operator="lessThan">
      <formula>0.8</formula>
    </cfRule>
  </conditionalFormatting>
  <conditionalFormatting sqref="R29 AG29">
    <cfRule type="cellIs" dxfId="2091" priority="25" operator="lessThan">
      <formula>0.8</formula>
    </cfRule>
  </conditionalFormatting>
  <conditionalFormatting sqref="AG29">
    <cfRule type="cellIs" dxfId="2090" priority="24" operator="lessThan">
      <formula>0.8</formula>
    </cfRule>
  </conditionalFormatting>
  <conditionalFormatting sqref="O69">
    <cfRule type="cellIs" dxfId="2089" priority="19" operator="greaterThan">
      <formula>0</formula>
    </cfRule>
  </conditionalFormatting>
  <conditionalFormatting sqref="P69 AE69">
    <cfRule type="cellIs" dxfId="2088" priority="22" operator="lessThan">
      <formula>0</formula>
    </cfRule>
  </conditionalFormatting>
  <conditionalFormatting sqref="Q69 AF69">
    <cfRule type="cellIs" dxfId="2087" priority="20" operator="greaterThan">
      <formula>1</formula>
    </cfRule>
    <cfRule type="cellIs" dxfId="2086" priority="21" operator="lessThan">
      <formula>0.8</formula>
    </cfRule>
  </conditionalFormatting>
  <conditionalFormatting sqref="R69 AG69">
    <cfRule type="cellIs" dxfId="2085" priority="23" operator="lessThan">
      <formula>0.8</formula>
    </cfRule>
  </conditionalFormatting>
  <conditionalFormatting sqref="O21">
    <cfRule type="cellIs" dxfId="2084" priority="14" operator="greaterThan">
      <formula>0</formula>
    </cfRule>
  </conditionalFormatting>
  <conditionalFormatting sqref="P21">
    <cfRule type="cellIs" dxfId="2083" priority="17" operator="lessThan">
      <formula>0</formula>
    </cfRule>
  </conditionalFormatting>
  <conditionalFormatting sqref="Q21">
    <cfRule type="cellIs" dxfId="2082" priority="15" operator="greaterThan">
      <formula>1</formula>
    </cfRule>
    <cfRule type="cellIs" dxfId="2081" priority="16" operator="lessThan">
      <formula>0.8</formula>
    </cfRule>
  </conditionalFormatting>
  <conditionalFormatting sqref="AG21 R21">
    <cfRule type="cellIs" dxfId="2080" priority="18" operator="lessThan">
      <formula>0.8</formula>
    </cfRule>
  </conditionalFormatting>
  <conditionalFormatting sqref="P11">
    <cfRule type="cellIs" dxfId="2079" priority="13" operator="lessThan">
      <formula>0</formula>
    </cfRule>
  </conditionalFormatting>
  <conditionalFormatting sqref="P22">
    <cfRule type="cellIs" dxfId="2078" priority="12" operator="lessThan">
      <formula>0</formula>
    </cfRule>
  </conditionalFormatting>
  <conditionalFormatting sqref="P31">
    <cfRule type="cellIs" dxfId="2077" priority="11" operator="lessThan">
      <formula>0</formula>
    </cfRule>
  </conditionalFormatting>
  <conditionalFormatting sqref="P38">
    <cfRule type="cellIs" dxfId="2076" priority="10" operator="lessThan">
      <formula>0</formula>
    </cfRule>
  </conditionalFormatting>
  <conditionalFormatting sqref="P56">
    <cfRule type="cellIs" dxfId="2075" priority="9" operator="lessThan">
      <formula>0</formula>
    </cfRule>
  </conditionalFormatting>
  <conditionalFormatting sqref="P67">
    <cfRule type="cellIs" dxfId="2074" priority="8" operator="lessThan">
      <formula>0</formula>
    </cfRule>
  </conditionalFormatting>
  <conditionalFormatting sqref="P73">
    <cfRule type="cellIs" dxfId="2073" priority="7" operator="lessThan">
      <formula>0</formula>
    </cfRule>
  </conditionalFormatting>
  <conditionalFormatting sqref="P80">
    <cfRule type="cellIs" dxfId="2072" priority="6" operator="lessThan">
      <formula>0</formula>
    </cfRule>
  </conditionalFormatting>
  <conditionalFormatting sqref="O65:O66">
    <cfRule type="cellIs" dxfId="2071" priority="1" operator="greaterThan">
      <formula>0</formula>
    </cfRule>
  </conditionalFormatting>
  <conditionalFormatting sqref="P65:P66">
    <cfRule type="cellIs" dxfId="2070" priority="4" operator="lessThan">
      <formula>0</formula>
    </cfRule>
  </conditionalFormatting>
  <conditionalFormatting sqref="Q65:Q66">
    <cfRule type="cellIs" dxfId="2069" priority="2" operator="greaterThan">
      <formula>1</formula>
    </cfRule>
    <cfRule type="cellIs" dxfId="2068" priority="3" operator="lessThan">
      <formula>0.8</formula>
    </cfRule>
  </conditionalFormatting>
  <conditionalFormatting sqref="AG65:AG66 R65:R66">
    <cfRule type="cellIs" dxfId="2067" priority="5" operator="lessThan">
      <formula>0.8</formula>
    </cfRule>
  </conditionalFormatting>
  <dataValidations count="1">
    <dataValidation type="list" allowBlank="1" showInputMessage="1" showErrorMessage="1" sqref="AA5:AB9 AB10:AB11 AB72 AA10:AA72 AB13:AB68 AA73:AB80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6" sqref="E6:F6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422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208</v>
      </c>
      <c r="C3" s="478" t="str">
        <f>TEXT('0125 4度C'!A2,"yyyy.mm.ddaaaa")</f>
        <v>2026.01.25星期日</v>
      </c>
      <c r="D3" s="479"/>
      <c r="E3" s="56" t="s">
        <v>209</v>
      </c>
      <c r="F3" s="480">
        <f>'0125 4度C'!D1</f>
        <v>178002</v>
      </c>
      <c r="G3" s="481"/>
      <c r="H3" s="56" t="s">
        <v>2169</v>
      </c>
      <c r="I3" s="482">
        <f>'0125 4度C'!F1</f>
        <v>6075127.1200000001</v>
      </c>
      <c r="J3" s="483"/>
      <c r="K3" s="57"/>
      <c r="L3" s="58"/>
      <c r="M3" s="59"/>
      <c r="N3" s="59"/>
    </row>
    <row r="4" spans="2:17" ht="28.5" customHeight="1">
      <c r="B4" s="484" t="s">
        <v>211</v>
      </c>
      <c r="C4" s="470" t="s">
        <v>612</v>
      </c>
      <c r="D4" s="471"/>
      <c r="E4" s="487" t="s">
        <v>613</v>
      </c>
      <c r="F4" s="488"/>
      <c r="G4" s="487" t="s">
        <v>2170</v>
      </c>
      <c r="H4" s="488"/>
      <c r="I4" s="487" t="s">
        <v>975</v>
      </c>
      <c r="J4" s="488"/>
      <c r="K4" s="468" t="s">
        <v>2171</v>
      </c>
      <c r="L4" s="469"/>
      <c r="M4" s="469" t="s">
        <v>170</v>
      </c>
      <c r="N4" s="469"/>
    </row>
    <row r="5" spans="2:17" ht="28.5" customHeight="1">
      <c r="B5" s="485"/>
      <c r="C5" s="470" t="s">
        <v>2172</v>
      </c>
      <c r="D5" s="471"/>
      <c r="E5" s="470" t="s">
        <v>172</v>
      </c>
      <c r="F5" s="471"/>
      <c r="G5" s="472" t="s">
        <v>173</v>
      </c>
      <c r="H5" s="473"/>
      <c r="I5" s="474" t="s">
        <v>174</v>
      </c>
      <c r="J5" s="475"/>
      <c r="K5" s="60" t="s">
        <v>175</v>
      </c>
      <c r="L5" s="61" t="s">
        <v>176</v>
      </c>
      <c r="M5" s="60" t="s">
        <v>2173</v>
      </c>
      <c r="N5" s="61" t="s">
        <v>177</v>
      </c>
    </row>
    <row r="6" spans="2:17" ht="28.5" customHeight="1">
      <c r="B6" s="485"/>
      <c r="C6" s="470" t="s">
        <v>144</v>
      </c>
      <c r="D6" s="471"/>
      <c r="E6" s="462">
        <f>AVERAGE(D13:M13)</f>
        <v>144.03398821260527</v>
      </c>
      <c r="F6" s="463">
        <f>AVERAGE(D31:O31,D13:J13)</f>
        <v>146.49764328187686</v>
      </c>
      <c r="G6" s="464">
        <f>AVERAGE(D13:J13)</f>
        <v>146.49764328187686</v>
      </c>
      <c r="H6" s="465"/>
      <c r="I6" s="464">
        <f>AVERAGE(K13:M13)</f>
        <v>138.28545971763833</v>
      </c>
      <c r="J6" s="465"/>
      <c r="K6" s="466">
        <f>'0125 4度C'!Y2</f>
        <v>0</v>
      </c>
      <c r="L6" s="451">
        <f>'0125 4度C'!Z2</f>
        <v>0</v>
      </c>
      <c r="M6" s="467">
        <f>'0125 4度C'!AC2</f>
        <v>46</v>
      </c>
      <c r="N6" s="451">
        <f>'0125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138.04442903685691</v>
      </c>
      <c r="F7" s="455">
        <f>AVERAGE(D32:O32,D14:J14)</f>
        <v>140.4827295947297</v>
      </c>
      <c r="G7" s="456">
        <f>AVERAGE(D14:J14)</f>
        <v>140.4827295947297</v>
      </c>
      <c r="H7" s="457"/>
      <c r="I7" s="456">
        <f>AVERAGE(K14:M14)</f>
        <v>132.35506106848717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0.95805839483465349</v>
      </c>
      <c r="F8" s="459">
        <f>AVERAGE(D15:J15,D33:O33)</f>
        <v>0.95847163723303974</v>
      </c>
      <c r="G8" s="460">
        <f>AVERAGE(D15:J15)</f>
        <v>0.95847163723303974</v>
      </c>
      <c r="H8" s="461"/>
      <c r="I8" s="460">
        <f>AVERAGE(K15:M15)</f>
        <v>0.95709416257175228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625</v>
      </c>
      <c r="N9" s="59"/>
      <c r="O9" s="59"/>
      <c r="P9" s="59"/>
      <c r="Q9" s="59"/>
    </row>
    <row r="10" spans="2:17" ht="30" customHeight="1">
      <c r="B10" s="434" t="s">
        <v>626</v>
      </c>
      <c r="C10" s="435"/>
      <c r="D10" s="436" t="s">
        <v>180</v>
      </c>
      <c r="E10" s="437"/>
      <c r="F10" s="437"/>
      <c r="G10" s="437"/>
      <c r="H10" s="437"/>
      <c r="I10" s="437"/>
      <c r="J10" s="438"/>
      <c r="K10" s="439" t="s">
        <v>628</v>
      </c>
      <c r="L10" s="440"/>
      <c r="M10" s="441"/>
      <c r="P10" s="65"/>
      <c r="Q10" s="65"/>
    </row>
    <row r="11" spans="2:17" ht="17.25" customHeight="1">
      <c r="B11" s="442" t="s">
        <v>541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13</v>
      </c>
      <c r="C13" s="72" t="s">
        <v>543</v>
      </c>
      <c r="D13" s="73">
        <f>SUMIFS('0125 4度C'!$K:$K,'0125 4度C'!$A:$A,"新豐6線",'0125 4度C'!$B:$B,"平均")</f>
        <v>116.50485436893203</v>
      </c>
      <c r="E13" s="74">
        <f>SUMIFS('0125 4度C'!$K:$K,'0125 4度C'!$A:$A,"新豐2線",'0125 4度C'!$B:$B,"平均")</f>
        <v>83.333333333333329</v>
      </c>
      <c r="F13" s="75">
        <f>SUMIFS('0125 4度C'!$K:$K,'0125 4度C'!$A:$A,"新豐5線",'0125 4度C'!$B:$B,"平均")</f>
        <v>114.50381679389314</v>
      </c>
      <c r="G13" s="75">
        <f>SUMIFS('0125 4度C'!$K:$K,'0125 4度C'!$A:$A,"新豐7線",'0125 4度C'!$B:$B,"平均")</f>
        <v>119.04761904761905</v>
      </c>
      <c r="H13" s="75">
        <f>SUMIFS('0125 4度C'!$K:$K,'0125 4度C'!$A:$A,"新豐3線",'0125 4度C'!$B:$B,"平均")</f>
        <v>300</v>
      </c>
      <c r="I13" s="75">
        <f>SUMIFS('0125 4度C'!$K:$K,'0125 4度C'!$A:$A,"新豐1線",'0125 4度C'!$B:$B,"平均")</f>
        <v>103.41463414634146</v>
      </c>
      <c r="J13" s="76">
        <f>SUMIFS('0125 4度C'!$K:$K,'0125 4度C'!$A:$A,"新豐10線",'0125 4度C'!$B:$B,"平均")</f>
        <v>188.67924528301887</v>
      </c>
      <c r="K13" s="77">
        <f>SUMIFS('0125 4度C'!$K:$K,'0125 4度C'!$A:$A,"新豐8線",'0125 4度C'!$B:$B,"平均")</f>
        <v>130.23255813953489</v>
      </c>
      <c r="L13" s="78">
        <f>SUMIFS('0125 4度C'!$K:$K,'0125 4度C'!$A:$A,"新豐9線",'0125 4度C'!$B:$B,"平均")</f>
        <v>136.17021276595744</v>
      </c>
      <c r="M13" s="76">
        <f>SUMIFS('0125 4度C'!$K:$K,'0125 4度C'!$A:$A,"新豐4線",'0125 4度C'!$B:$B,"平均")</f>
        <v>148.45360824742266</v>
      </c>
    </row>
    <row r="14" spans="2:17" ht="39.6" customHeight="1">
      <c r="B14" s="447"/>
      <c r="C14" s="79" t="s">
        <v>814</v>
      </c>
      <c r="D14" s="80">
        <f>SUMIFS('0125 4度C'!$N:$N,'0125 4度C'!$A:$A,"新豐6線",'0125 4度C'!$B:$B,"平均")</f>
        <v>112.66651658680264</v>
      </c>
      <c r="E14" s="81">
        <f>SUMIFS('0125 4度C'!$N:$N,'0125 4度C'!$A:$A,"新豐2線",'0125 4度C'!$B:$B,"平均")</f>
        <v>79.45663364413366</v>
      </c>
      <c r="F14" s="81">
        <f>SUMIFS('0125 4度C'!$N:$N,'0125 4度C'!$A:$A,"新豐5線",'0125 4度C'!$B:$B,"平均")</f>
        <v>110.67763806913504</v>
      </c>
      <c r="G14" s="81">
        <f>SUMIFS('0125 4度C'!$N:$N,'0125 4度C'!$A:$A,"新豐7線",'0125 4度C'!$B:$B,"平均")</f>
        <v>114.64355161572327</v>
      </c>
      <c r="H14" s="81">
        <f>SUMIFS('0125 4度C'!$N:$N,'0125 4度C'!$A:$A,"新豐3線",'0125 4度C'!$B:$B,"平均")</f>
        <v>288.16257281791866</v>
      </c>
      <c r="I14" s="81">
        <f>SUMIFS('0125 4度C'!$N:$N,'0125 4度C'!$A:$A,"新豐1線",'0125 4度C'!$B:$B,"平均")</f>
        <v>97.588311939577579</v>
      </c>
      <c r="J14" s="82">
        <f>SUMIFS('0125 4度C'!$N:$N,'0125 4度C'!$A:$A,"新豐10線",'0125 4度C'!$B:$B,"平均")</f>
        <v>180.18388248981714</v>
      </c>
      <c r="K14" s="83">
        <f>SUMIFS('0125 4度C'!$N:$N,'0125 4度C'!$A:$A,"新豐8線",'0125 4度C'!$B:$B,"平均")</f>
        <v>124.43632201348433</v>
      </c>
      <c r="L14" s="84">
        <f>SUMIFS('0125 4度C'!$N:$N,'0125 4度C'!$A:$A,"新豐9線",'0125 4度C'!$B:$B,"平均")</f>
        <v>130.55615957401699</v>
      </c>
      <c r="M14" s="82">
        <f>SUMIFS('0125 4度C'!$N:$N,'0125 4度C'!$A:$A,"新豐4線",'0125 4度C'!$B:$B,"平均")</f>
        <v>142.07270161796018</v>
      </c>
    </row>
    <row r="15" spans="2:17" ht="40.15" customHeight="1">
      <c r="B15" s="448"/>
      <c r="C15" s="85" t="s">
        <v>759</v>
      </c>
      <c r="D15" s="86">
        <f t="shared" ref="D15:M15" si="0">D14/D13</f>
        <v>0.96705426737005606</v>
      </c>
      <c r="E15" s="87">
        <f t="shared" si="0"/>
        <v>0.95347960372960394</v>
      </c>
      <c r="F15" s="87">
        <f t="shared" si="0"/>
        <v>0.96658470580377931</v>
      </c>
      <c r="G15" s="87">
        <f t="shared" si="0"/>
        <v>0.96300583357207548</v>
      </c>
      <c r="H15" s="87">
        <f t="shared" si="0"/>
        <v>0.96054190939306217</v>
      </c>
      <c r="I15" s="87">
        <f t="shared" si="0"/>
        <v>0.94366056356667005</v>
      </c>
      <c r="J15" s="88">
        <f t="shared" si="0"/>
        <v>0.95497457719603085</v>
      </c>
      <c r="K15" s="86">
        <f t="shared" si="0"/>
        <v>0.95549318688925466</v>
      </c>
      <c r="L15" s="87">
        <f t="shared" si="0"/>
        <v>0.95877179687168723</v>
      </c>
      <c r="M15" s="88">
        <f t="shared" si="0"/>
        <v>0.95701750395431517</v>
      </c>
    </row>
    <row r="16" spans="2:17" ht="17.25" customHeight="1">
      <c r="B16" s="449" t="s">
        <v>2174</v>
      </c>
      <c r="C16" s="89" t="s">
        <v>995</v>
      </c>
      <c r="D16" s="90">
        <f>VLOOKUP("新豐6線",'0125 4度C'!$A:$T,19,0)</f>
        <v>0.70833333333333337</v>
      </c>
      <c r="E16" s="91">
        <f>VLOOKUP("新豐2線",'0125 4度C'!$A:$T,19,0)</f>
        <v>0.20833333333333334</v>
      </c>
      <c r="F16" s="91">
        <f>VLOOKUP("新豐5線",'0125 4度C'!$A:$T,19,0)</f>
        <v>0.20833333333333334</v>
      </c>
      <c r="G16" s="91">
        <f>VLOOKUP("新豐7線",'0125 4度C'!$A:$T,19,0)</f>
        <v>0.20833333333333334</v>
      </c>
      <c r="H16" s="91">
        <f>VLOOKUP("新豐3線",'0125 4度C'!$A:$T,19,0)</f>
        <v>8.3333333333333329E-2</v>
      </c>
      <c r="I16" s="91">
        <f>VLOOKUP("新豐1線",'0125 4度C'!$A:$T,19,0)</f>
        <v>0.20833333333333334</v>
      </c>
      <c r="J16" s="92">
        <f>VLOOKUP("新豐10線",'0125 4度C'!$A:$T,19,0)</f>
        <v>0.20833333333333334</v>
      </c>
      <c r="K16" s="93">
        <f>VLOOKUP("新豐8線",'0125 4度C'!$A:$T,19,0)</f>
        <v>8.3333333333333329E-2</v>
      </c>
      <c r="L16" s="94">
        <f>VLOOKUP("新豐9線",'0125 4度C'!$A:$T,19,0)</f>
        <v>8.3333333333333329E-2</v>
      </c>
      <c r="M16" s="95">
        <f>VLOOKUP("新豐4線",'0125 4度C'!$A:$T,19,0)</f>
        <v>8.3333333333333329E-2</v>
      </c>
    </row>
    <row r="17" spans="2:13" ht="17.25" customHeight="1">
      <c r="B17" s="450"/>
      <c r="C17" s="89" t="s">
        <v>2175</v>
      </c>
      <c r="D17" s="93">
        <f>LOOKUP(2,1/(('0125 4度C'!$A:$A="新豐6線")*('0125 4度C'!$T:$T&lt;&gt;"")),'0125 4度C'!$T:$T)</f>
        <v>0.92013888888888895</v>
      </c>
      <c r="E17" s="91">
        <f>LOOKUP(2,1/(('0125 4度C'!$A:$A="新豐2線")*('0125 4度C'!$T:$T&lt;&gt;"")),'0125 4度C'!$T:$T)</f>
        <v>0.47916666666666663</v>
      </c>
      <c r="F17" s="91">
        <f>LOOKUP(2,1/(('0125 4度C'!$A:$A="新豐5線")*('0125 4度C'!$T:$T&lt;&gt;"")),'0125 4度C'!$T:$T)</f>
        <v>0.92291666666666672</v>
      </c>
      <c r="G17" s="91">
        <f>LOOKUP(2,1/(('0125 4度C'!$A:$A="新豐7線")*('0125 4度C'!$T:$T&lt;&gt;"")),'0125 4度C'!$T:$T)</f>
        <v>0.93333333333333324</v>
      </c>
      <c r="H17" s="91">
        <f>LOOKUP(2,1/(('0125 4度C'!$A:$A="新豐3線")*('0125 4度C'!$T:$T&lt;&gt;"")),'0125 4度C'!$T:$T)</f>
        <v>0.58541666666666659</v>
      </c>
      <c r="I17" s="91">
        <f>LOOKUP(2,1/(('0125 4度C'!$A:$A="新豐1線")*('0125 4度C'!$T:$T&lt;&gt;"")),'0125 4度C'!$T:$T)</f>
        <v>0.92986111111111114</v>
      </c>
      <c r="J17" s="92">
        <f>LOOKUP(2,1/(('0125 4度C'!$A:$A="新豐10線")*('0125 4度C'!$T:$T&lt;&gt;"")),'0125 4度C'!$T:$T)</f>
        <v>0.47986111111111107</v>
      </c>
      <c r="K17" s="90">
        <f>LOOKUP(2,1/(('0125 4度C'!$A:$A="新豐8線")*('0125 4度C'!$T:$T&lt;&gt;"")),'0125 4度C'!$T:$T)</f>
        <v>0.65069444444444424</v>
      </c>
      <c r="L17" s="91">
        <f>LOOKUP(2,1/(('0125 4度C'!$A:$A="新豐9線")*('0125 4度C'!$T:$T&lt;&gt;"")),'0125 4度C'!$T:$T)</f>
        <v>0.67847222222222214</v>
      </c>
      <c r="M17" s="92">
        <f>LOOKUP(2,1/(('0125 4度C'!$A:$A="新豐4線")*('0125 4度C'!$T:$T&lt;&gt;"")),'0125 4度C'!$T:$T)</f>
        <v>0.625</v>
      </c>
    </row>
    <row r="18" spans="2:13" ht="17.25" customHeight="1">
      <c r="B18" s="428" t="s">
        <v>2176</v>
      </c>
      <c r="C18" s="96" t="s">
        <v>41</v>
      </c>
      <c r="D18" s="97">
        <f>SUMIFS('0125 4度C'!$Y:$Y,'0125 4度C'!$A:$A,"新豐6線",'0125 4度C'!$B:$B,"平均")</f>
        <v>0</v>
      </c>
      <c r="E18" s="98">
        <f>SUMIFS('0125 4度C'!$Y:$Y,'0125 4度C'!$A:$A,"新豐2線",'0125 4度C'!$B:$B,"平均")</f>
        <v>0</v>
      </c>
      <c r="F18" s="98">
        <f>SUMIFS('0125 4度C'!$Y:$Y,'0125 4度C'!$A:$A,"新豐5線",'0125 4度C'!$B:$B,"平均")</f>
        <v>0</v>
      </c>
      <c r="G18" s="98">
        <f>SUMIFS('0125 4度C'!$Y:$Y,'0125 4度C'!$A:$A,"新豐7線",'0125 4度C'!$B:$B,"平均")</f>
        <v>0</v>
      </c>
      <c r="H18" s="98">
        <f>SUMIFS('0125 4度C'!$Y:$Y,'0125 4度C'!$A:$A,"新豐3線",'0125 4度C'!$B:$B,"平均")</f>
        <v>0</v>
      </c>
      <c r="I18" s="98">
        <f>SUMIFS('0125 4度C'!$Y:$Y,'0125 4度C'!$A:$A,"新豐1線",'0125 4度C'!$B:$B,"平均")</f>
        <v>0</v>
      </c>
      <c r="J18" s="99">
        <f>SUMIFS('0125 4度C'!$Y:$Y,'0125 4度C'!$A:$A,"新豐10線",'0125 4度C'!$B:$B,"平均")</f>
        <v>0</v>
      </c>
      <c r="K18" s="100">
        <f>SUMIFS('0125 4度C'!$Y:$Y,'0125 4度C'!$A:$A,"新豐8線",'0125 4度C'!$B:$B,"平均")</f>
        <v>0</v>
      </c>
      <c r="L18" s="98">
        <f>SUMIFS('0125 4度C'!$Y:$Y,'0125 4度C'!$A:$A,"新豐9線",'0125 4度C'!$B:$B,"平均")</f>
        <v>0</v>
      </c>
      <c r="M18" s="99">
        <f>SUMIFS('0125 4度C'!$Y:$Y,'0125 4度C'!$A:$A,"新豐4線",'0125 4度C'!$B:$B,"平均")</f>
        <v>0</v>
      </c>
    </row>
    <row r="19" spans="2:13" ht="17.25" customHeight="1">
      <c r="B19" s="429"/>
      <c r="C19" s="96" t="s">
        <v>2177</v>
      </c>
      <c r="D19" s="97">
        <f>SUMIFS('0125 4度C'!$Z:$Z,'0125 4度C'!$A:$A,"新豐6線",'0125 4度C'!$B:$B,"平均")</f>
        <v>0</v>
      </c>
      <c r="E19" s="98">
        <f>SUMIFS('0125 4度C'!$Z:$Z,'0125 4度C'!$A:$A,"新豐2線",'0125 4度C'!$B:$B,"平均")</f>
        <v>0</v>
      </c>
      <c r="F19" s="98">
        <f>SUMIFS('0125 4度C'!$Z:$Z,'0125 4度C'!$A:$A,"新豐5線",'0125 4度C'!$B:$B,"平均")</f>
        <v>0</v>
      </c>
      <c r="G19" s="98">
        <f>SUMIFS('0125 4度C'!$Z:$Z,'0125 4度C'!$A:$A,"新豐7線",'0125 4度C'!$B:$B,"平均")</f>
        <v>0</v>
      </c>
      <c r="H19" s="98">
        <f>SUMIFS('0125 4度C'!$Z:$Z,'0125 4度C'!$A:$A,"新豐3線",'0125 4度C'!$B:$B,"平均")</f>
        <v>0</v>
      </c>
      <c r="I19" s="98">
        <f>SUMIFS('0125 4度C'!$Z:$Z,'0125 4度C'!$A:$A,"新豐1線",'0125 4度C'!$B:$B,"平均")</f>
        <v>0</v>
      </c>
      <c r="J19" s="99">
        <f>SUMIFS('0125 4度C'!$Z:$Z,'0125 4度C'!$A:$A,"新豐10線",'0125 4度C'!$B:$B,"平均")</f>
        <v>0</v>
      </c>
      <c r="K19" s="100">
        <f>SUMIFS('0125 4度C'!$Z:$Z,'0125 4度C'!$A:$A,"新豐8線",'0125 4度C'!$B:$B,"平均")</f>
        <v>0</v>
      </c>
      <c r="L19" s="98">
        <f>SUMIFS('0125 4度C'!$Z:$Z,'0125 4度C'!$A:$A,"新豐9線",'0125 4度C'!$B:$B,"平均")</f>
        <v>0</v>
      </c>
      <c r="M19" s="99">
        <f>SUMIFS('0125 4度C'!$Z:$Z,'0125 4度C'!$A:$A,"新豐4線",'0125 4度C'!$B:$B,"平均")</f>
        <v>0</v>
      </c>
    </row>
    <row r="20" spans="2:13" ht="17.25" customHeight="1">
      <c r="B20" s="428" t="s">
        <v>820</v>
      </c>
      <c r="C20" s="96" t="s">
        <v>41</v>
      </c>
      <c r="D20" s="97">
        <f>SUMIFS('0125 4度C'!$AC:$AC,'0125 4度C'!$A:$A,"新豐6線",'0125 4度C'!$B:$B,"平均")</f>
        <v>2</v>
      </c>
      <c r="E20" s="98">
        <f>SUMIFS('0125 4度C'!$AC:$AC,'0125 4度C'!$A:$A,"新豐2線",'0125 4度C'!$B:$B,"平均")</f>
        <v>3</v>
      </c>
      <c r="F20" s="98">
        <f>SUMIFS('0125 4度C'!$AC:$AC,'0125 4度C'!$A:$A,"新豐5線",'0125 4度C'!$B:$B,"平均")</f>
        <v>3</v>
      </c>
      <c r="G20" s="98">
        <f>SUMIFS('0125 4度C'!$AC:$AC,'0125 4度C'!$A:$A,"新豐7線",'0125 4度C'!$B:$B,"平均")</f>
        <v>4</v>
      </c>
      <c r="H20" s="98">
        <f>SUMIFS('0125 4度C'!$AC:$AC,'0125 4度C'!$A:$A,"新豐3線",'0125 4度C'!$B:$B,"平均")</f>
        <v>2</v>
      </c>
      <c r="I20" s="98">
        <f>SUMIFS('0125 4度C'!$AC:$AC,'0125 4度C'!$A:$A,"新豐1線",'0125 4度C'!$B:$B,"平均")</f>
        <v>6</v>
      </c>
      <c r="J20" s="99">
        <f>SUMIFS('0125 4度C'!$AC:$AC,'0125 4度C'!$A:$A,"新豐10線",'0125 4度C'!$B:$B,"平均")</f>
        <v>1</v>
      </c>
      <c r="K20" s="100">
        <f>SUMIFS('0125 4度C'!$AC:$AC,'0125 4度C'!$A:$A,"新豐8線",'0125 4度C'!$B:$B,"平均")</f>
        <v>8</v>
      </c>
      <c r="L20" s="98">
        <f>SUMIFS('0125 4度C'!$AC:$AC,'0125 4度C'!$A:$A,"新豐9線",'0125 4度C'!$B:$B,"平均")</f>
        <v>9</v>
      </c>
      <c r="M20" s="99">
        <f>SUMIFS('0125 4度C'!$AC:$AC,'0125 4度C'!$A:$A,"新豐4線",'0125 4度C'!$B:$B,"平均")</f>
        <v>8</v>
      </c>
    </row>
    <row r="21" spans="2:13" ht="17.25" customHeight="1">
      <c r="B21" s="429"/>
      <c r="C21" s="96" t="s">
        <v>822</v>
      </c>
      <c r="D21" s="97">
        <f>SUMIFS('0125 4度C'!$AD:$AD,'0125 4度C'!$A:$A,"新豐6線",'0125 4度C'!$B:$B,"平均")</f>
        <v>0</v>
      </c>
      <c r="E21" s="98">
        <f>SUMIFS('0125 4度C'!$AD:$AD,'0125 4度C'!$A:$A,"新豐2線",'0125 4度C'!$B:$B,"平均")</f>
        <v>0</v>
      </c>
      <c r="F21" s="98">
        <f>SUMIFS('0125 4度C'!$AD:$AD,'0125 4度C'!$A:$A,"新豐5線",'0125 4度C'!$B:$B,"平均")</f>
        <v>0</v>
      </c>
      <c r="G21" s="98">
        <f>SUMIFS('0125 4度C'!$AD:$AD,'0125 4度C'!$A:$A,"新豐7線",'0125 4度C'!$B:$B,"平均")</f>
        <v>0</v>
      </c>
      <c r="H21" s="98">
        <f>SUMIFS('0125 4度C'!$AD:$AD,'0125 4度C'!$A:$A,"新豐3線",'0125 4度C'!$B:$B,"平均")</f>
        <v>0</v>
      </c>
      <c r="I21" s="98">
        <f>SUMIFS('0125 4度C'!$AD:$AD,'0125 4度C'!$A:$A,"新豐1線",'0125 4度C'!$B:$B,"平均")</f>
        <v>0</v>
      </c>
      <c r="J21" s="99">
        <f>SUMIFS('0125 4度C'!$AD:$AD,'0125 4度C'!$A:$A,"新豐10線",'0125 4度C'!$B:$B,"平均")</f>
        <v>0</v>
      </c>
      <c r="K21" s="100">
        <f>SUMIFS('0125 4度C'!$AD:$AD,'0125 4度C'!$A:$A,"新豐8線",'0125 4度C'!$B:$B,"平均")</f>
        <v>0</v>
      </c>
      <c r="L21" s="98">
        <f>SUMIFS('0125 4度C'!$AD:$AD,'0125 4度C'!$A:$A,"新豐9線",'0125 4度C'!$B:$B,"平均")</f>
        <v>0</v>
      </c>
      <c r="M21" s="99">
        <f>SUMIFS('0125 4度C'!$AD:$AD,'0125 4度C'!$A:$A,"新豐4線",'0125 4度C'!$B:$B,"平均")</f>
        <v>0</v>
      </c>
    </row>
    <row r="22" spans="2:13" ht="17.25" customHeight="1">
      <c r="B22" s="430" t="s">
        <v>2178</v>
      </c>
      <c r="C22" s="431"/>
      <c r="D22" s="101">
        <f>SUMIFS('0125 4度C'!$I:$I,'0125 4度C'!$A:$A,"新豐6線",'0125 4度C'!$B:$B,"平均")</f>
        <v>17.166666666666668</v>
      </c>
      <c r="E22" s="102">
        <f>SUMIFS('0125 4度C'!$I:$I,'0125 4度C'!$A:$A,"新豐2線",'0125 4度C'!$B:$B,"平均")</f>
        <v>18</v>
      </c>
      <c r="F22" s="102">
        <f>SUMIFS('0125 4度C'!$I:$I,'0125 4度C'!$A:$A,"新豐5線",'0125 4度C'!$B:$B,"平均")</f>
        <v>16.375</v>
      </c>
      <c r="G22" s="102">
        <f>SUMIFS('0125 4度C'!$I:$I,'0125 4度C'!$A:$A,"新豐7線",'0125 4度C'!$B:$B,"平均")</f>
        <v>15.75</v>
      </c>
      <c r="H22" s="102">
        <f>SUMIFS('0125 4度C'!$I:$I,'0125 4度C'!$A:$A,"新豐3線",'0125 4度C'!$B:$B,"平均")</f>
        <v>10</v>
      </c>
      <c r="I22" s="102">
        <f>SUMIFS('0125 4度C'!$I:$I,'0125 4度C'!$A:$A,"新豐1線",'0125 4度C'!$B:$B,"平均")</f>
        <v>18.636363636363637</v>
      </c>
      <c r="J22" s="103">
        <f>SUMIFS('0125 4度C'!$I:$I,'0125 4度C'!$A:$A,"新豐10線",'0125 4度C'!$B:$B,"平均")</f>
        <v>10.6</v>
      </c>
      <c r="K22" s="101">
        <f>SUMIFS('0125 4度C'!$I:$I,'0125 4度C'!$A:$A,"新豐8線",'0125 4度C'!$B:$B,"平均")</f>
        <v>18.428571428571427</v>
      </c>
      <c r="L22" s="102">
        <f>SUMIFS('0125 4度C'!$I:$I,'0125 4度C'!$A:$A,"新豐9線",'0125 4度C'!$B:$B,"平均")</f>
        <v>17.625</v>
      </c>
      <c r="M22" s="103">
        <f>SUMIFS('0125 4度C'!$I:$I,'0125 4度C'!$A:$A,"新豐4線",'0125 4度C'!$B:$B,"平均")</f>
        <v>16.166666666666668</v>
      </c>
    </row>
    <row r="23" spans="2:13" ht="17.25" customHeight="1">
      <c r="B23" s="430" t="s">
        <v>761</v>
      </c>
      <c r="C23" s="431"/>
      <c r="D23" s="104" t="s">
        <v>157</v>
      </c>
      <c r="E23" s="105" t="s">
        <v>158</v>
      </c>
      <c r="F23" s="105" t="s">
        <v>2179</v>
      </c>
      <c r="G23" s="105" t="s">
        <v>762</v>
      </c>
      <c r="H23" s="105" t="s">
        <v>159</v>
      </c>
      <c r="I23" s="105" t="s">
        <v>157</v>
      </c>
      <c r="J23" s="106" t="s">
        <v>159</v>
      </c>
      <c r="K23" s="104" t="s">
        <v>826</v>
      </c>
      <c r="L23" s="105" t="s">
        <v>826</v>
      </c>
      <c r="M23" s="106" t="s">
        <v>2180</v>
      </c>
    </row>
    <row r="24" spans="2:13" ht="17.25" customHeight="1">
      <c r="B24" s="430" t="s">
        <v>827</v>
      </c>
      <c r="C24" s="431"/>
      <c r="D24" s="104"/>
      <c r="E24" s="105"/>
      <c r="F24" s="105" t="s">
        <v>763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764</v>
      </c>
      <c r="C25" s="433"/>
      <c r="D25" s="107"/>
      <c r="E25" s="108" t="s">
        <v>829</v>
      </c>
      <c r="F25" s="426" t="s">
        <v>2181</v>
      </c>
      <c r="G25" s="427"/>
      <c r="H25" s="108" t="s">
        <v>367</v>
      </c>
      <c r="I25" s="108" t="s">
        <v>765</v>
      </c>
      <c r="J25" s="109" t="s">
        <v>367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4"/>
  <sheetViews>
    <sheetView zoomScale="80" zoomScaleNormal="80" workbookViewId="0">
      <pane ySplit="4" topLeftCell="A59" activePane="bottomLeft" state="frozen"/>
      <selection activeCell="E6" sqref="E6:F6"/>
      <selection pane="bottomLeft" activeCell="E6" sqref="E6:F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SUM(F5:F83)</f>
        <v>178002</v>
      </c>
      <c r="E1" s="371" t="s">
        <v>2182</v>
      </c>
      <c r="F1" s="1">
        <f>SUM(G5:G83)</f>
        <v>6075127.1200000001</v>
      </c>
      <c r="G1" s="1" t="s">
        <v>3</v>
      </c>
      <c r="H1" s="5">
        <f>L11+L14+L58+L70+L23+L76+L40+L49+L32+L83</f>
        <v>158.74826839826838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2183</v>
      </c>
      <c r="Z1" s="7" t="s">
        <v>9</v>
      </c>
      <c r="AA1" s="543" t="s">
        <v>2184</v>
      </c>
      <c r="AB1" s="543"/>
      <c r="AC1" s="8" t="s">
        <v>2183</v>
      </c>
      <c r="AD1" s="7" t="s">
        <v>11</v>
      </c>
      <c r="AE1" s="542" t="s">
        <v>12</v>
      </c>
      <c r="AF1" s="544"/>
      <c r="AG1" s="544"/>
    </row>
    <row r="2" spans="1:33" ht="26.25" customHeight="1">
      <c r="A2" s="49">
        <v>46047</v>
      </c>
      <c r="B2" s="50" t="s">
        <v>473</v>
      </c>
      <c r="C2" s="2" t="s">
        <v>2185</v>
      </c>
      <c r="D2" s="10">
        <f>AVERAGE(N11,N14,N58,N70,N23,N76,N32,N40,N49,N83)</f>
        <v>138.04442903685691</v>
      </c>
      <c r="E2" s="11" t="s">
        <v>14</v>
      </c>
      <c r="F2" s="12">
        <f>F1/D1</f>
        <v>34.129544162425141</v>
      </c>
      <c r="G2" s="1" t="s">
        <v>15</v>
      </c>
      <c r="H2" s="370">
        <f>COUNT(H5:H83)</f>
        <v>13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SUM(Y11+Y14+Y23+Y32+Y40+Y49+Y58+Y70+Y76+Y83)</f>
        <v>0</v>
      </c>
      <c r="Z2" s="14">
        <f>SUM(Z11+Z14+Z23+Z32+Z40+Z49+Z58+Z70+Z76+Z83)</f>
        <v>0</v>
      </c>
      <c r="AA2" s="543"/>
      <c r="AB2" s="543"/>
      <c r="AC2" s="14">
        <f>SUM(AC11+AC14+AC23+AC32+AC40+AC49+AC58+AC70+AC76+AC83)</f>
        <v>46</v>
      </c>
      <c r="AD2" s="14">
        <f>SUM(AD11+AD14+AD23+AD32+AD40+AD49+AD58+AD70+AD76+AD83)</f>
        <v>0</v>
      </c>
      <c r="AE2" s="544"/>
      <c r="AF2" s="544"/>
      <c r="AG2" s="544"/>
    </row>
    <row r="3" spans="1:33" ht="40.5" customHeight="1">
      <c r="A3" s="491" t="s">
        <v>2186</v>
      </c>
      <c r="B3" s="491" t="s">
        <v>17</v>
      </c>
      <c r="C3" s="491" t="s">
        <v>2187</v>
      </c>
      <c r="D3" s="491"/>
      <c r="E3" s="540" t="s">
        <v>19</v>
      </c>
      <c r="F3" s="491" t="s">
        <v>2188</v>
      </c>
      <c r="G3" s="540" t="s">
        <v>21</v>
      </c>
      <c r="H3" s="533" t="s">
        <v>2189</v>
      </c>
      <c r="I3" s="531" t="s">
        <v>2190</v>
      </c>
      <c r="J3" s="528" t="s">
        <v>2191</v>
      </c>
      <c r="K3" s="538" t="s">
        <v>13</v>
      </c>
      <c r="L3" s="531" t="s">
        <v>23</v>
      </c>
      <c r="M3" s="528" t="s">
        <v>24</v>
      </c>
      <c r="N3" s="538" t="s">
        <v>13</v>
      </c>
      <c r="O3" s="531" t="s">
        <v>23</v>
      </c>
      <c r="P3" s="538" t="s">
        <v>13</v>
      </c>
      <c r="Q3" s="529" t="s">
        <v>25</v>
      </c>
      <c r="R3" s="507" t="s">
        <v>2192</v>
      </c>
      <c r="S3" s="539" t="s">
        <v>27</v>
      </c>
      <c r="T3" s="539"/>
      <c r="U3" s="533" t="s">
        <v>28</v>
      </c>
      <c r="V3" s="533" t="s">
        <v>29</v>
      </c>
      <c r="W3" s="491" t="s">
        <v>30</v>
      </c>
      <c r="X3" s="491"/>
      <c r="Y3" s="534" t="s">
        <v>31</v>
      </c>
      <c r="Z3" s="495"/>
      <c r="AA3" s="535" t="s">
        <v>2193</v>
      </c>
      <c r="AB3" s="536"/>
      <c r="AC3" s="534" t="s">
        <v>2194</v>
      </c>
      <c r="AD3" s="495"/>
      <c r="AE3" s="528" t="s">
        <v>2191</v>
      </c>
      <c r="AF3" s="529" t="s">
        <v>2195</v>
      </c>
      <c r="AG3" s="507" t="s">
        <v>2192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72" t="s">
        <v>37</v>
      </c>
      <c r="T4" s="372" t="s">
        <v>38</v>
      </c>
      <c r="U4" s="533"/>
      <c r="V4" s="533"/>
      <c r="W4" s="371" t="s">
        <v>2196</v>
      </c>
      <c r="X4" s="371" t="s">
        <v>40</v>
      </c>
      <c r="Y4" s="376" t="s">
        <v>2197</v>
      </c>
      <c r="Z4" s="376" t="s">
        <v>42</v>
      </c>
      <c r="AA4" s="537"/>
      <c r="AB4" s="536"/>
      <c r="AC4" s="376" t="s">
        <v>2198</v>
      </c>
      <c r="AD4" s="376" t="s">
        <v>2199</v>
      </c>
      <c r="AE4" s="528"/>
      <c r="AF4" s="529"/>
      <c r="AG4" s="507"/>
    </row>
    <row r="5" spans="1:33">
      <c r="A5" s="530" t="s">
        <v>2200</v>
      </c>
      <c r="B5" s="42" t="s">
        <v>103</v>
      </c>
      <c r="C5" s="532" t="s">
        <v>120</v>
      </c>
      <c r="D5" s="532"/>
      <c r="E5" s="42">
        <v>50.67</v>
      </c>
      <c r="F5" s="372">
        <v>1424</v>
      </c>
      <c r="G5" s="371">
        <f t="shared" ref="G5:G10" si="0">E5*F5</f>
        <v>72154.080000000002</v>
      </c>
      <c r="H5" s="383" t="s">
        <v>79</v>
      </c>
      <c r="I5" s="374">
        <v>17</v>
      </c>
      <c r="J5" s="37">
        <v>2000</v>
      </c>
      <c r="K5" s="17">
        <f t="shared" ref="K5:K68" si="1">J5/I5</f>
        <v>117.64705882352941</v>
      </c>
      <c r="L5" s="374">
        <v>17</v>
      </c>
      <c r="M5" s="18">
        <f t="shared" ref="M5:M10" si="2">F5/V5*60</f>
        <v>1941.818181818182</v>
      </c>
      <c r="N5" s="17">
        <f t="shared" ref="N5:N68" si="3">M5/L5</f>
        <v>114.22459893048129</v>
      </c>
      <c r="O5" s="19">
        <f t="shared" ref="O5:O68" si="4">L5-I5</f>
        <v>0</v>
      </c>
      <c r="P5" s="20">
        <f t="shared" ref="P5:P68" si="5">N5-K5</f>
        <v>-3.4224598930481136</v>
      </c>
      <c r="Q5" s="375">
        <f t="shared" ref="Q5:Q68" si="6">N5/K5</f>
        <v>0.97090909090909105</v>
      </c>
      <c r="R5" s="489">
        <f>Q11</f>
        <v>0.96705426737005606</v>
      </c>
      <c r="S5" s="40">
        <v>0.70833333333333337</v>
      </c>
      <c r="T5" s="40">
        <v>0.73888888888888893</v>
      </c>
      <c r="U5" s="371"/>
      <c r="V5" s="373">
        <f t="shared" ref="V5:V10" si="7">(T5-S5)*24*60</f>
        <v>44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-58.181818181818016</v>
      </c>
      <c r="AF5" s="375">
        <f t="shared" ref="AF5:AF68" si="9">M5/J5</f>
        <v>0.97090909090909094</v>
      </c>
      <c r="AG5" s="489">
        <f>AF11</f>
        <v>0.96705426737005606</v>
      </c>
    </row>
    <row r="6" spans="1:33">
      <c r="A6" s="531" t="s">
        <v>2200</v>
      </c>
      <c r="B6" s="42" t="s">
        <v>103</v>
      </c>
      <c r="C6" s="532" t="s">
        <v>121</v>
      </c>
      <c r="D6" s="532"/>
      <c r="E6" s="42">
        <v>54.09</v>
      </c>
      <c r="F6" s="372">
        <v>1439</v>
      </c>
      <c r="G6" s="371">
        <f t="shared" si="0"/>
        <v>77835.510000000009</v>
      </c>
      <c r="H6" s="383" t="s">
        <v>79</v>
      </c>
      <c r="I6" s="374">
        <v>19</v>
      </c>
      <c r="J6" s="37">
        <v>2000</v>
      </c>
      <c r="K6" s="17">
        <f t="shared" si="1"/>
        <v>105.26315789473684</v>
      </c>
      <c r="L6" s="374">
        <v>19</v>
      </c>
      <c r="M6" s="18">
        <f t="shared" si="2"/>
        <v>1918.6666666666667</v>
      </c>
      <c r="N6" s="17">
        <f t="shared" si="3"/>
        <v>100.98245614035088</v>
      </c>
      <c r="O6" s="19">
        <f t="shared" si="4"/>
        <v>0</v>
      </c>
      <c r="P6" s="20">
        <f t="shared" si="5"/>
        <v>-4.2807017543859587</v>
      </c>
      <c r="Q6" s="375">
        <f t="shared" si="6"/>
        <v>0.95933333333333337</v>
      </c>
      <c r="R6" s="489"/>
      <c r="S6" s="40">
        <v>0.74305555555555558</v>
      </c>
      <c r="T6" s="40">
        <v>0.77430555555555558</v>
      </c>
      <c r="U6" s="371">
        <f t="shared" ref="U6:U10" si="10">IF(S6=TIME(17,0,0),"",(S6-T5)*24*60)</f>
        <v>5.9999999999999787</v>
      </c>
      <c r="V6" s="373">
        <f t="shared" si="7"/>
        <v>45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-81.333333333333258</v>
      </c>
      <c r="AF6" s="375">
        <f t="shared" si="9"/>
        <v>0.95933333333333337</v>
      </c>
      <c r="AG6" s="489"/>
    </row>
    <row r="7" spans="1:33">
      <c r="A7" s="531" t="s">
        <v>2200</v>
      </c>
      <c r="B7" s="42" t="s">
        <v>103</v>
      </c>
      <c r="C7" s="523" t="s">
        <v>122</v>
      </c>
      <c r="D7" s="524"/>
      <c r="E7" s="42">
        <v>50.29</v>
      </c>
      <c r="F7" s="372">
        <v>1057</v>
      </c>
      <c r="G7" s="371">
        <f t="shared" si="0"/>
        <v>53156.53</v>
      </c>
      <c r="H7" s="383" t="s">
        <v>79</v>
      </c>
      <c r="I7" s="374">
        <v>16</v>
      </c>
      <c r="J7" s="37">
        <v>2000</v>
      </c>
      <c r="K7" s="17">
        <f t="shared" si="1"/>
        <v>125</v>
      </c>
      <c r="L7" s="374">
        <v>16</v>
      </c>
      <c r="M7" s="18">
        <f t="shared" si="2"/>
        <v>1921.8181818181793</v>
      </c>
      <c r="N7" s="17">
        <f t="shared" si="3"/>
        <v>120.1136363636362</v>
      </c>
      <c r="O7" s="19">
        <f t="shared" si="4"/>
        <v>0</v>
      </c>
      <c r="P7" s="20">
        <f t="shared" si="5"/>
        <v>-4.8863636363637966</v>
      </c>
      <c r="Q7" s="375">
        <f t="shared" si="6"/>
        <v>0.9609090909090896</v>
      </c>
      <c r="R7" s="489"/>
      <c r="S7" s="40">
        <v>0.77847222222222223</v>
      </c>
      <c r="T7" s="40">
        <v>0.80138888888888893</v>
      </c>
      <c r="U7" s="371">
        <f t="shared" si="10"/>
        <v>5.9999999999999787</v>
      </c>
      <c r="V7" s="373">
        <f t="shared" si="7"/>
        <v>33.000000000000043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-78.181818181820745</v>
      </c>
      <c r="AF7" s="375">
        <f t="shared" si="9"/>
        <v>0.9609090909090896</v>
      </c>
      <c r="AG7" s="489"/>
    </row>
    <row r="8" spans="1:33">
      <c r="A8" s="531" t="s">
        <v>45</v>
      </c>
      <c r="B8" s="42" t="s">
        <v>103</v>
      </c>
      <c r="C8" s="523" t="s">
        <v>1708</v>
      </c>
      <c r="D8" s="524"/>
      <c r="E8" s="42">
        <v>57.3</v>
      </c>
      <c r="F8" s="372">
        <v>800</v>
      </c>
      <c r="G8" s="371">
        <f t="shared" si="0"/>
        <v>45840</v>
      </c>
      <c r="H8" s="383">
        <v>2</v>
      </c>
      <c r="I8" s="374">
        <v>15</v>
      </c>
      <c r="J8" s="37">
        <v>2000</v>
      </c>
      <c r="K8" s="17">
        <f t="shared" si="1"/>
        <v>133.33333333333334</v>
      </c>
      <c r="L8" s="374">
        <v>15</v>
      </c>
      <c r="M8" s="18">
        <f t="shared" si="2"/>
        <v>1919.9999999999945</v>
      </c>
      <c r="N8" s="17">
        <f t="shared" si="3"/>
        <v>127.99999999999963</v>
      </c>
      <c r="O8" s="19">
        <f t="shared" si="4"/>
        <v>0</v>
      </c>
      <c r="P8" s="20">
        <f t="shared" si="5"/>
        <v>-5.3333333333337123</v>
      </c>
      <c r="Q8" s="375">
        <f t="shared" si="6"/>
        <v>0.95999999999999719</v>
      </c>
      <c r="R8" s="489"/>
      <c r="S8" s="40">
        <v>0.80486111111111114</v>
      </c>
      <c r="T8" s="40">
        <v>0.8222222222222223</v>
      </c>
      <c r="U8" s="371">
        <f t="shared" si="10"/>
        <v>4.9999999999999822</v>
      </c>
      <c r="V8" s="373">
        <f t="shared" si="7"/>
        <v>25.000000000000071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-80.000000000005457</v>
      </c>
      <c r="AF8" s="375">
        <f t="shared" si="9"/>
        <v>0.9599999999999973</v>
      </c>
      <c r="AG8" s="489"/>
    </row>
    <row r="9" spans="1:33">
      <c r="A9" s="531" t="s">
        <v>45</v>
      </c>
      <c r="B9" s="42" t="s">
        <v>103</v>
      </c>
      <c r="C9" s="523" t="s">
        <v>515</v>
      </c>
      <c r="D9" s="524"/>
      <c r="E9" s="42">
        <v>50.67</v>
      </c>
      <c r="F9" s="372">
        <v>1236</v>
      </c>
      <c r="G9" s="371">
        <f t="shared" si="0"/>
        <v>62628.12</v>
      </c>
      <c r="H9" s="383" t="s">
        <v>79</v>
      </c>
      <c r="I9" s="374">
        <v>21</v>
      </c>
      <c r="J9" s="37">
        <v>2000</v>
      </c>
      <c r="K9" s="17">
        <f t="shared" si="1"/>
        <v>95.238095238095241</v>
      </c>
      <c r="L9" s="374">
        <v>21</v>
      </c>
      <c r="M9" s="18">
        <f t="shared" si="2"/>
        <v>1951.5789473684194</v>
      </c>
      <c r="N9" s="17">
        <f t="shared" si="3"/>
        <v>92.932330827067588</v>
      </c>
      <c r="O9" s="19">
        <f t="shared" si="4"/>
        <v>0</v>
      </c>
      <c r="P9" s="20">
        <f t="shared" si="5"/>
        <v>-2.3057644110276527</v>
      </c>
      <c r="Q9" s="375">
        <f t="shared" si="6"/>
        <v>0.97578947368420965</v>
      </c>
      <c r="R9" s="489"/>
      <c r="S9" s="40">
        <v>0.82569444444444451</v>
      </c>
      <c r="T9" s="40">
        <v>0.85208333333333341</v>
      </c>
      <c r="U9" s="371">
        <f t="shared" si="10"/>
        <v>4.9999999999999822</v>
      </c>
      <c r="V9" s="373">
        <f t="shared" si="7"/>
        <v>38.000000000000028</v>
      </c>
      <c r="W9" s="23">
        <f>T9</f>
        <v>0.85208333333333341</v>
      </c>
      <c r="X9" s="23">
        <f>S10</f>
        <v>0.8930555555555556</v>
      </c>
      <c r="Y9" s="26"/>
      <c r="Z9" s="26"/>
      <c r="AA9" s="503"/>
      <c r="AB9" s="504"/>
      <c r="AC9" s="155"/>
      <c r="AD9" s="27"/>
      <c r="AE9" s="19">
        <f t="shared" si="8"/>
        <v>-48.421052631580551</v>
      </c>
      <c r="AF9" s="375">
        <f t="shared" si="9"/>
        <v>0.97578947368420976</v>
      </c>
      <c r="AG9" s="489"/>
    </row>
    <row r="10" spans="1:33">
      <c r="A10" s="531" t="s">
        <v>45</v>
      </c>
      <c r="B10" s="42" t="s">
        <v>103</v>
      </c>
      <c r="C10" s="523" t="s">
        <v>1708</v>
      </c>
      <c r="D10" s="524"/>
      <c r="E10" s="42">
        <v>57.3</v>
      </c>
      <c r="F10" s="372">
        <v>1268</v>
      </c>
      <c r="G10" s="371">
        <f t="shared" si="0"/>
        <v>72656.399999999994</v>
      </c>
      <c r="H10" s="383" t="s">
        <v>79</v>
      </c>
      <c r="I10" s="374">
        <v>15</v>
      </c>
      <c r="J10" s="37">
        <v>2000</v>
      </c>
      <c r="K10" s="17">
        <f t="shared" si="1"/>
        <v>133.33333333333334</v>
      </c>
      <c r="L10" s="374">
        <v>15</v>
      </c>
      <c r="M10" s="18">
        <f t="shared" si="2"/>
        <v>1950.7692307692298</v>
      </c>
      <c r="N10" s="17">
        <f t="shared" si="3"/>
        <v>130.05128205128199</v>
      </c>
      <c r="O10" s="19">
        <f t="shared" si="4"/>
        <v>0</v>
      </c>
      <c r="P10" s="20">
        <f t="shared" si="5"/>
        <v>-3.2820512820513557</v>
      </c>
      <c r="Q10" s="375">
        <f t="shared" si="6"/>
        <v>0.97538461538461485</v>
      </c>
      <c r="R10" s="489"/>
      <c r="S10" s="40">
        <v>0.8930555555555556</v>
      </c>
      <c r="T10" s="40">
        <v>0.92013888888888895</v>
      </c>
      <c r="U10" s="371">
        <f t="shared" si="10"/>
        <v>58.99999999999995</v>
      </c>
      <c r="V10" s="373">
        <f t="shared" si="7"/>
        <v>39.000000000000021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-49.230769230770193</v>
      </c>
      <c r="AF10" s="375">
        <f t="shared" si="9"/>
        <v>0.97538461538461485</v>
      </c>
      <c r="AG10" s="489"/>
    </row>
    <row r="11" spans="1:33">
      <c r="A11" s="531" t="s">
        <v>45</v>
      </c>
      <c r="B11" s="42" t="s">
        <v>49</v>
      </c>
      <c r="C11" s="494"/>
      <c r="D11" s="494"/>
      <c r="E11" s="377"/>
      <c r="F11" s="44"/>
      <c r="G11" s="17"/>
      <c r="H11" s="372"/>
      <c r="I11" s="30">
        <v>17.166666666666668</v>
      </c>
      <c r="J11" s="37">
        <v>2000</v>
      </c>
      <c r="K11" s="17">
        <f t="shared" si="1"/>
        <v>116.50485436893203</v>
      </c>
      <c r="L11" s="30">
        <v>17.166666666666668</v>
      </c>
      <c r="M11" s="18">
        <f>AVERAGE(M5:M10)</f>
        <v>1934.1085347401122</v>
      </c>
      <c r="N11" s="17">
        <f t="shared" si="3"/>
        <v>112.66651658680264</v>
      </c>
      <c r="O11" s="19">
        <f t="shared" si="4"/>
        <v>0</v>
      </c>
      <c r="P11" s="20">
        <f t="shared" si="5"/>
        <v>-3.8383377821293863</v>
      </c>
      <c r="Q11" s="375">
        <f t="shared" si="6"/>
        <v>0.96705426737005606</v>
      </c>
      <c r="R11" s="489"/>
      <c r="S11" s="40"/>
      <c r="T11" s="40"/>
      <c r="U11" s="371"/>
      <c r="V11" s="373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f>SUM(AC5:AC10)</f>
        <v>2</v>
      </c>
      <c r="AD11" s="31">
        <f>SUM(AD5:AD10)</f>
        <v>0</v>
      </c>
      <c r="AE11" s="19">
        <f t="shared" si="8"/>
        <v>-65.891465259887809</v>
      </c>
      <c r="AF11" s="375">
        <f t="shared" si="9"/>
        <v>0.96705426737005606</v>
      </c>
      <c r="AG11" s="489"/>
    </row>
    <row r="12" spans="1:33" ht="15.75" customHeight="1">
      <c r="A12" s="527" t="s">
        <v>2201</v>
      </c>
      <c r="B12" s="42" t="s">
        <v>100</v>
      </c>
      <c r="C12" s="523" t="s">
        <v>124</v>
      </c>
      <c r="D12" s="524"/>
      <c r="E12" s="42">
        <v>39.619999999999997</v>
      </c>
      <c r="F12" s="372">
        <v>3411</v>
      </c>
      <c r="G12" s="371">
        <f t="shared" ref="G12:G13" si="11">E12*F12</f>
        <v>135143.81999999998</v>
      </c>
      <c r="H12" s="383" t="s">
        <v>79</v>
      </c>
      <c r="I12" s="374">
        <v>19</v>
      </c>
      <c r="J12" s="37">
        <v>1500</v>
      </c>
      <c r="K12" s="17">
        <f t="shared" si="1"/>
        <v>78.94736842105263</v>
      </c>
      <c r="L12" s="374">
        <v>19</v>
      </c>
      <c r="M12" s="18">
        <f t="shared" ref="M12:M13" si="12">F12/V12*60</f>
        <v>1431.1888111888111</v>
      </c>
      <c r="N12" s="17">
        <f t="shared" si="3"/>
        <v>75.325726904674269</v>
      </c>
      <c r="O12" s="19">
        <f t="shared" si="4"/>
        <v>0</v>
      </c>
      <c r="P12" s="20">
        <f t="shared" si="5"/>
        <v>-3.6216415163783608</v>
      </c>
      <c r="Q12" s="375">
        <f t="shared" si="6"/>
        <v>0.95412587412587413</v>
      </c>
      <c r="R12" s="489">
        <f>Q14</f>
        <v>0.95347960372960394</v>
      </c>
      <c r="S12" s="40">
        <v>0.20833333333333334</v>
      </c>
      <c r="T12" s="40">
        <v>0.30763888888888891</v>
      </c>
      <c r="U12" s="371"/>
      <c r="V12" s="373">
        <f t="shared" ref="V12:V13" si="13">(T12-S12)*24*60</f>
        <v>143.00000000000003</v>
      </c>
      <c r="W12" s="23"/>
      <c r="X12" s="23"/>
      <c r="Y12" s="23"/>
      <c r="Z12" s="23"/>
      <c r="AA12" s="491"/>
      <c r="AB12" s="491"/>
      <c r="AC12" s="154">
        <v>3</v>
      </c>
      <c r="AD12" s="25"/>
      <c r="AE12" s="19">
        <f t="shared" si="8"/>
        <v>-68.811188811188913</v>
      </c>
      <c r="AF12" s="375">
        <f t="shared" si="9"/>
        <v>0.95412587412587402</v>
      </c>
      <c r="AG12" s="489">
        <f>AF14</f>
        <v>0.95347960372960383</v>
      </c>
    </row>
    <row r="13" spans="1:33" ht="15.75" customHeight="1">
      <c r="A13" s="527" t="s">
        <v>2201</v>
      </c>
      <c r="B13" s="42" t="s">
        <v>100</v>
      </c>
      <c r="C13" s="523" t="s">
        <v>125</v>
      </c>
      <c r="D13" s="524"/>
      <c r="E13" s="42">
        <v>39.799999999999997</v>
      </c>
      <c r="F13" s="372">
        <v>5717</v>
      </c>
      <c r="G13" s="371">
        <f t="shared" si="11"/>
        <v>227536.59999999998</v>
      </c>
      <c r="H13" s="383" t="s">
        <v>79</v>
      </c>
      <c r="I13" s="374">
        <v>17</v>
      </c>
      <c r="J13" s="37">
        <v>1500</v>
      </c>
      <c r="K13" s="17">
        <f t="shared" si="1"/>
        <v>88.235294117647058</v>
      </c>
      <c r="L13" s="374">
        <v>17</v>
      </c>
      <c r="M13" s="18">
        <f t="shared" si="12"/>
        <v>1429.2500000000005</v>
      </c>
      <c r="N13" s="17">
        <f t="shared" si="3"/>
        <v>84.073529411764738</v>
      </c>
      <c r="O13" s="19">
        <f t="shared" si="4"/>
        <v>0</v>
      </c>
      <c r="P13" s="20">
        <f t="shared" si="5"/>
        <v>-4.1617647058823195</v>
      </c>
      <c r="Q13" s="375">
        <f t="shared" si="6"/>
        <v>0.95283333333333375</v>
      </c>
      <c r="R13" s="489"/>
      <c r="S13" s="40">
        <v>0.3125</v>
      </c>
      <c r="T13" s="40">
        <v>0.47916666666666663</v>
      </c>
      <c r="U13" s="371">
        <f t="shared" ref="U13" si="14">IF(S13=TIME(17,0,0),"",(S13-T12)*24*60)</f>
        <v>6.9999999999999751</v>
      </c>
      <c r="V13" s="373">
        <f t="shared" si="13"/>
        <v>239.99999999999994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-70.749999999999545</v>
      </c>
      <c r="AF13" s="375">
        <f t="shared" si="9"/>
        <v>0.95283333333333364</v>
      </c>
      <c r="AG13" s="489"/>
    </row>
    <row r="14" spans="1:33" ht="16.5" customHeight="1">
      <c r="A14" s="527" t="s">
        <v>2201</v>
      </c>
      <c r="B14" s="42" t="s">
        <v>2202</v>
      </c>
      <c r="C14" s="494"/>
      <c r="D14" s="494"/>
      <c r="E14" s="377"/>
      <c r="F14" s="37"/>
      <c r="G14" s="18"/>
      <c r="H14" s="372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1430.2194055944058</v>
      </c>
      <c r="N14" s="17">
        <f t="shared" si="3"/>
        <v>79.45663364413366</v>
      </c>
      <c r="O14" s="19">
        <f t="shared" si="4"/>
        <v>0</v>
      </c>
      <c r="P14" s="20">
        <f t="shared" si="5"/>
        <v>-3.8766996891996683</v>
      </c>
      <c r="Q14" s="375">
        <f t="shared" si="6"/>
        <v>0.95347960372960394</v>
      </c>
      <c r="R14" s="489"/>
      <c r="S14" s="40"/>
      <c r="T14" s="40"/>
      <c r="U14" s="17"/>
      <c r="V14" s="373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f>SUM(AC12:AC13)</f>
        <v>3</v>
      </c>
      <c r="AD14" s="31">
        <f>SUM(AD12:AD13)</f>
        <v>0</v>
      </c>
      <c r="AE14" s="19">
        <f t="shared" si="8"/>
        <v>-69.780594405594229</v>
      </c>
      <c r="AF14" s="375">
        <f t="shared" si="9"/>
        <v>0.95347960372960383</v>
      </c>
      <c r="AG14" s="489"/>
    </row>
    <row r="15" spans="1:33" ht="16.5" customHeight="1">
      <c r="A15" s="525" t="s">
        <v>2203</v>
      </c>
      <c r="B15" s="372" t="s">
        <v>126</v>
      </c>
      <c r="C15" s="515" t="s">
        <v>127</v>
      </c>
      <c r="D15" s="515"/>
      <c r="E15" s="42">
        <v>41</v>
      </c>
      <c r="F15" s="372">
        <v>2171</v>
      </c>
      <c r="G15" s="371">
        <f t="shared" ref="G15:G22" si="15">E15*F15</f>
        <v>89011</v>
      </c>
      <c r="H15" s="383" t="s">
        <v>79</v>
      </c>
      <c r="I15" s="374">
        <v>26</v>
      </c>
      <c r="J15" s="37">
        <v>1500</v>
      </c>
      <c r="K15" s="17">
        <f t="shared" si="1"/>
        <v>57.692307692307693</v>
      </c>
      <c r="L15" s="374">
        <v>26</v>
      </c>
      <c r="M15" s="18">
        <f t="shared" ref="M15:M22" si="16">F15/V15*60</f>
        <v>1431.4285714285709</v>
      </c>
      <c r="N15" s="17">
        <f t="shared" si="3"/>
        <v>55.054945054945037</v>
      </c>
      <c r="O15" s="19">
        <f t="shared" si="4"/>
        <v>0</v>
      </c>
      <c r="P15" s="20">
        <f t="shared" si="5"/>
        <v>-2.6373626373626564</v>
      </c>
      <c r="Q15" s="375">
        <f t="shared" si="6"/>
        <v>0.95428571428571396</v>
      </c>
      <c r="R15" s="489">
        <f>Q23</f>
        <v>0.96658470580377931</v>
      </c>
      <c r="S15" s="40">
        <v>0.20833333333333334</v>
      </c>
      <c r="T15" s="40">
        <v>0.27152777777777781</v>
      </c>
      <c r="U15" s="371"/>
      <c r="V15" s="373">
        <f t="shared" ref="V15:V22" si="17">(T15-S15)*24*60</f>
        <v>91.000000000000043</v>
      </c>
      <c r="W15" s="28"/>
      <c r="X15" s="28"/>
      <c r="Y15" s="28"/>
      <c r="Z15" s="28"/>
      <c r="AA15" s="491"/>
      <c r="AB15" s="491"/>
      <c r="AC15" s="154">
        <v>3</v>
      </c>
      <c r="AD15" s="25"/>
      <c r="AE15" s="19">
        <f t="shared" si="8"/>
        <v>-68.571428571429124</v>
      </c>
      <c r="AF15" s="375">
        <f t="shared" si="9"/>
        <v>0.95428571428571396</v>
      </c>
      <c r="AG15" s="489">
        <f>AF23</f>
        <v>0.96658470580377931</v>
      </c>
    </row>
    <row r="16" spans="1:33" ht="16.5" customHeight="1">
      <c r="A16" s="526" t="s">
        <v>2203</v>
      </c>
      <c r="B16" s="372" t="s">
        <v>128</v>
      </c>
      <c r="C16" s="515" t="s">
        <v>129</v>
      </c>
      <c r="D16" s="515"/>
      <c r="E16" s="42">
        <v>72.400000000000006</v>
      </c>
      <c r="F16" s="372">
        <v>756</v>
      </c>
      <c r="G16" s="371">
        <f t="shared" si="15"/>
        <v>54734.400000000001</v>
      </c>
      <c r="H16" s="383" t="s">
        <v>79</v>
      </c>
      <c r="I16" s="374">
        <v>18</v>
      </c>
      <c r="J16" s="37">
        <v>1500</v>
      </c>
      <c r="K16" s="17">
        <f t="shared" si="1"/>
        <v>83.333333333333329</v>
      </c>
      <c r="L16" s="374">
        <v>18</v>
      </c>
      <c r="M16" s="18">
        <f t="shared" si="16"/>
        <v>1463.2258064516141</v>
      </c>
      <c r="N16" s="17">
        <f t="shared" si="3"/>
        <v>81.290322580645224</v>
      </c>
      <c r="O16" s="19">
        <f t="shared" si="4"/>
        <v>0</v>
      </c>
      <c r="P16" s="20">
        <f t="shared" si="5"/>
        <v>-2.0430107526881045</v>
      </c>
      <c r="Q16" s="375">
        <f t="shared" si="6"/>
        <v>0.97548387096774269</v>
      </c>
      <c r="R16" s="489"/>
      <c r="S16" s="40">
        <v>0.27638888888888891</v>
      </c>
      <c r="T16" s="40">
        <v>0.29791666666666666</v>
      </c>
      <c r="U16" s="371">
        <f t="shared" ref="U16:U22" si="18">IF(S16=TIME(17,0,0),"",(S16-T15)*24*60)</f>
        <v>6.9999999999999751</v>
      </c>
      <c r="V16" s="373">
        <f t="shared" si="17"/>
        <v>30.999999999999972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-36.774193548385938</v>
      </c>
      <c r="AF16" s="375">
        <f t="shared" si="9"/>
        <v>0.97548387096774269</v>
      </c>
      <c r="AG16" s="489"/>
    </row>
    <row r="17" spans="1:33" ht="16.5" customHeight="1">
      <c r="A17" s="526" t="s">
        <v>52</v>
      </c>
      <c r="B17" s="372" t="s">
        <v>103</v>
      </c>
      <c r="C17" s="515" t="s">
        <v>123</v>
      </c>
      <c r="D17" s="515"/>
      <c r="E17" s="42">
        <v>50.98</v>
      </c>
      <c r="F17" s="372">
        <v>1000</v>
      </c>
      <c r="G17" s="371">
        <f t="shared" si="15"/>
        <v>50980</v>
      </c>
      <c r="H17" s="383">
        <v>2</v>
      </c>
      <c r="I17" s="374">
        <v>16</v>
      </c>
      <c r="J17" s="37">
        <v>2000</v>
      </c>
      <c r="K17" s="17">
        <f t="shared" si="1"/>
        <v>125</v>
      </c>
      <c r="L17" s="374">
        <v>16</v>
      </c>
      <c r="M17" s="18">
        <f t="shared" si="16"/>
        <v>1935.483870967739</v>
      </c>
      <c r="N17" s="17">
        <f t="shared" si="3"/>
        <v>120.96774193548369</v>
      </c>
      <c r="O17" s="19">
        <f t="shared" si="4"/>
        <v>0</v>
      </c>
      <c r="P17" s="20">
        <f t="shared" si="5"/>
        <v>-4.0322580645163129</v>
      </c>
      <c r="Q17" s="375">
        <f t="shared" si="6"/>
        <v>0.96774193548386944</v>
      </c>
      <c r="R17" s="489"/>
      <c r="S17" s="40">
        <v>0.70833333333333337</v>
      </c>
      <c r="T17" s="40">
        <v>0.72986111111111118</v>
      </c>
      <c r="U17" s="371" t="str">
        <f t="shared" si="18"/>
        <v/>
      </c>
      <c r="V17" s="373">
        <f t="shared" si="17"/>
        <v>31.00000000000005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-64.516129032261006</v>
      </c>
      <c r="AF17" s="375">
        <f t="shared" si="9"/>
        <v>0.96774193548386944</v>
      </c>
      <c r="AG17" s="489"/>
    </row>
    <row r="18" spans="1:33" ht="16.5" customHeight="1">
      <c r="A18" s="526" t="s">
        <v>2203</v>
      </c>
      <c r="B18" s="372" t="s">
        <v>103</v>
      </c>
      <c r="C18" s="515" t="s">
        <v>132</v>
      </c>
      <c r="D18" s="515"/>
      <c r="E18" s="42">
        <v>50.92</v>
      </c>
      <c r="F18" s="372">
        <v>1000</v>
      </c>
      <c r="G18" s="371">
        <f t="shared" si="15"/>
        <v>50920</v>
      </c>
      <c r="H18" s="383">
        <v>2</v>
      </c>
      <c r="I18" s="374">
        <v>15</v>
      </c>
      <c r="J18" s="37">
        <v>2000</v>
      </c>
      <c r="K18" s="17">
        <f t="shared" si="1"/>
        <v>133.33333333333334</v>
      </c>
      <c r="L18" s="374">
        <v>15</v>
      </c>
      <c r="M18" s="18">
        <f t="shared" si="16"/>
        <v>1935.483870967739</v>
      </c>
      <c r="N18" s="17">
        <f t="shared" si="3"/>
        <v>129.03225806451593</v>
      </c>
      <c r="O18" s="19">
        <f t="shared" si="4"/>
        <v>0</v>
      </c>
      <c r="P18" s="20">
        <f t="shared" si="5"/>
        <v>-4.3010752688174136</v>
      </c>
      <c r="Q18" s="375">
        <f t="shared" si="6"/>
        <v>0.96774193548386944</v>
      </c>
      <c r="R18" s="489"/>
      <c r="S18" s="40">
        <v>0.73333333333333339</v>
      </c>
      <c r="T18" s="40">
        <v>0.7548611111111112</v>
      </c>
      <c r="U18" s="371">
        <f t="shared" si="18"/>
        <v>4.9999999999999822</v>
      </c>
      <c r="V18" s="373">
        <f t="shared" si="17"/>
        <v>31.00000000000005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-64.516129032261006</v>
      </c>
      <c r="AF18" s="375">
        <f t="shared" si="9"/>
        <v>0.96774193548386944</v>
      </c>
      <c r="AG18" s="489"/>
    </row>
    <row r="19" spans="1:33" ht="16.5" customHeight="1">
      <c r="A19" s="526" t="s">
        <v>2204</v>
      </c>
      <c r="B19" s="372" t="s">
        <v>103</v>
      </c>
      <c r="C19" s="515" t="s">
        <v>133</v>
      </c>
      <c r="D19" s="515"/>
      <c r="E19" s="42">
        <v>50.67</v>
      </c>
      <c r="F19" s="372">
        <v>1780</v>
      </c>
      <c r="G19" s="371">
        <f t="shared" si="15"/>
        <v>90192.6</v>
      </c>
      <c r="H19" s="383" t="s">
        <v>79</v>
      </c>
      <c r="I19" s="374">
        <v>15</v>
      </c>
      <c r="J19" s="37">
        <v>2000</v>
      </c>
      <c r="K19" s="17">
        <f t="shared" si="1"/>
        <v>133.33333333333334</v>
      </c>
      <c r="L19" s="374">
        <v>15</v>
      </c>
      <c r="M19" s="18">
        <f t="shared" si="16"/>
        <v>1907.1428571428585</v>
      </c>
      <c r="N19" s="17">
        <f t="shared" si="3"/>
        <v>127.14285714285724</v>
      </c>
      <c r="O19" s="19">
        <f t="shared" si="4"/>
        <v>0</v>
      </c>
      <c r="P19" s="20">
        <f t="shared" si="5"/>
        <v>-6.1904761904761045</v>
      </c>
      <c r="Q19" s="375">
        <f t="shared" si="6"/>
        <v>0.95357142857142918</v>
      </c>
      <c r="R19" s="489"/>
      <c r="S19" s="40">
        <v>0.75902777777777786</v>
      </c>
      <c r="T19" s="40">
        <v>0.79791666666666672</v>
      </c>
      <c r="U19" s="371">
        <f t="shared" si="18"/>
        <v>5.9999999999999787</v>
      </c>
      <c r="V19" s="373">
        <f t="shared" si="17"/>
        <v>55.999999999999957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-92.857142857141525</v>
      </c>
      <c r="AF19" s="375">
        <f t="shared" si="9"/>
        <v>0.95357142857142929</v>
      </c>
      <c r="AG19" s="489"/>
    </row>
    <row r="20" spans="1:33" ht="16.5" customHeight="1">
      <c r="A20" s="526" t="s">
        <v>2203</v>
      </c>
      <c r="B20" s="372" t="s">
        <v>103</v>
      </c>
      <c r="C20" s="521" t="s">
        <v>134</v>
      </c>
      <c r="D20" s="522"/>
      <c r="E20" s="42">
        <v>57.3</v>
      </c>
      <c r="F20" s="372">
        <v>1000</v>
      </c>
      <c r="G20" s="371">
        <f t="shared" si="15"/>
        <v>57300</v>
      </c>
      <c r="H20" s="383">
        <v>2</v>
      </c>
      <c r="I20" s="374">
        <v>13</v>
      </c>
      <c r="J20" s="37">
        <v>2000</v>
      </c>
      <c r="K20" s="17">
        <f t="shared" si="1"/>
        <v>153.84615384615384</v>
      </c>
      <c r="L20" s="374">
        <v>13</v>
      </c>
      <c r="M20" s="18">
        <f t="shared" si="16"/>
        <v>1935.483870967739</v>
      </c>
      <c r="N20" s="17">
        <f t="shared" si="3"/>
        <v>148.88337468982607</v>
      </c>
      <c r="O20" s="19">
        <f t="shared" si="4"/>
        <v>0</v>
      </c>
      <c r="P20" s="20">
        <f t="shared" si="5"/>
        <v>-4.9627791563277697</v>
      </c>
      <c r="Q20" s="375">
        <f t="shared" si="6"/>
        <v>0.96774193548386944</v>
      </c>
      <c r="R20" s="489"/>
      <c r="S20" s="40">
        <v>0.80138888888888893</v>
      </c>
      <c r="T20" s="40">
        <v>0.82291666666666674</v>
      </c>
      <c r="U20" s="371">
        <f t="shared" si="18"/>
        <v>4.9999999999999822</v>
      </c>
      <c r="V20" s="373">
        <f t="shared" si="17"/>
        <v>31.00000000000005</v>
      </c>
      <c r="W20" s="23">
        <f>T20</f>
        <v>0.82291666666666674</v>
      </c>
      <c r="X20" s="23">
        <f>S21</f>
        <v>0.86458333333333337</v>
      </c>
      <c r="Y20" s="26"/>
      <c r="Z20" s="26"/>
      <c r="AA20" s="503"/>
      <c r="AB20" s="504"/>
      <c r="AC20" s="154"/>
      <c r="AD20" s="25"/>
      <c r="AE20" s="19">
        <f t="shared" si="8"/>
        <v>-64.516129032261006</v>
      </c>
      <c r="AF20" s="375">
        <f t="shared" si="9"/>
        <v>0.96774193548386944</v>
      </c>
      <c r="AG20" s="489"/>
    </row>
    <row r="21" spans="1:33" ht="16.5" customHeight="1">
      <c r="A21" s="526" t="s">
        <v>52</v>
      </c>
      <c r="B21" s="372" t="s">
        <v>103</v>
      </c>
      <c r="C21" s="378" t="s">
        <v>134</v>
      </c>
      <c r="D21" s="379"/>
      <c r="E21" s="42">
        <v>57.3</v>
      </c>
      <c r="F21" s="372">
        <v>982</v>
      </c>
      <c r="G21" s="371">
        <f t="shared" si="15"/>
        <v>56268.6</v>
      </c>
      <c r="H21" s="383" t="s">
        <v>79</v>
      </c>
      <c r="I21" s="374">
        <v>13</v>
      </c>
      <c r="J21" s="37">
        <v>2000</v>
      </c>
      <c r="K21" s="17">
        <f t="shared" si="1"/>
        <v>153.84615384615384</v>
      </c>
      <c r="L21" s="374">
        <v>13</v>
      </c>
      <c r="M21" s="18">
        <f t="shared" si="16"/>
        <v>1963.9999999999966</v>
      </c>
      <c r="N21" s="17">
        <f t="shared" si="3"/>
        <v>151.07692307692281</v>
      </c>
      <c r="O21" s="19">
        <f t="shared" si="4"/>
        <v>0</v>
      </c>
      <c r="P21" s="20">
        <f t="shared" si="5"/>
        <v>-2.7692307692310294</v>
      </c>
      <c r="Q21" s="375">
        <f t="shared" si="6"/>
        <v>0.98199999999999832</v>
      </c>
      <c r="R21" s="489"/>
      <c r="S21" s="40">
        <v>0.86458333333333337</v>
      </c>
      <c r="T21" s="40">
        <v>0.88541666666666674</v>
      </c>
      <c r="U21" s="371">
        <f t="shared" si="18"/>
        <v>59.999999999999943</v>
      </c>
      <c r="V21" s="373">
        <f t="shared" si="17"/>
        <v>30.000000000000053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-36.000000000003411</v>
      </c>
      <c r="AF21" s="375">
        <f t="shared" si="9"/>
        <v>0.98199999999999832</v>
      </c>
      <c r="AG21" s="489"/>
    </row>
    <row r="22" spans="1:33" ht="16.5" customHeight="1">
      <c r="A22" s="526" t="s">
        <v>52</v>
      </c>
      <c r="B22" s="372" t="s">
        <v>103</v>
      </c>
      <c r="C22" s="378" t="s">
        <v>132</v>
      </c>
      <c r="D22" s="379"/>
      <c r="E22" s="42">
        <v>50.92</v>
      </c>
      <c r="F22" s="372">
        <v>1477</v>
      </c>
      <c r="G22" s="371">
        <f t="shared" si="15"/>
        <v>75208.84</v>
      </c>
      <c r="H22" s="383" t="s">
        <v>79</v>
      </c>
      <c r="I22" s="374">
        <v>15</v>
      </c>
      <c r="J22" s="37">
        <v>2000</v>
      </c>
      <c r="K22" s="17">
        <f t="shared" si="1"/>
        <v>133.33333333333334</v>
      </c>
      <c r="L22" s="374">
        <v>15</v>
      </c>
      <c r="M22" s="18">
        <f t="shared" si="16"/>
        <v>1926.5217391304348</v>
      </c>
      <c r="N22" s="17">
        <f t="shared" si="3"/>
        <v>128.43478260869566</v>
      </c>
      <c r="O22" s="19">
        <f t="shared" si="4"/>
        <v>0</v>
      </c>
      <c r="P22" s="20">
        <f t="shared" si="5"/>
        <v>-4.8985507246376869</v>
      </c>
      <c r="Q22" s="375">
        <f t="shared" si="6"/>
        <v>0.96326086956521739</v>
      </c>
      <c r="R22" s="489"/>
      <c r="S22" s="40">
        <v>0.89097222222222228</v>
      </c>
      <c r="T22" s="40">
        <v>0.92291666666666672</v>
      </c>
      <c r="U22" s="371">
        <f t="shared" si="18"/>
        <v>7.9999999999999716</v>
      </c>
      <c r="V22" s="373">
        <f t="shared" si="17"/>
        <v>46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-73.478260869565247</v>
      </c>
      <c r="AF22" s="375">
        <f t="shared" si="9"/>
        <v>0.96326086956521739</v>
      </c>
      <c r="AG22" s="489"/>
    </row>
    <row r="23" spans="1:33" ht="16.5" customHeight="1">
      <c r="A23" s="526" t="s">
        <v>2203</v>
      </c>
      <c r="B23" s="42" t="s">
        <v>49</v>
      </c>
      <c r="C23" s="494"/>
      <c r="D23" s="494"/>
      <c r="E23" s="377"/>
      <c r="F23" s="44"/>
      <c r="G23" s="17"/>
      <c r="H23" s="372"/>
      <c r="I23" s="30">
        <v>16.375</v>
      </c>
      <c r="J23" s="37">
        <v>1875</v>
      </c>
      <c r="K23" s="17">
        <f t="shared" si="1"/>
        <v>114.50381679389314</v>
      </c>
      <c r="L23" s="30">
        <v>16.375</v>
      </c>
      <c r="M23" s="18">
        <f>AVERAGE(M15:M22)</f>
        <v>1812.3463233820862</v>
      </c>
      <c r="N23" s="17">
        <f t="shared" si="3"/>
        <v>110.67763806913504</v>
      </c>
      <c r="O23" s="19">
        <f t="shared" si="4"/>
        <v>0</v>
      </c>
      <c r="P23" s="20">
        <f t="shared" si="5"/>
        <v>-3.8261787247580941</v>
      </c>
      <c r="Q23" s="375">
        <f t="shared" si="6"/>
        <v>0.96658470580377931</v>
      </c>
      <c r="R23" s="489"/>
      <c r="S23" s="40"/>
      <c r="T23" s="40"/>
      <c r="U23" s="371"/>
      <c r="V23" s="373"/>
      <c r="W23" s="17"/>
      <c r="X23" s="17"/>
      <c r="Y23" s="31">
        <f>SUM(Y15:Y22)</f>
        <v>0</v>
      </c>
      <c r="Z23" s="31">
        <f>SUM(Z15:Z22)</f>
        <v>0</v>
      </c>
      <c r="AA23" s="495"/>
      <c r="AB23" s="495"/>
      <c r="AC23" s="31">
        <f>SUM(AC15:AC22)</f>
        <v>3</v>
      </c>
      <c r="AD23" s="31">
        <f>SUM(AD15:AD22)</f>
        <v>0</v>
      </c>
      <c r="AE23" s="19">
        <f t="shared" si="8"/>
        <v>-62.653676617913789</v>
      </c>
      <c r="AF23" s="375">
        <f t="shared" si="9"/>
        <v>0.96658470580377931</v>
      </c>
      <c r="AG23" s="489"/>
    </row>
    <row r="24" spans="1:33" ht="15.75" customHeight="1">
      <c r="A24" s="519" t="s">
        <v>2205</v>
      </c>
      <c r="B24" s="42" t="s">
        <v>126</v>
      </c>
      <c r="C24" s="515" t="s">
        <v>135</v>
      </c>
      <c r="D24" s="515"/>
      <c r="E24" s="42">
        <v>43.14</v>
      </c>
      <c r="F24" s="372">
        <v>1007</v>
      </c>
      <c r="G24" s="371">
        <f t="shared" ref="G24:G31" si="19">E24*F24</f>
        <v>43441.98</v>
      </c>
      <c r="H24" s="383" t="s">
        <v>79</v>
      </c>
      <c r="I24" s="374">
        <v>17</v>
      </c>
      <c r="J24" s="37">
        <v>2000</v>
      </c>
      <c r="K24" s="17">
        <f t="shared" si="1"/>
        <v>117.64705882352941</v>
      </c>
      <c r="L24" s="374">
        <v>17</v>
      </c>
      <c r="M24" s="18">
        <f t="shared" ref="M24:M31" si="20">F24/V24*60</f>
        <v>1949.0322580645152</v>
      </c>
      <c r="N24" s="17">
        <f t="shared" si="3"/>
        <v>114.64895635673619</v>
      </c>
      <c r="O24" s="19">
        <f t="shared" si="4"/>
        <v>0</v>
      </c>
      <c r="P24" s="20">
        <f t="shared" si="5"/>
        <v>-2.9981024667932132</v>
      </c>
      <c r="Q24" s="375">
        <f t="shared" si="6"/>
        <v>0.97451612903225771</v>
      </c>
      <c r="R24" s="489">
        <f>Q32</f>
        <v>0.96300583357207548</v>
      </c>
      <c r="S24" s="40">
        <v>0.20833333333333334</v>
      </c>
      <c r="T24" s="40">
        <v>0.22986111111111113</v>
      </c>
      <c r="U24" s="371"/>
      <c r="V24" s="373">
        <f t="shared" ref="V24:V31" si="21">(T24-S24)*24*60</f>
        <v>31.000000000000011</v>
      </c>
      <c r="W24" s="28"/>
      <c r="X24" s="28"/>
      <c r="Y24" s="28"/>
      <c r="Z24" s="28"/>
      <c r="AA24" s="491"/>
      <c r="AB24" s="491"/>
      <c r="AC24" s="154">
        <v>4</v>
      </c>
      <c r="AD24" s="25"/>
      <c r="AE24" s="19">
        <f t="shared" si="8"/>
        <v>-50.96774193548481</v>
      </c>
      <c r="AF24" s="375">
        <f t="shared" si="9"/>
        <v>0.97451612903225759</v>
      </c>
      <c r="AG24" s="489">
        <f>AF32</f>
        <v>0.96300583357207548</v>
      </c>
    </row>
    <row r="25" spans="1:33" ht="15.75" customHeight="1">
      <c r="A25" s="520" t="s">
        <v>2206</v>
      </c>
      <c r="B25" s="42" t="s">
        <v>103</v>
      </c>
      <c r="C25" s="515" t="s">
        <v>137</v>
      </c>
      <c r="D25" s="515"/>
      <c r="E25" s="42">
        <v>57.73</v>
      </c>
      <c r="F25" s="372">
        <v>2718</v>
      </c>
      <c r="G25" s="371">
        <f t="shared" si="19"/>
        <v>156910.13999999998</v>
      </c>
      <c r="H25" s="383" t="s">
        <v>79</v>
      </c>
      <c r="I25" s="374">
        <v>14</v>
      </c>
      <c r="J25" s="37">
        <v>2000</v>
      </c>
      <c r="K25" s="17">
        <f t="shared" si="1"/>
        <v>142.85714285714286</v>
      </c>
      <c r="L25" s="374">
        <v>14</v>
      </c>
      <c r="M25" s="18">
        <f t="shared" si="20"/>
        <v>1918.5882352941171</v>
      </c>
      <c r="N25" s="17">
        <f t="shared" si="3"/>
        <v>137.04201680672264</v>
      </c>
      <c r="O25" s="19">
        <f t="shared" si="4"/>
        <v>0</v>
      </c>
      <c r="P25" s="20">
        <f t="shared" si="5"/>
        <v>-5.8151260504202185</v>
      </c>
      <c r="Q25" s="375">
        <f t="shared" si="6"/>
        <v>0.95929411764705852</v>
      </c>
      <c r="R25" s="489"/>
      <c r="S25" s="40">
        <v>0.23333333333333334</v>
      </c>
      <c r="T25" s="40">
        <v>0.29236111111111113</v>
      </c>
      <c r="U25" s="371">
        <f t="shared" ref="U25:U31" si="22">IF(S25=TIME(17,0,0),"",(S25-T24)*24*60)</f>
        <v>4.9999999999999822</v>
      </c>
      <c r="V25" s="373">
        <f t="shared" si="21"/>
        <v>85.000000000000014</v>
      </c>
      <c r="W25" s="23"/>
      <c r="X25" s="371"/>
      <c r="Y25" s="371"/>
      <c r="Z25" s="371"/>
      <c r="AA25" s="491"/>
      <c r="AB25" s="491"/>
      <c r="AC25" s="154"/>
      <c r="AD25" s="25"/>
      <c r="AE25" s="19">
        <f t="shared" si="8"/>
        <v>-81.411764705882888</v>
      </c>
      <c r="AF25" s="375">
        <f t="shared" si="9"/>
        <v>0.95929411764705852</v>
      </c>
      <c r="AG25" s="489"/>
    </row>
    <row r="26" spans="1:33" ht="15.75" customHeight="1">
      <c r="A26" s="520" t="s">
        <v>2206</v>
      </c>
      <c r="B26" s="42" t="s">
        <v>103</v>
      </c>
      <c r="C26" s="515" t="s">
        <v>138</v>
      </c>
      <c r="D26" s="515"/>
      <c r="E26" s="42">
        <v>53.68</v>
      </c>
      <c r="F26" s="372">
        <v>1518</v>
      </c>
      <c r="G26" s="371">
        <f t="shared" si="19"/>
        <v>81486.240000000005</v>
      </c>
      <c r="H26" s="383" t="s">
        <v>79</v>
      </c>
      <c r="I26" s="374">
        <v>16</v>
      </c>
      <c r="J26" s="37">
        <v>2000</v>
      </c>
      <c r="K26" s="17">
        <f t="shared" si="1"/>
        <v>125</v>
      </c>
      <c r="L26" s="374">
        <v>16</v>
      </c>
      <c r="M26" s="18">
        <f t="shared" si="20"/>
        <v>1937.872340425532</v>
      </c>
      <c r="N26" s="17">
        <f t="shared" si="3"/>
        <v>121.11702127659575</v>
      </c>
      <c r="O26" s="19">
        <f t="shared" si="4"/>
        <v>0</v>
      </c>
      <c r="P26" s="20">
        <f t="shared" si="5"/>
        <v>-3.8829787234042499</v>
      </c>
      <c r="Q26" s="375">
        <f t="shared" si="6"/>
        <v>0.96893617021276601</v>
      </c>
      <c r="R26" s="489"/>
      <c r="S26" s="40">
        <v>0.29722222222222222</v>
      </c>
      <c r="T26" s="40">
        <v>0.3298611111111111</v>
      </c>
      <c r="U26" s="371">
        <f t="shared" si="22"/>
        <v>6.9999999999999751</v>
      </c>
      <c r="V26" s="373">
        <f t="shared" si="21"/>
        <v>46.999999999999993</v>
      </c>
      <c r="W26" s="23"/>
      <c r="X26" s="371"/>
      <c r="Y26" s="371"/>
      <c r="Z26" s="371"/>
      <c r="AA26" s="491"/>
      <c r="AB26" s="491"/>
      <c r="AC26" s="154"/>
      <c r="AD26" s="25"/>
      <c r="AE26" s="19">
        <f t="shared" si="8"/>
        <v>-62.127659574467998</v>
      </c>
      <c r="AF26" s="375">
        <f t="shared" si="9"/>
        <v>0.96893617021276601</v>
      </c>
      <c r="AG26" s="489"/>
    </row>
    <row r="27" spans="1:33" ht="15.75" customHeight="1">
      <c r="A27" s="520" t="s">
        <v>56</v>
      </c>
      <c r="B27" s="42" t="s">
        <v>103</v>
      </c>
      <c r="C27" s="515" t="s">
        <v>140</v>
      </c>
      <c r="D27" s="515"/>
      <c r="E27" s="42">
        <v>50.49</v>
      </c>
      <c r="F27" s="372">
        <v>2118</v>
      </c>
      <c r="G27" s="371">
        <f t="shared" si="19"/>
        <v>106937.82</v>
      </c>
      <c r="H27" s="383" t="s">
        <v>79</v>
      </c>
      <c r="I27" s="374">
        <v>15</v>
      </c>
      <c r="J27" s="37">
        <v>2000</v>
      </c>
      <c r="K27" s="17">
        <f t="shared" si="1"/>
        <v>133.33333333333334</v>
      </c>
      <c r="L27" s="374">
        <v>15</v>
      </c>
      <c r="M27" s="18">
        <f t="shared" si="20"/>
        <v>1925.4545454545473</v>
      </c>
      <c r="N27" s="17">
        <f t="shared" si="3"/>
        <v>128.36363636363649</v>
      </c>
      <c r="O27" s="19">
        <f t="shared" si="4"/>
        <v>0</v>
      </c>
      <c r="P27" s="20">
        <f t="shared" si="5"/>
        <v>-4.9696969696968551</v>
      </c>
      <c r="Q27" s="375">
        <f t="shared" si="6"/>
        <v>0.96272727272727354</v>
      </c>
      <c r="R27" s="489"/>
      <c r="S27" s="40">
        <v>0.70833333333333337</v>
      </c>
      <c r="T27" s="40">
        <v>0.75416666666666665</v>
      </c>
      <c r="U27" s="371" t="str">
        <f t="shared" si="22"/>
        <v/>
      </c>
      <c r="V27" s="373">
        <f t="shared" si="21"/>
        <v>65.999999999999929</v>
      </c>
      <c r="W27" s="23"/>
      <c r="X27" s="371"/>
      <c r="Y27" s="371"/>
      <c r="Z27" s="371"/>
      <c r="AA27" s="491"/>
      <c r="AB27" s="491"/>
      <c r="AC27" s="154"/>
      <c r="AD27" s="25"/>
      <c r="AE27" s="19">
        <f t="shared" si="8"/>
        <v>-74.545454545452685</v>
      </c>
      <c r="AF27" s="375">
        <f t="shared" si="9"/>
        <v>0.96272727272727365</v>
      </c>
      <c r="AG27" s="489"/>
    </row>
    <row r="28" spans="1:33" ht="15.75" customHeight="1">
      <c r="A28" s="520" t="s">
        <v>56</v>
      </c>
      <c r="B28" s="42" t="s">
        <v>103</v>
      </c>
      <c r="C28" s="515" t="s">
        <v>516</v>
      </c>
      <c r="D28" s="515"/>
      <c r="E28" s="42">
        <v>50.67</v>
      </c>
      <c r="F28" s="372">
        <v>1397</v>
      </c>
      <c r="G28" s="371">
        <f t="shared" si="19"/>
        <v>70785.990000000005</v>
      </c>
      <c r="H28" s="383" t="s">
        <v>79</v>
      </c>
      <c r="I28" s="374">
        <v>16</v>
      </c>
      <c r="J28" s="37">
        <v>2000</v>
      </c>
      <c r="K28" s="17">
        <f t="shared" si="1"/>
        <v>125</v>
      </c>
      <c r="L28" s="374">
        <v>16</v>
      </c>
      <c r="M28" s="18">
        <f t="shared" si="20"/>
        <v>1905</v>
      </c>
      <c r="N28" s="17">
        <f t="shared" si="3"/>
        <v>119.0625</v>
      </c>
      <c r="O28" s="19">
        <f t="shared" si="4"/>
        <v>0</v>
      </c>
      <c r="P28" s="20">
        <f t="shared" si="5"/>
        <v>-5.9375</v>
      </c>
      <c r="Q28" s="375">
        <f t="shared" si="6"/>
        <v>0.95250000000000001</v>
      </c>
      <c r="R28" s="489"/>
      <c r="S28" s="40">
        <v>0.75763888888888886</v>
      </c>
      <c r="T28" s="40">
        <v>0.78819444444444442</v>
      </c>
      <c r="U28" s="371">
        <f t="shared" si="22"/>
        <v>4.9999999999999822</v>
      </c>
      <c r="V28" s="373">
        <f t="shared" si="21"/>
        <v>44</v>
      </c>
      <c r="W28" s="23"/>
      <c r="X28" s="371"/>
      <c r="Y28" s="371"/>
      <c r="Z28" s="371"/>
      <c r="AA28" s="491"/>
      <c r="AB28" s="491"/>
      <c r="AC28" s="154"/>
      <c r="AD28" s="25"/>
      <c r="AE28" s="19">
        <f t="shared" si="8"/>
        <v>-95</v>
      </c>
      <c r="AF28" s="375">
        <f t="shared" si="9"/>
        <v>0.95250000000000001</v>
      </c>
      <c r="AG28" s="489"/>
    </row>
    <row r="29" spans="1:33" ht="15.75" customHeight="1">
      <c r="A29" s="520" t="s">
        <v>56</v>
      </c>
      <c r="B29" s="42" t="s">
        <v>103</v>
      </c>
      <c r="C29" s="515" t="s">
        <v>142</v>
      </c>
      <c r="D29" s="515"/>
      <c r="E29" s="42">
        <v>53.68</v>
      </c>
      <c r="F29" s="372">
        <v>1000</v>
      </c>
      <c r="G29" s="371">
        <f t="shared" si="19"/>
        <v>53680</v>
      </c>
      <c r="H29" s="383">
        <v>2</v>
      </c>
      <c r="I29" s="374">
        <v>16</v>
      </c>
      <c r="J29" s="37">
        <v>1500</v>
      </c>
      <c r="K29" s="17">
        <f t="shared" si="1"/>
        <v>93.75</v>
      </c>
      <c r="L29" s="374">
        <v>16</v>
      </c>
      <c r="M29" s="18">
        <f t="shared" si="20"/>
        <v>1463.4146341463411</v>
      </c>
      <c r="N29" s="17">
        <f t="shared" si="3"/>
        <v>91.463414634146318</v>
      </c>
      <c r="O29" s="19">
        <f t="shared" si="4"/>
        <v>0</v>
      </c>
      <c r="P29" s="20">
        <f t="shared" si="5"/>
        <v>-2.2865853658536821</v>
      </c>
      <c r="Q29" s="375">
        <f t="shared" si="6"/>
        <v>0.97560975609756073</v>
      </c>
      <c r="R29" s="489"/>
      <c r="S29" s="40">
        <v>0.79236111111111107</v>
      </c>
      <c r="T29" s="40">
        <v>0.8208333333333333</v>
      </c>
      <c r="U29" s="371">
        <f t="shared" si="22"/>
        <v>5.9999999999999787</v>
      </c>
      <c r="V29" s="373">
        <f t="shared" si="21"/>
        <v>41.000000000000014</v>
      </c>
      <c r="W29" s="23">
        <f>T29</f>
        <v>0.8208333333333333</v>
      </c>
      <c r="X29" s="23">
        <f>S30</f>
        <v>0.86319444444444438</v>
      </c>
      <c r="Y29" s="28"/>
      <c r="Z29" s="28"/>
      <c r="AA29" s="491"/>
      <c r="AB29" s="491"/>
      <c r="AC29" s="154"/>
      <c r="AD29" s="25"/>
      <c r="AE29" s="19">
        <f t="shared" si="8"/>
        <v>-36.585365853658914</v>
      </c>
      <c r="AF29" s="375">
        <f t="shared" si="9"/>
        <v>0.97560975609756073</v>
      </c>
      <c r="AG29" s="489"/>
    </row>
    <row r="30" spans="1:33" ht="15.75" customHeight="1">
      <c r="A30" s="520" t="s">
        <v>56</v>
      </c>
      <c r="B30" s="42" t="s">
        <v>103</v>
      </c>
      <c r="C30" s="515" t="s">
        <v>142</v>
      </c>
      <c r="D30" s="515"/>
      <c r="E30" s="42">
        <v>53.68</v>
      </c>
      <c r="F30" s="372">
        <v>1079</v>
      </c>
      <c r="G30" s="371">
        <f t="shared" si="19"/>
        <v>57920.72</v>
      </c>
      <c r="H30" s="383" t="s">
        <v>79</v>
      </c>
      <c r="I30" s="374">
        <v>16</v>
      </c>
      <c r="J30" s="37">
        <v>1500</v>
      </c>
      <c r="K30" s="17">
        <f t="shared" si="1"/>
        <v>93.75</v>
      </c>
      <c r="L30" s="374">
        <v>16</v>
      </c>
      <c r="M30" s="18">
        <f t="shared" si="20"/>
        <v>1438.6666666666667</v>
      </c>
      <c r="N30" s="17">
        <f t="shared" si="3"/>
        <v>89.916666666666671</v>
      </c>
      <c r="O30" s="19">
        <f t="shared" si="4"/>
        <v>0</v>
      </c>
      <c r="P30" s="20">
        <f t="shared" si="5"/>
        <v>-3.8333333333333286</v>
      </c>
      <c r="Q30" s="375">
        <f t="shared" si="6"/>
        <v>0.95911111111111114</v>
      </c>
      <c r="R30" s="489"/>
      <c r="S30" s="40">
        <v>0.86319444444444438</v>
      </c>
      <c r="T30" s="40">
        <v>0.89444444444444438</v>
      </c>
      <c r="U30" s="371">
        <f t="shared" si="22"/>
        <v>60.999999999999943</v>
      </c>
      <c r="V30" s="373">
        <f t="shared" si="21"/>
        <v>45</v>
      </c>
      <c r="W30" s="23"/>
      <c r="X30" s="28"/>
      <c r="Y30" s="29"/>
      <c r="Z30" s="29"/>
      <c r="AA30" s="503"/>
      <c r="AB30" s="504"/>
      <c r="AC30" s="154"/>
      <c r="AD30" s="25"/>
      <c r="AE30" s="19">
        <f t="shared" si="8"/>
        <v>-61.333333333333258</v>
      </c>
      <c r="AF30" s="375">
        <f t="shared" si="9"/>
        <v>0.95911111111111114</v>
      </c>
      <c r="AG30" s="489"/>
    </row>
    <row r="31" spans="1:33" ht="15.75" customHeight="1">
      <c r="A31" s="520" t="s">
        <v>56</v>
      </c>
      <c r="B31" s="42" t="s">
        <v>103</v>
      </c>
      <c r="C31" s="521" t="s">
        <v>123</v>
      </c>
      <c r="D31" s="522"/>
      <c r="E31" s="42">
        <v>50.98</v>
      </c>
      <c r="F31" s="372">
        <v>1621</v>
      </c>
      <c r="G31" s="371">
        <f t="shared" si="19"/>
        <v>82638.58</v>
      </c>
      <c r="H31" s="383" t="s">
        <v>79</v>
      </c>
      <c r="I31" s="374">
        <v>16</v>
      </c>
      <c r="J31" s="37">
        <v>2000</v>
      </c>
      <c r="K31" s="17">
        <f t="shared" si="1"/>
        <v>125</v>
      </c>
      <c r="L31" s="374">
        <v>16</v>
      </c>
      <c r="M31" s="18">
        <f t="shared" si="20"/>
        <v>1907.0588235294126</v>
      </c>
      <c r="N31" s="17">
        <f t="shared" si="3"/>
        <v>119.19117647058829</v>
      </c>
      <c r="O31" s="19">
        <f t="shared" si="4"/>
        <v>0</v>
      </c>
      <c r="P31" s="20">
        <f t="shared" si="5"/>
        <v>-5.8088235294117112</v>
      </c>
      <c r="Q31" s="375">
        <f t="shared" si="6"/>
        <v>0.95352941176470629</v>
      </c>
      <c r="R31" s="489"/>
      <c r="S31" s="40">
        <v>0.89791666666666659</v>
      </c>
      <c r="T31" s="40">
        <v>0.93333333333333324</v>
      </c>
      <c r="U31" s="371">
        <f t="shared" si="22"/>
        <v>4.9999999999999822</v>
      </c>
      <c r="V31" s="373">
        <f t="shared" si="21"/>
        <v>50.999999999999979</v>
      </c>
      <c r="W31" s="23"/>
      <c r="X31" s="23"/>
      <c r="Y31" s="26"/>
      <c r="Z31" s="26"/>
      <c r="AA31" s="503"/>
      <c r="AB31" s="504"/>
      <c r="AC31" s="154"/>
      <c r="AD31" s="25"/>
      <c r="AE31" s="19">
        <f t="shared" si="8"/>
        <v>-92.941176470587379</v>
      </c>
      <c r="AF31" s="375">
        <f t="shared" si="9"/>
        <v>0.95352941176470629</v>
      </c>
      <c r="AG31" s="489"/>
    </row>
    <row r="32" spans="1:33" ht="15.75" customHeight="1">
      <c r="A32" s="520" t="s">
        <v>2206</v>
      </c>
      <c r="B32" s="42" t="s">
        <v>2202</v>
      </c>
      <c r="C32" s="494"/>
      <c r="D32" s="494"/>
      <c r="E32" s="377"/>
      <c r="F32" s="372"/>
      <c r="G32" s="371"/>
      <c r="H32" s="372"/>
      <c r="I32" s="30">
        <v>15.75</v>
      </c>
      <c r="J32" s="37">
        <v>1875</v>
      </c>
      <c r="K32" s="17">
        <f t="shared" si="1"/>
        <v>119.04761904761905</v>
      </c>
      <c r="L32" s="30">
        <v>15.75</v>
      </c>
      <c r="M32" s="18">
        <f>AVERAGE(M24:M31)</f>
        <v>1805.6359379476414</v>
      </c>
      <c r="N32" s="17">
        <f t="shared" si="3"/>
        <v>114.64355161572327</v>
      </c>
      <c r="O32" s="19">
        <f t="shared" si="4"/>
        <v>0</v>
      </c>
      <c r="P32" s="20">
        <f t="shared" si="5"/>
        <v>-4.4040674318957826</v>
      </c>
      <c r="Q32" s="375">
        <f t="shared" si="6"/>
        <v>0.96300583357207548</v>
      </c>
      <c r="R32" s="489"/>
      <c r="S32" s="40"/>
      <c r="T32" s="40"/>
      <c r="U32" s="17"/>
      <c r="V32" s="373"/>
      <c r="W32" s="17"/>
      <c r="X32" s="17"/>
      <c r="Y32" s="31">
        <f>SUM(Y24:Y31)</f>
        <v>0</v>
      </c>
      <c r="Z32" s="31">
        <f>SUM(Z24:Z31)</f>
        <v>0</v>
      </c>
      <c r="AA32" s="495"/>
      <c r="AB32" s="495"/>
      <c r="AC32" s="31">
        <f>SUM(AC24:AC31)</f>
        <v>4</v>
      </c>
      <c r="AD32" s="31">
        <f>SUM(AD24:AD31)</f>
        <v>0</v>
      </c>
      <c r="AE32" s="19">
        <f t="shared" si="8"/>
        <v>-69.364062052358577</v>
      </c>
      <c r="AF32" s="375">
        <f t="shared" si="9"/>
        <v>0.96300583357207548</v>
      </c>
      <c r="AG32" s="489"/>
    </row>
    <row r="33" spans="1:33" ht="15.75" customHeight="1">
      <c r="A33" s="518" t="s">
        <v>59</v>
      </c>
      <c r="B33" s="42" t="s">
        <v>80</v>
      </c>
      <c r="C33" s="515" t="s">
        <v>81</v>
      </c>
      <c r="D33" s="515"/>
      <c r="E33" s="42">
        <v>31.29</v>
      </c>
      <c r="F33" s="372">
        <v>5400</v>
      </c>
      <c r="G33" s="371">
        <f t="shared" ref="G33:G39" si="23">E33*F33</f>
        <v>168966</v>
      </c>
      <c r="H33" s="383">
        <v>2</v>
      </c>
      <c r="I33" s="374">
        <v>18</v>
      </c>
      <c r="J33" s="37">
        <v>2400</v>
      </c>
      <c r="K33" s="17">
        <f t="shared" si="1"/>
        <v>133.33333333333334</v>
      </c>
      <c r="L33" s="374">
        <v>18</v>
      </c>
      <c r="M33" s="18">
        <f t="shared" ref="M33:M39" si="24">F33/V33*60</f>
        <v>2281.6901408450703</v>
      </c>
      <c r="N33" s="17">
        <f t="shared" si="3"/>
        <v>126.76056338028168</v>
      </c>
      <c r="O33" s="19">
        <f t="shared" si="4"/>
        <v>0</v>
      </c>
      <c r="P33" s="20">
        <f t="shared" si="5"/>
        <v>-6.5727699530516617</v>
      </c>
      <c r="Q33" s="375">
        <f t="shared" si="6"/>
        <v>0.95070422535211252</v>
      </c>
      <c r="R33" s="489">
        <f>Q40</f>
        <v>0.95549318688925466</v>
      </c>
      <c r="S33" s="40">
        <v>8.3333333333333329E-2</v>
      </c>
      <c r="T33" s="40">
        <v>0.18194444444444444</v>
      </c>
      <c r="U33" s="371"/>
      <c r="V33" s="373">
        <f t="shared" ref="V33:V39" si="25">(T33-S33)*24*60</f>
        <v>142</v>
      </c>
      <c r="W33" s="23">
        <f>T33</f>
        <v>0.18194444444444444</v>
      </c>
      <c r="X33" s="23">
        <f>S34</f>
        <v>0.19999999999999998</v>
      </c>
      <c r="Y33" s="23"/>
      <c r="Z33" s="23"/>
      <c r="AA33" s="491"/>
      <c r="AB33" s="491"/>
      <c r="AC33" s="154">
        <v>8</v>
      </c>
      <c r="AD33" s="25"/>
      <c r="AE33" s="19">
        <f t="shared" si="8"/>
        <v>-118.30985915492965</v>
      </c>
      <c r="AF33" s="375">
        <f t="shared" si="9"/>
        <v>0.95070422535211263</v>
      </c>
      <c r="AG33" s="489">
        <f>AF40</f>
        <v>0.95549318688925455</v>
      </c>
    </row>
    <row r="34" spans="1:33" ht="15.75" customHeight="1">
      <c r="A34" s="518" t="s">
        <v>59</v>
      </c>
      <c r="B34" s="42" t="s">
        <v>80</v>
      </c>
      <c r="C34" s="515" t="s">
        <v>82</v>
      </c>
      <c r="D34" s="515"/>
      <c r="E34" s="42">
        <v>26.2</v>
      </c>
      <c r="F34" s="372">
        <v>2800</v>
      </c>
      <c r="G34" s="371">
        <f t="shared" si="23"/>
        <v>73360</v>
      </c>
      <c r="H34" s="383">
        <v>2</v>
      </c>
      <c r="I34" s="374">
        <v>20</v>
      </c>
      <c r="J34" s="37">
        <v>2400</v>
      </c>
      <c r="K34" s="17">
        <f t="shared" si="1"/>
        <v>120</v>
      </c>
      <c r="L34" s="374">
        <v>20</v>
      </c>
      <c r="M34" s="18">
        <f t="shared" si="24"/>
        <v>2301.3698630136978</v>
      </c>
      <c r="N34" s="17">
        <f t="shared" si="3"/>
        <v>115.06849315068489</v>
      </c>
      <c r="O34" s="19">
        <f t="shared" si="4"/>
        <v>0</v>
      </c>
      <c r="P34" s="20">
        <f t="shared" si="5"/>
        <v>-4.9315068493151131</v>
      </c>
      <c r="Q34" s="375">
        <f t="shared" si="6"/>
        <v>0.95890410958904071</v>
      </c>
      <c r="R34" s="489"/>
      <c r="S34" s="40">
        <v>0.19999999999999998</v>
      </c>
      <c r="T34" s="40">
        <v>0.25069444444444444</v>
      </c>
      <c r="U34" s="371">
        <f t="shared" ref="U34:U39" si="26">(S34-T33)*24*60</f>
        <v>25.999999999999986</v>
      </c>
      <c r="V34" s="373">
        <f t="shared" si="25"/>
        <v>73.000000000000014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-98.630136986302205</v>
      </c>
      <c r="AF34" s="375">
        <f t="shared" si="9"/>
        <v>0.95890410958904071</v>
      </c>
      <c r="AG34" s="489"/>
    </row>
    <row r="35" spans="1:33" ht="15.75" customHeight="1">
      <c r="A35" s="518" t="s">
        <v>2207</v>
      </c>
      <c r="B35" s="42" t="s">
        <v>80</v>
      </c>
      <c r="C35" s="515" t="s">
        <v>83</v>
      </c>
      <c r="D35" s="515"/>
      <c r="E35" s="42">
        <v>25.99</v>
      </c>
      <c r="F35" s="372">
        <v>4440</v>
      </c>
      <c r="G35" s="371">
        <f t="shared" si="23"/>
        <v>115395.59999999999</v>
      </c>
      <c r="H35" s="383" t="s">
        <v>79</v>
      </c>
      <c r="I35" s="374">
        <v>14</v>
      </c>
      <c r="J35" s="37">
        <v>2400</v>
      </c>
      <c r="K35" s="17">
        <f t="shared" si="1"/>
        <v>171.42857142857142</v>
      </c>
      <c r="L35" s="374">
        <v>14</v>
      </c>
      <c r="M35" s="18">
        <f t="shared" si="24"/>
        <v>2296.5517241379312</v>
      </c>
      <c r="N35" s="17">
        <f t="shared" si="3"/>
        <v>164.03940886699507</v>
      </c>
      <c r="O35" s="19">
        <f t="shared" si="4"/>
        <v>0</v>
      </c>
      <c r="P35" s="20">
        <f t="shared" si="5"/>
        <v>-7.3891625615763417</v>
      </c>
      <c r="Q35" s="375">
        <f t="shared" si="6"/>
        <v>0.95689655172413801</v>
      </c>
      <c r="R35" s="489"/>
      <c r="S35" s="40">
        <v>0.25624999999999998</v>
      </c>
      <c r="T35" s="40">
        <v>0.33680555555555552</v>
      </c>
      <c r="U35" s="371">
        <f t="shared" si="26"/>
        <v>7.9999999999999716</v>
      </c>
      <c r="V35" s="373">
        <f t="shared" si="25"/>
        <v>115.99999999999999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-103.44827586206884</v>
      </c>
      <c r="AF35" s="375">
        <f t="shared" si="9"/>
        <v>0.95689655172413801</v>
      </c>
      <c r="AG35" s="489"/>
    </row>
    <row r="36" spans="1:33" ht="15.75" customHeight="1">
      <c r="A36" s="518" t="s">
        <v>59</v>
      </c>
      <c r="B36" s="42" t="s">
        <v>80</v>
      </c>
      <c r="C36" s="515" t="s">
        <v>84</v>
      </c>
      <c r="D36" s="515"/>
      <c r="E36" s="42">
        <v>20.52</v>
      </c>
      <c r="F36" s="372">
        <v>4430</v>
      </c>
      <c r="G36" s="371">
        <f t="shared" si="23"/>
        <v>90903.599999999991</v>
      </c>
      <c r="H36" s="383" t="s">
        <v>79</v>
      </c>
      <c r="I36" s="374">
        <v>18</v>
      </c>
      <c r="J36" s="37">
        <v>2400</v>
      </c>
      <c r="K36" s="17">
        <f t="shared" si="1"/>
        <v>133.33333333333334</v>
      </c>
      <c r="L36" s="374">
        <v>18</v>
      </c>
      <c r="M36" s="18">
        <f t="shared" si="24"/>
        <v>2291.3793103448279</v>
      </c>
      <c r="N36" s="17">
        <f t="shared" si="3"/>
        <v>127.29885057471266</v>
      </c>
      <c r="O36" s="19">
        <f t="shared" si="4"/>
        <v>0</v>
      </c>
      <c r="P36" s="20">
        <f t="shared" si="5"/>
        <v>-6.0344827586206833</v>
      </c>
      <c r="Q36" s="375">
        <f t="shared" si="6"/>
        <v>0.95474137931034486</v>
      </c>
      <c r="R36" s="489"/>
      <c r="S36" s="40">
        <v>0.34166666666666662</v>
      </c>
      <c r="T36" s="40">
        <v>0.42222222222222217</v>
      </c>
      <c r="U36" s="371">
        <f t="shared" si="26"/>
        <v>6.9999999999999751</v>
      </c>
      <c r="V36" s="373">
        <f t="shared" si="25"/>
        <v>115.99999999999999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-108.6206896551721</v>
      </c>
      <c r="AF36" s="375">
        <f t="shared" si="9"/>
        <v>0.95474137931034497</v>
      </c>
      <c r="AG36" s="489"/>
    </row>
    <row r="37" spans="1:33" ht="15.75" customHeight="1">
      <c r="A37" s="518" t="s">
        <v>59</v>
      </c>
      <c r="B37" s="42" t="s">
        <v>80</v>
      </c>
      <c r="C37" s="515" t="s">
        <v>85</v>
      </c>
      <c r="D37" s="515"/>
      <c r="E37" s="42">
        <v>25.98</v>
      </c>
      <c r="F37" s="372">
        <v>3329</v>
      </c>
      <c r="G37" s="371">
        <f t="shared" si="23"/>
        <v>86487.42</v>
      </c>
      <c r="H37" s="383" t="s">
        <v>79</v>
      </c>
      <c r="I37" s="374">
        <v>21</v>
      </c>
      <c r="J37" s="37">
        <v>2400</v>
      </c>
      <c r="K37" s="17">
        <f t="shared" si="1"/>
        <v>114.28571428571429</v>
      </c>
      <c r="L37" s="374">
        <v>21</v>
      </c>
      <c r="M37" s="18">
        <f t="shared" si="24"/>
        <v>2295.8620689655168</v>
      </c>
      <c r="N37" s="17">
        <f t="shared" si="3"/>
        <v>109.32676518883413</v>
      </c>
      <c r="O37" s="19">
        <f t="shared" si="4"/>
        <v>0</v>
      </c>
      <c r="P37" s="20">
        <f t="shared" si="5"/>
        <v>-4.9589490968801613</v>
      </c>
      <c r="Q37" s="375">
        <f t="shared" si="6"/>
        <v>0.95660919540229861</v>
      </c>
      <c r="R37" s="489"/>
      <c r="S37" s="40">
        <v>0.4277777777777777</v>
      </c>
      <c r="T37" s="40">
        <v>0.48819444444444438</v>
      </c>
      <c r="U37" s="371">
        <f t="shared" si="26"/>
        <v>7.9999999999999716</v>
      </c>
      <c r="V37" s="373">
        <f t="shared" si="25"/>
        <v>87.000000000000014</v>
      </c>
      <c r="W37" s="23">
        <f>T37</f>
        <v>0.48819444444444438</v>
      </c>
      <c r="X37" s="23">
        <f>S38</f>
        <v>0.52847222222222212</v>
      </c>
      <c r="Y37" s="23"/>
      <c r="Z37" s="23"/>
      <c r="AA37" s="491"/>
      <c r="AB37" s="491"/>
      <c r="AC37" s="154"/>
      <c r="AD37" s="25"/>
      <c r="AE37" s="19">
        <f t="shared" si="8"/>
        <v>-104.13793103448324</v>
      </c>
      <c r="AF37" s="375">
        <f t="shared" si="9"/>
        <v>0.95660919540229861</v>
      </c>
      <c r="AG37" s="489"/>
    </row>
    <row r="38" spans="1:33" ht="15.75" customHeight="1">
      <c r="A38" s="518" t="s">
        <v>2207</v>
      </c>
      <c r="B38" s="42" t="s">
        <v>80</v>
      </c>
      <c r="C38" s="515" t="s">
        <v>82</v>
      </c>
      <c r="D38" s="515"/>
      <c r="E38" s="42">
        <v>26.2</v>
      </c>
      <c r="F38" s="372">
        <v>2293</v>
      </c>
      <c r="G38" s="371">
        <f t="shared" si="23"/>
        <v>60076.6</v>
      </c>
      <c r="H38" s="383" t="s">
        <v>79</v>
      </c>
      <c r="I38" s="374">
        <v>20</v>
      </c>
      <c r="J38" s="37">
        <v>2400</v>
      </c>
      <c r="K38" s="17">
        <f t="shared" si="1"/>
        <v>120</v>
      </c>
      <c r="L38" s="374">
        <v>20</v>
      </c>
      <c r="M38" s="18">
        <f t="shared" si="24"/>
        <v>2293.0000000000023</v>
      </c>
      <c r="N38" s="17">
        <f t="shared" si="3"/>
        <v>114.65000000000012</v>
      </c>
      <c r="O38" s="19">
        <f t="shared" si="4"/>
        <v>0</v>
      </c>
      <c r="P38" s="20">
        <f t="shared" si="5"/>
        <v>-5.3499999999998806</v>
      </c>
      <c r="Q38" s="375">
        <f t="shared" si="6"/>
        <v>0.95541666666666769</v>
      </c>
      <c r="R38" s="489"/>
      <c r="S38" s="40">
        <v>0.52847222222222212</v>
      </c>
      <c r="T38" s="40">
        <v>0.57013888888888875</v>
      </c>
      <c r="U38" s="371">
        <f t="shared" si="26"/>
        <v>57.999999999999957</v>
      </c>
      <c r="V38" s="373">
        <f t="shared" si="25"/>
        <v>59.999999999999943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-106.99999999999773</v>
      </c>
      <c r="AF38" s="375">
        <f t="shared" si="9"/>
        <v>0.95541666666666758</v>
      </c>
      <c r="AG38" s="489"/>
    </row>
    <row r="39" spans="1:33" ht="15.75" customHeight="1">
      <c r="A39" s="518" t="s">
        <v>2207</v>
      </c>
      <c r="B39" s="42" t="s">
        <v>80</v>
      </c>
      <c r="C39" s="515" t="s">
        <v>81</v>
      </c>
      <c r="D39" s="515"/>
      <c r="E39" s="42">
        <v>31.29</v>
      </c>
      <c r="F39" s="372">
        <v>4241</v>
      </c>
      <c r="G39" s="371">
        <f t="shared" si="23"/>
        <v>132700.88999999998</v>
      </c>
      <c r="H39" s="383" t="s">
        <v>79</v>
      </c>
      <c r="I39" s="374">
        <v>18</v>
      </c>
      <c r="J39" s="37">
        <v>2400</v>
      </c>
      <c r="K39" s="17">
        <f t="shared" si="1"/>
        <v>133.33333333333334</v>
      </c>
      <c r="L39" s="374">
        <v>18</v>
      </c>
      <c r="M39" s="18">
        <f t="shared" si="24"/>
        <v>2292.4324324324339</v>
      </c>
      <c r="N39" s="17">
        <f t="shared" si="3"/>
        <v>127.35735735735744</v>
      </c>
      <c r="O39" s="19">
        <f t="shared" si="4"/>
        <v>0</v>
      </c>
      <c r="P39" s="20">
        <f t="shared" si="5"/>
        <v>-5.9759759759758992</v>
      </c>
      <c r="Q39" s="375">
        <f t="shared" si="6"/>
        <v>0.9551801801801808</v>
      </c>
      <c r="R39" s="489"/>
      <c r="S39" s="40">
        <v>0.57361111111111096</v>
      </c>
      <c r="T39" s="40">
        <v>0.65069444444444424</v>
      </c>
      <c r="U39" s="371">
        <f t="shared" si="26"/>
        <v>4.9999999999999822</v>
      </c>
      <c r="V39" s="373">
        <f t="shared" si="25"/>
        <v>110.99999999999993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-107.56756756756613</v>
      </c>
      <c r="AF39" s="375">
        <f t="shared" si="9"/>
        <v>0.9551801801801808</v>
      </c>
      <c r="AG39" s="489"/>
    </row>
    <row r="40" spans="1:33" ht="15.75" customHeight="1">
      <c r="A40" s="518" t="s">
        <v>2207</v>
      </c>
      <c r="B40" s="42" t="s">
        <v>2202</v>
      </c>
      <c r="C40" s="494"/>
      <c r="D40" s="494"/>
      <c r="E40" s="377"/>
      <c r="F40" s="372"/>
      <c r="G40" s="371"/>
      <c r="H40" s="372"/>
      <c r="I40" s="30">
        <v>18.428571428571427</v>
      </c>
      <c r="J40" s="37">
        <v>2400</v>
      </c>
      <c r="K40" s="17">
        <f t="shared" si="1"/>
        <v>130.23255813953489</v>
      </c>
      <c r="L40" s="30">
        <v>18.428571428571427</v>
      </c>
      <c r="M40" s="18">
        <f>AVERAGE(M33:M39)</f>
        <v>2293.183648534211</v>
      </c>
      <c r="N40" s="17">
        <f t="shared" si="3"/>
        <v>124.43632201348433</v>
      </c>
      <c r="O40" s="19">
        <f t="shared" si="4"/>
        <v>0</v>
      </c>
      <c r="P40" s="20">
        <f t="shared" si="5"/>
        <v>-5.7962361260505588</v>
      </c>
      <c r="Q40" s="375">
        <f t="shared" si="6"/>
        <v>0.95549318688925466</v>
      </c>
      <c r="R40" s="489"/>
      <c r="S40" s="40"/>
      <c r="T40" s="40"/>
      <c r="U40" s="371"/>
      <c r="V40" s="373"/>
      <c r="W40" s="371"/>
      <c r="X40" s="371"/>
      <c r="Y40" s="31">
        <f>SUM(Y33:Y39)</f>
        <v>0</v>
      </c>
      <c r="Z40" s="31">
        <f>SUM(Z33:Z39)</f>
        <v>0</v>
      </c>
      <c r="AA40" s="495"/>
      <c r="AB40" s="495"/>
      <c r="AC40" s="31">
        <f>SUM(AC33:AC39)</f>
        <v>8</v>
      </c>
      <c r="AD40" s="31">
        <f>SUM(AD33:AD39)</f>
        <v>0</v>
      </c>
      <c r="AE40" s="19">
        <f t="shared" si="8"/>
        <v>-106.81635146578901</v>
      </c>
      <c r="AF40" s="375">
        <f t="shared" si="9"/>
        <v>0.95549318688925455</v>
      </c>
      <c r="AG40" s="489"/>
    </row>
    <row r="41" spans="1:33" ht="15.75" customHeight="1">
      <c r="A41" s="516" t="s">
        <v>2208</v>
      </c>
      <c r="B41" s="42" t="s">
        <v>80</v>
      </c>
      <c r="C41" s="490" t="s">
        <v>87</v>
      </c>
      <c r="D41" s="490"/>
      <c r="E41" s="42">
        <v>26.2</v>
      </c>
      <c r="F41" s="372">
        <v>3800</v>
      </c>
      <c r="G41" s="371">
        <f t="shared" ref="G41:G48" si="27">E41*F41</f>
        <v>99560</v>
      </c>
      <c r="H41" s="383">
        <v>2</v>
      </c>
      <c r="I41" s="374">
        <v>18</v>
      </c>
      <c r="J41" s="37">
        <v>2400</v>
      </c>
      <c r="K41" s="17">
        <f t="shared" si="1"/>
        <v>133.33333333333334</v>
      </c>
      <c r="L41" s="374">
        <v>18</v>
      </c>
      <c r="M41" s="18">
        <f t="shared" ref="M41:M48" si="28">F41/V41*60</f>
        <v>2303.030303030303</v>
      </c>
      <c r="N41" s="17">
        <f t="shared" si="3"/>
        <v>127.94612794612794</v>
      </c>
      <c r="O41" s="19">
        <f t="shared" si="4"/>
        <v>0</v>
      </c>
      <c r="P41" s="20">
        <f t="shared" si="5"/>
        <v>-5.3872053872053982</v>
      </c>
      <c r="Q41" s="375">
        <f t="shared" si="6"/>
        <v>0.95959595959595956</v>
      </c>
      <c r="R41" s="489">
        <f>Q49</f>
        <v>0.95877179687168723</v>
      </c>
      <c r="S41" s="40">
        <v>8.3333333333333329E-2</v>
      </c>
      <c r="T41" s="40">
        <v>0.15208333333333332</v>
      </c>
      <c r="U41" s="371"/>
      <c r="V41" s="373">
        <f t="shared" ref="V41:V48" si="29">(T41-S41)*24*60</f>
        <v>99</v>
      </c>
      <c r="W41" s="28">
        <f>T41</f>
        <v>0.15208333333333332</v>
      </c>
      <c r="X41" s="28">
        <f>S42</f>
        <v>0.17083333333333334</v>
      </c>
      <c r="Y41" s="28"/>
      <c r="Z41" s="28"/>
      <c r="AA41" s="491"/>
      <c r="AB41" s="491"/>
      <c r="AC41" s="154">
        <v>9</v>
      </c>
      <c r="AD41" s="25"/>
      <c r="AE41" s="19">
        <f t="shared" si="8"/>
        <v>-96.969696969696997</v>
      </c>
      <c r="AF41" s="375">
        <f t="shared" si="9"/>
        <v>0.95959595959595956</v>
      </c>
      <c r="AG41" s="489">
        <f>AF49</f>
        <v>0.95877179687168712</v>
      </c>
    </row>
    <row r="42" spans="1:33" ht="15.75" customHeight="1">
      <c r="A42" s="516" t="s">
        <v>2208</v>
      </c>
      <c r="B42" s="42" t="s">
        <v>80</v>
      </c>
      <c r="C42" s="490" t="s">
        <v>88</v>
      </c>
      <c r="D42" s="490"/>
      <c r="E42" s="42">
        <v>26.18</v>
      </c>
      <c r="F42" s="372">
        <v>2391</v>
      </c>
      <c r="G42" s="371">
        <f t="shared" si="27"/>
        <v>62596.38</v>
      </c>
      <c r="H42" s="383" t="s">
        <v>79</v>
      </c>
      <c r="I42" s="374">
        <v>19</v>
      </c>
      <c r="J42" s="37">
        <v>2400</v>
      </c>
      <c r="K42" s="17">
        <f t="shared" si="1"/>
        <v>126.31578947368421</v>
      </c>
      <c r="L42" s="374">
        <v>19</v>
      </c>
      <c r="M42" s="18">
        <f t="shared" si="28"/>
        <v>2313.8709677419347</v>
      </c>
      <c r="N42" s="17">
        <f t="shared" si="3"/>
        <v>121.7826825127334</v>
      </c>
      <c r="O42" s="19">
        <f t="shared" si="4"/>
        <v>0</v>
      </c>
      <c r="P42" s="20">
        <f t="shared" si="5"/>
        <v>-4.5331069609508035</v>
      </c>
      <c r="Q42" s="375">
        <f t="shared" si="6"/>
        <v>0.96411290322580612</v>
      </c>
      <c r="R42" s="489"/>
      <c r="S42" s="40">
        <v>0.17083333333333334</v>
      </c>
      <c r="T42" s="40">
        <v>0.21388888888888891</v>
      </c>
      <c r="U42" s="371">
        <f t="shared" ref="U42:U48" si="30">(S42-T41)*24*60</f>
        <v>27.000000000000025</v>
      </c>
      <c r="V42" s="373">
        <f t="shared" si="29"/>
        <v>62.000000000000021</v>
      </c>
      <c r="W42" s="371"/>
      <c r="X42" s="371"/>
      <c r="Y42" s="371"/>
      <c r="Z42" s="371"/>
      <c r="AA42" s="491"/>
      <c r="AB42" s="491"/>
      <c r="AC42" s="154"/>
      <c r="AD42" s="25"/>
      <c r="AE42" s="19">
        <f t="shared" si="8"/>
        <v>-86.129032258065308</v>
      </c>
      <c r="AF42" s="375">
        <f t="shared" si="9"/>
        <v>0.96411290322580612</v>
      </c>
      <c r="AG42" s="489"/>
    </row>
    <row r="43" spans="1:33">
      <c r="A43" s="517" t="s">
        <v>61</v>
      </c>
      <c r="B43" s="42" t="s">
        <v>80</v>
      </c>
      <c r="C43" s="490" t="s">
        <v>89</v>
      </c>
      <c r="D43" s="490"/>
      <c r="E43" s="42">
        <v>26.39</v>
      </c>
      <c r="F43" s="372">
        <v>6264</v>
      </c>
      <c r="G43" s="371">
        <f t="shared" si="27"/>
        <v>165306.96</v>
      </c>
      <c r="H43" s="383" t="s">
        <v>79</v>
      </c>
      <c r="I43" s="374">
        <v>19</v>
      </c>
      <c r="J43" s="37">
        <v>2400</v>
      </c>
      <c r="K43" s="17">
        <f t="shared" si="1"/>
        <v>126.31578947368421</v>
      </c>
      <c r="L43" s="374">
        <v>19</v>
      </c>
      <c r="M43" s="18">
        <f t="shared" si="28"/>
        <v>2291.7073170731705</v>
      </c>
      <c r="N43" s="17">
        <f t="shared" si="3"/>
        <v>120.61617458279845</v>
      </c>
      <c r="O43" s="19">
        <f t="shared" si="4"/>
        <v>0</v>
      </c>
      <c r="P43" s="20">
        <f t="shared" si="5"/>
        <v>-5.6996148908857549</v>
      </c>
      <c r="Q43" s="375">
        <f t="shared" si="6"/>
        <v>0.95487804878048776</v>
      </c>
      <c r="R43" s="489"/>
      <c r="S43" s="40">
        <v>0.21805555555555559</v>
      </c>
      <c r="T43" s="40">
        <v>0.33194444444444449</v>
      </c>
      <c r="U43" s="371">
        <f t="shared" si="30"/>
        <v>6.0000000000000187</v>
      </c>
      <c r="V43" s="373">
        <f t="shared" si="29"/>
        <v>164</v>
      </c>
      <c r="W43" s="371"/>
      <c r="X43" s="371"/>
      <c r="Y43" s="371"/>
      <c r="Z43" s="371"/>
      <c r="AA43" s="491"/>
      <c r="AB43" s="491"/>
      <c r="AC43" s="154"/>
      <c r="AD43" s="25"/>
      <c r="AE43" s="19">
        <f t="shared" si="8"/>
        <v>-108.29268292682946</v>
      </c>
      <c r="AF43" s="375">
        <f t="shared" si="9"/>
        <v>0.95487804878048776</v>
      </c>
      <c r="AG43" s="489"/>
    </row>
    <row r="44" spans="1:33">
      <c r="A44" s="517" t="s">
        <v>2208</v>
      </c>
      <c r="B44" s="42" t="s">
        <v>80</v>
      </c>
      <c r="C44" s="490" t="s">
        <v>90</v>
      </c>
      <c r="D44" s="490"/>
      <c r="E44" s="42">
        <v>22.69</v>
      </c>
      <c r="F44" s="372">
        <v>1701</v>
      </c>
      <c r="G44" s="371">
        <f t="shared" si="27"/>
        <v>38595.69</v>
      </c>
      <c r="H44" s="383" t="s">
        <v>79</v>
      </c>
      <c r="I44" s="374">
        <v>15</v>
      </c>
      <c r="J44" s="37">
        <v>2400</v>
      </c>
      <c r="K44" s="17">
        <f t="shared" si="1"/>
        <v>160</v>
      </c>
      <c r="L44" s="374">
        <v>15</v>
      </c>
      <c r="M44" s="18">
        <f t="shared" si="28"/>
        <v>2319.5454545454545</v>
      </c>
      <c r="N44" s="17">
        <f t="shared" si="3"/>
        <v>154.63636363636363</v>
      </c>
      <c r="O44" s="19">
        <f t="shared" si="4"/>
        <v>0</v>
      </c>
      <c r="P44" s="20">
        <f t="shared" si="5"/>
        <v>-5.363636363636374</v>
      </c>
      <c r="Q44" s="375">
        <f t="shared" si="6"/>
        <v>0.96647727272727268</v>
      </c>
      <c r="R44" s="489"/>
      <c r="S44" s="40">
        <v>0.33680555555555558</v>
      </c>
      <c r="T44" s="40">
        <v>0.36736111111111114</v>
      </c>
      <c r="U44" s="371">
        <f t="shared" si="30"/>
        <v>6.9999999999999751</v>
      </c>
      <c r="V44" s="373">
        <f t="shared" si="29"/>
        <v>44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-80.454545454545496</v>
      </c>
      <c r="AF44" s="375">
        <f t="shared" si="9"/>
        <v>0.96647727272727268</v>
      </c>
      <c r="AG44" s="489"/>
    </row>
    <row r="45" spans="1:33">
      <c r="A45" s="517" t="s">
        <v>61</v>
      </c>
      <c r="B45" s="42" t="s">
        <v>80</v>
      </c>
      <c r="C45" s="490" t="s">
        <v>91</v>
      </c>
      <c r="D45" s="490"/>
      <c r="E45" s="42">
        <v>24.45</v>
      </c>
      <c r="F45" s="372">
        <v>2734</v>
      </c>
      <c r="G45" s="371">
        <f t="shared" si="27"/>
        <v>66846.3</v>
      </c>
      <c r="H45" s="383" t="s">
        <v>79</v>
      </c>
      <c r="I45" s="374">
        <v>20</v>
      </c>
      <c r="J45" s="37">
        <v>2400</v>
      </c>
      <c r="K45" s="17">
        <f t="shared" si="1"/>
        <v>120</v>
      </c>
      <c r="L45" s="374">
        <v>20</v>
      </c>
      <c r="M45" s="18">
        <f t="shared" si="28"/>
        <v>2310.422535211268</v>
      </c>
      <c r="N45" s="17">
        <f t="shared" si="3"/>
        <v>115.5211267605634</v>
      </c>
      <c r="O45" s="19">
        <f t="shared" si="4"/>
        <v>0</v>
      </c>
      <c r="P45" s="20">
        <f t="shared" si="5"/>
        <v>-4.4788732394365951</v>
      </c>
      <c r="Q45" s="375">
        <f t="shared" si="6"/>
        <v>0.96267605633802833</v>
      </c>
      <c r="R45" s="489"/>
      <c r="S45" s="40">
        <v>0.37291666666666667</v>
      </c>
      <c r="T45" s="40">
        <v>0.42222222222222222</v>
      </c>
      <c r="U45" s="371">
        <f t="shared" si="30"/>
        <v>7.9999999999999716</v>
      </c>
      <c r="V45" s="373">
        <f t="shared" si="29"/>
        <v>70.999999999999986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-89.577464788731959</v>
      </c>
      <c r="AF45" s="375">
        <f t="shared" si="9"/>
        <v>0.96267605633802833</v>
      </c>
      <c r="AG45" s="489"/>
    </row>
    <row r="46" spans="1:33">
      <c r="A46" s="517" t="s">
        <v>2208</v>
      </c>
      <c r="B46" s="42" t="s">
        <v>80</v>
      </c>
      <c r="C46" s="490" t="s">
        <v>1224</v>
      </c>
      <c r="D46" s="490"/>
      <c r="E46" s="42">
        <v>22.69</v>
      </c>
      <c r="F46" s="372">
        <v>4500</v>
      </c>
      <c r="G46" s="371">
        <f t="shared" si="27"/>
        <v>102105</v>
      </c>
      <c r="H46" s="383">
        <v>2</v>
      </c>
      <c r="I46" s="374">
        <v>16</v>
      </c>
      <c r="J46" s="37">
        <v>2400</v>
      </c>
      <c r="K46" s="17">
        <f t="shared" si="1"/>
        <v>150</v>
      </c>
      <c r="L46" s="374">
        <v>16</v>
      </c>
      <c r="M46" s="18">
        <f t="shared" si="28"/>
        <v>2288.1355932203396</v>
      </c>
      <c r="N46" s="17">
        <f t="shared" si="3"/>
        <v>143.00847457627123</v>
      </c>
      <c r="O46" s="19">
        <f t="shared" si="4"/>
        <v>0</v>
      </c>
      <c r="P46" s="20">
        <f t="shared" si="5"/>
        <v>-6.9915254237287741</v>
      </c>
      <c r="Q46" s="375">
        <f t="shared" si="6"/>
        <v>0.95338983050847481</v>
      </c>
      <c r="R46" s="489"/>
      <c r="S46" s="40">
        <v>0.42638888888888887</v>
      </c>
      <c r="T46" s="40">
        <v>0.5083333333333333</v>
      </c>
      <c r="U46" s="371">
        <f t="shared" si="30"/>
        <v>5.9999999999999787</v>
      </c>
      <c r="V46" s="373">
        <f t="shared" si="29"/>
        <v>117.99999999999999</v>
      </c>
      <c r="W46" s="23">
        <f>T46</f>
        <v>0.5083333333333333</v>
      </c>
      <c r="X46" s="23">
        <f>S47</f>
        <v>0.54861111111111105</v>
      </c>
      <c r="Y46" s="23"/>
      <c r="Z46" s="23"/>
      <c r="AA46" s="491"/>
      <c r="AB46" s="491"/>
      <c r="AC46" s="154"/>
      <c r="AD46" s="25"/>
      <c r="AE46" s="19">
        <f t="shared" si="8"/>
        <v>-111.86440677966038</v>
      </c>
      <c r="AF46" s="375">
        <f t="shared" si="9"/>
        <v>0.95338983050847481</v>
      </c>
      <c r="AG46" s="489"/>
    </row>
    <row r="47" spans="1:33">
      <c r="A47" s="517" t="s">
        <v>2208</v>
      </c>
      <c r="B47" s="42" t="s">
        <v>80</v>
      </c>
      <c r="C47" s="490" t="s">
        <v>1224</v>
      </c>
      <c r="D47" s="490"/>
      <c r="E47" s="42">
        <v>22.69</v>
      </c>
      <c r="F47" s="372">
        <v>3802</v>
      </c>
      <c r="G47" s="371">
        <f t="shared" si="27"/>
        <v>86267.38</v>
      </c>
      <c r="H47" s="383" t="s">
        <v>79</v>
      </c>
      <c r="I47" s="374">
        <v>16</v>
      </c>
      <c r="J47" s="37">
        <v>2400</v>
      </c>
      <c r="K47" s="17">
        <f t="shared" si="1"/>
        <v>150</v>
      </c>
      <c r="L47" s="374">
        <v>16</v>
      </c>
      <c r="M47" s="18">
        <f t="shared" si="28"/>
        <v>2281.2000000000007</v>
      </c>
      <c r="N47" s="17">
        <f t="shared" si="3"/>
        <v>142.57500000000005</v>
      </c>
      <c r="O47" s="19">
        <f t="shared" si="4"/>
        <v>0</v>
      </c>
      <c r="P47" s="20">
        <f t="shared" si="5"/>
        <v>-7.4249999999999545</v>
      </c>
      <c r="Q47" s="375">
        <f t="shared" si="6"/>
        <v>0.95050000000000034</v>
      </c>
      <c r="R47" s="489"/>
      <c r="S47" s="40">
        <v>0.54861111111111105</v>
      </c>
      <c r="T47" s="40">
        <v>0.61805555555555547</v>
      </c>
      <c r="U47" s="371">
        <f t="shared" si="30"/>
        <v>57.999999999999957</v>
      </c>
      <c r="V47" s="373">
        <f t="shared" si="29"/>
        <v>99.999999999999972</v>
      </c>
      <c r="W47" s="23"/>
      <c r="X47" s="23"/>
      <c r="Y47" s="26"/>
      <c r="Z47" s="26"/>
      <c r="AA47" s="503"/>
      <c r="AB47" s="504"/>
      <c r="AC47" s="154"/>
      <c r="AD47" s="25"/>
      <c r="AE47" s="19">
        <f t="shared" si="8"/>
        <v>-118.79999999999927</v>
      </c>
      <c r="AF47" s="375">
        <f t="shared" si="9"/>
        <v>0.95050000000000034</v>
      </c>
      <c r="AG47" s="489"/>
    </row>
    <row r="48" spans="1:33">
      <c r="A48" s="517" t="s">
        <v>2208</v>
      </c>
      <c r="B48" s="42" t="s">
        <v>80</v>
      </c>
      <c r="C48" s="490" t="s">
        <v>87</v>
      </c>
      <c r="D48" s="490"/>
      <c r="E48" s="42">
        <v>26.2</v>
      </c>
      <c r="F48" s="372">
        <v>3029</v>
      </c>
      <c r="G48" s="371">
        <f t="shared" si="27"/>
        <v>79359.8</v>
      </c>
      <c r="H48" s="383" t="s">
        <v>79</v>
      </c>
      <c r="I48" s="374">
        <v>18</v>
      </c>
      <c r="J48" s="37">
        <v>2400</v>
      </c>
      <c r="K48" s="17">
        <f t="shared" si="1"/>
        <v>133.33333333333334</v>
      </c>
      <c r="L48" s="374">
        <v>18</v>
      </c>
      <c r="M48" s="18">
        <f t="shared" si="28"/>
        <v>2300.5063291139231</v>
      </c>
      <c r="N48" s="17">
        <f t="shared" si="3"/>
        <v>127.80590717299573</v>
      </c>
      <c r="O48" s="19">
        <f t="shared" si="4"/>
        <v>0</v>
      </c>
      <c r="P48" s="20">
        <f t="shared" si="5"/>
        <v>-5.5274261603376118</v>
      </c>
      <c r="Q48" s="375">
        <f t="shared" si="6"/>
        <v>0.95854430379746791</v>
      </c>
      <c r="R48" s="489"/>
      <c r="S48" s="40">
        <v>0.62361111111111101</v>
      </c>
      <c r="T48" s="40">
        <v>0.67847222222222214</v>
      </c>
      <c r="U48" s="371">
        <f t="shared" si="30"/>
        <v>7.9999999999999716</v>
      </c>
      <c r="V48" s="373">
        <f t="shared" si="29"/>
        <v>79.000000000000043</v>
      </c>
      <c r="W48" s="23"/>
      <c r="X48" s="23"/>
      <c r="Y48" s="26"/>
      <c r="Z48" s="26"/>
      <c r="AA48" s="503"/>
      <c r="AB48" s="504"/>
      <c r="AC48" s="154"/>
      <c r="AD48" s="25"/>
      <c r="AE48" s="19">
        <f t="shared" si="8"/>
        <v>-99.49367088607687</v>
      </c>
      <c r="AF48" s="375">
        <f t="shared" si="9"/>
        <v>0.95854430379746802</v>
      </c>
      <c r="AG48" s="489"/>
    </row>
    <row r="49" spans="1:33">
      <c r="A49" s="517" t="s">
        <v>61</v>
      </c>
      <c r="B49" s="44" t="s">
        <v>49</v>
      </c>
      <c r="C49" s="494"/>
      <c r="D49" s="494"/>
      <c r="E49" s="377"/>
      <c r="F49" s="44"/>
      <c r="G49" s="17"/>
      <c r="H49" s="372"/>
      <c r="I49" s="30">
        <v>17.625</v>
      </c>
      <c r="J49" s="37">
        <v>2400</v>
      </c>
      <c r="K49" s="17">
        <f t="shared" si="1"/>
        <v>136.17021276595744</v>
      </c>
      <c r="L49" s="30">
        <v>17.625</v>
      </c>
      <c r="M49" s="18">
        <f>AVERAGE(M41:M48)</f>
        <v>2301.0523124920492</v>
      </c>
      <c r="N49" s="17">
        <f t="shared" si="3"/>
        <v>130.55615957401699</v>
      </c>
      <c r="O49" s="19">
        <f t="shared" si="4"/>
        <v>0</v>
      </c>
      <c r="P49" s="20">
        <f t="shared" si="5"/>
        <v>-5.6140531919404566</v>
      </c>
      <c r="Q49" s="375">
        <f t="shared" si="6"/>
        <v>0.95877179687168723</v>
      </c>
      <c r="R49" s="489"/>
      <c r="S49" s="40"/>
      <c r="T49" s="40"/>
      <c r="U49" s="17"/>
      <c r="V49" s="373"/>
      <c r="W49" s="17"/>
      <c r="X49" s="17"/>
      <c r="Y49" s="31">
        <f>SUM(Y41:Y48)</f>
        <v>0</v>
      </c>
      <c r="Z49" s="31">
        <f>SUM(Z41:Z48)</f>
        <v>0</v>
      </c>
      <c r="AA49" s="495"/>
      <c r="AB49" s="495"/>
      <c r="AC49" s="31">
        <f>SUM(AC41:AC48)</f>
        <v>9</v>
      </c>
      <c r="AD49" s="31">
        <f>SUM(AD41:AD48)</f>
        <v>0</v>
      </c>
      <c r="AE49" s="19">
        <f t="shared" si="8"/>
        <v>-98.947687507950832</v>
      </c>
      <c r="AF49" s="375">
        <f t="shared" si="9"/>
        <v>0.95877179687168712</v>
      </c>
      <c r="AG49" s="489"/>
    </row>
    <row r="50" spans="1:33" ht="15.75" customHeight="1">
      <c r="A50" s="512" t="s">
        <v>2209</v>
      </c>
      <c r="B50" s="42" t="s">
        <v>93</v>
      </c>
      <c r="C50" s="501" t="s">
        <v>94</v>
      </c>
      <c r="D50" s="502"/>
      <c r="E50" s="42">
        <v>21.13</v>
      </c>
      <c r="F50" s="372">
        <v>5622</v>
      </c>
      <c r="G50" s="371">
        <f t="shared" ref="G50:G57" si="31">E50*F50</f>
        <v>118792.86</v>
      </c>
      <c r="H50" s="383" t="s">
        <v>79</v>
      </c>
      <c r="I50" s="374">
        <v>10</v>
      </c>
      <c r="J50" s="37">
        <v>3000</v>
      </c>
      <c r="K50" s="17">
        <f t="shared" si="1"/>
        <v>300</v>
      </c>
      <c r="L50" s="374">
        <v>10</v>
      </c>
      <c r="M50" s="18">
        <f t="shared" ref="M50:M57" si="32">F50/V50*60</f>
        <v>2858.6440677966098</v>
      </c>
      <c r="N50" s="18">
        <f t="shared" si="3"/>
        <v>285.86440677966095</v>
      </c>
      <c r="O50" s="19">
        <f t="shared" si="4"/>
        <v>0</v>
      </c>
      <c r="P50" s="20">
        <f t="shared" si="5"/>
        <v>-14.135593220339047</v>
      </c>
      <c r="Q50" s="375">
        <f t="shared" si="6"/>
        <v>0.95288135593220313</v>
      </c>
      <c r="R50" s="509">
        <f>Q58</f>
        <v>0.96054190939306217</v>
      </c>
      <c r="S50" s="40">
        <v>8.3333333333333329E-2</v>
      </c>
      <c r="T50" s="40">
        <v>0.16527777777777777</v>
      </c>
      <c r="U50" s="28"/>
      <c r="V50" s="373">
        <f t="shared" ref="V50:V57" si="33">(T50-S50)*24*60</f>
        <v>118</v>
      </c>
      <c r="W50" s="23">
        <f>T50</f>
        <v>0.16527777777777777</v>
      </c>
      <c r="X50" s="23">
        <f>S51</f>
        <v>0.18402777777777776</v>
      </c>
      <c r="Y50" s="26"/>
      <c r="Z50" s="26"/>
      <c r="AA50" s="503"/>
      <c r="AB50" s="504"/>
      <c r="AC50" s="154">
        <v>1</v>
      </c>
      <c r="AD50" s="25"/>
      <c r="AE50" s="19">
        <f t="shared" si="8"/>
        <v>-141.35593220339024</v>
      </c>
      <c r="AF50" s="375">
        <f t="shared" si="9"/>
        <v>0.95288135593220324</v>
      </c>
      <c r="AG50" s="509">
        <f>AF58</f>
        <v>0.96054190939306228</v>
      </c>
    </row>
    <row r="51" spans="1:33" ht="15.75" customHeight="1">
      <c r="A51" s="513" t="s">
        <v>65</v>
      </c>
      <c r="B51" s="42" t="s">
        <v>93</v>
      </c>
      <c r="C51" s="501" t="s">
        <v>95</v>
      </c>
      <c r="D51" s="502"/>
      <c r="E51" s="42">
        <v>27.17</v>
      </c>
      <c r="F51" s="372">
        <v>4300</v>
      </c>
      <c r="G51" s="371">
        <f t="shared" si="31"/>
        <v>116831.00000000001</v>
      </c>
      <c r="H51" s="383">
        <v>2</v>
      </c>
      <c r="I51" s="374">
        <v>10</v>
      </c>
      <c r="J51" s="37">
        <v>3000</v>
      </c>
      <c r="K51" s="17">
        <f t="shared" si="1"/>
        <v>300</v>
      </c>
      <c r="L51" s="374">
        <v>10</v>
      </c>
      <c r="M51" s="18">
        <f t="shared" si="32"/>
        <v>2866.6666666666665</v>
      </c>
      <c r="N51" s="18">
        <f t="shared" si="3"/>
        <v>286.66666666666663</v>
      </c>
      <c r="O51" s="19">
        <f t="shared" si="4"/>
        <v>0</v>
      </c>
      <c r="P51" s="20">
        <f t="shared" si="5"/>
        <v>-13.333333333333371</v>
      </c>
      <c r="Q51" s="375">
        <f t="shared" si="6"/>
        <v>0.95555555555555538</v>
      </c>
      <c r="R51" s="510"/>
      <c r="S51" s="40">
        <v>0.18402777777777776</v>
      </c>
      <c r="T51" s="40">
        <v>0.24652777777777776</v>
      </c>
      <c r="U51" s="371">
        <f t="shared" ref="U51:U57" si="34">(S51-T50)*24*60</f>
        <v>26.999999999999986</v>
      </c>
      <c r="V51" s="373">
        <f t="shared" si="33"/>
        <v>90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-133.33333333333348</v>
      </c>
      <c r="AF51" s="375">
        <f t="shared" si="9"/>
        <v>0.95555555555555549</v>
      </c>
      <c r="AG51" s="510"/>
    </row>
    <row r="52" spans="1:33" ht="15.75" customHeight="1">
      <c r="A52" s="513" t="s">
        <v>65</v>
      </c>
      <c r="B52" s="42" t="s">
        <v>93</v>
      </c>
      <c r="C52" s="501" t="s">
        <v>96</v>
      </c>
      <c r="D52" s="502"/>
      <c r="E52" s="42">
        <v>35.119999999999997</v>
      </c>
      <c r="F52" s="372">
        <v>5606</v>
      </c>
      <c r="G52" s="371">
        <f t="shared" si="31"/>
        <v>196882.71999999997</v>
      </c>
      <c r="H52" s="383" t="s">
        <v>79</v>
      </c>
      <c r="I52" s="374">
        <v>10</v>
      </c>
      <c r="J52" s="37">
        <v>3000</v>
      </c>
      <c r="K52" s="17">
        <f t="shared" si="1"/>
        <v>300</v>
      </c>
      <c r="L52" s="374">
        <v>10</v>
      </c>
      <c r="M52" s="18">
        <f t="shared" si="32"/>
        <v>2874.8717948717954</v>
      </c>
      <c r="N52" s="18">
        <f t="shared" si="3"/>
        <v>287.48717948717956</v>
      </c>
      <c r="O52" s="19">
        <f t="shared" si="4"/>
        <v>0</v>
      </c>
      <c r="P52" s="20">
        <f t="shared" si="5"/>
        <v>-12.51282051282044</v>
      </c>
      <c r="Q52" s="375">
        <f t="shared" si="6"/>
        <v>0.95829059829059848</v>
      </c>
      <c r="R52" s="510"/>
      <c r="S52" s="40">
        <v>0.25138888888888888</v>
      </c>
      <c r="T52" s="40">
        <v>0.33263888888888887</v>
      </c>
      <c r="U52" s="371">
        <f t="shared" si="34"/>
        <v>7.0000000000000151</v>
      </c>
      <c r="V52" s="373">
        <f t="shared" si="33"/>
        <v>116.99999999999999</v>
      </c>
      <c r="W52" s="23"/>
      <c r="X52" s="23"/>
      <c r="Y52" s="26"/>
      <c r="Z52" s="26"/>
      <c r="AA52" s="503"/>
      <c r="AB52" s="504"/>
      <c r="AC52" s="154">
        <v>1</v>
      </c>
      <c r="AD52" s="25"/>
      <c r="AE52" s="19">
        <f t="shared" si="8"/>
        <v>-125.12820512820463</v>
      </c>
      <c r="AF52" s="375">
        <f t="shared" si="9"/>
        <v>0.95829059829059848</v>
      </c>
      <c r="AG52" s="510"/>
    </row>
    <row r="53" spans="1:33" ht="15.75" customHeight="1">
      <c r="A53" s="513" t="s">
        <v>2209</v>
      </c>
      <c r="B53" s="42" t="s">
        <v>93</v>
      </c>
      <c r="C53" s="501" t="s">
        <v>110</v>
      </c>
      <c r="D53" s="502"/>
      <c r="E53" s="42">
        <v>26.78</v>
      </c>
      <c r="F53" s="372">
        <v>2801</v>
      </c>
      <c r="G53" s="371">
        <f t="shared" si="31"/>
        <v>75010.78</v>
      </c>
      <c r="H53" s="383" t="s">
        <v>79</v>
      </c>
      <c r="I53" s="374">
        <v>10</v>
      </c>
      <c r="J53" s="37">
        <v>3000</v>
      </c>
      <c r="K53" s="17">
        <f t="shared" si="1"/>
        <v>300</v>
      </c>
      <c r="L53" s="374">
        <v>10</v>
      </c>
      <c r="M53" s="18">
        <f t="shared" si="32"/>
        <v>2897.5862068965498</v>
      </c>
      <c r="N53" s="18">
        <f t="shared" si="3"/>
        <v>289.758620689655</v>
      </c>
      <c r="O53" s="19">
        <f t="shared" si="4"/>
        <v>0</v>
      </c>
      <c r="P53" s="20">
        <f t="shared" si="5"/>
        <v>-10.241379310344996</v>
      </c>
      <c r="Q53" s="375">
        <f t="shared" si="6"/>
        <v>0.96586206896551663</v>
      </c>
      <c r="R53" s="510"/>
      <c r="S53" s="40">
        <v>0.33611111111111108</v>
      </c>
      <c r="T53" s="40">
        <v>0.37638888888888888</v>
      </c>
      <c r="U53" s="371">
        <f t="shared" si="34"/>
        <v>4.9999999999999822</v>
      </c>
      <c r="V53" s="373">
        <f t="shared" si="33"/>
        <v>58.000000000000036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-102.41379310345019</v>
      </c>
      <c r="AF53" s="375">
        <f t="shared" si="9"/>
        <v>0.96586206896551663</v>
      </c>
      <c r="AG53" s="510"/>
    </row>
    <row r="54" spans="1:33" ht="15.75" customHeight="1">
      <c r="A54" s="513" t="s">
        <v>65</v>
      </c>
      <c r="B54" s="42" t="s">
        <v>93</v>
      </c>
      <c r="C54" s="501" t="s">
        <v>99</v>
      </c>
      <c r="D54" s="502"/>
      <c r="E54" s="42">
        <v>32.020000000000003</v>
      </c>
      <c r="F54" s="372">
        <v>2167</v>
      </c>
      <c r="G54" s="371">
        <f t="shared" si="31"/>
        <v>69387.340000000011</v>
      </c>
      <c r="H54" s="383" t="s">
        <v>79</v>
      </c>
      <c r="I54" s="374">
        <v>11</v>
      </c>
      <c r="J54" s="37">
        <v>3000</v>
      </c>
      <c r="K54" s="17">
        <f t="shared" si="1"/>
        <v>272.72727272727275</v>
      </c>
      <c r="L54" s="374">
        <v>11</v>
      </c>
      <c r="M54" s="18">
        <f t="shared" si="32"/>
        <v>2889.3333333333335</v>
      </c>
      <c r="N54" s="18">
        <f t="shared" si="3"/>
        <v>262.66666666666669</v>
      </c>
      <c r="O54" s="19">
        <f t="shared" si="4"/>
        <v>0</v>
      </c>
      <c r="P54" s="20">
        <f t="shared" si="5"/>
        <v>-10.060606060606062</v>
      </c>
      <c r="Q54" s="375">
        <f t="shared" si="6"/>
        <v>0.96311111111111114</v>
      </c>
      <c r="R54" s="510"/>
      <c r="S54" s="40">
        <v>0.38055555555555554</v>
      </c>
      <c r="T54" s="40">
        <v>0.41180555555555554</v>
      </c>
      <c r="U54" s="371">
        <f t="shared" si="34"/>
        <v>5.9999999999999787</v>
      </c>
      <c r="V54" s="373">
        <f t="shared" si="33"/>
        <v>45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-110.66666666666652</v>
      </c>
      <c r="AF54" s="375">
        <f t="shared" si="9"/>
        <v>0.96311111111111114</v>
      </c>
      <c r="AG54" s="510"/>
    </row>
    <row r="55" spans="1:33" ht="15.75" customHeight="1">
      <c r="A55" s="513" t="s">
        <v>65</v>
      </c>
      <c r="B55" s="42" t="s">
        <v>93</v>
      </c>
      <c r="C55" s="501" t="s">
        <v>112</v>
      </c>
      <c r="D55" s="502"/>
      <c r="E55" s="42">
        <v>35.869999999999997</v>
      </c>
      <c r="F55" s="372">
        <v>3414</v>
      </c>
      <c r="G55" s="371">
        <f t="shared" si="31"/>
        <v>122460.18</v>
      </c>
      <c r="H55" s="383" t="s">
        <v>79</v>
      </c>
      <c r="I55" s="374">
        <v>9</v>
      </c>
      <c r="J55" s="37">
        <v>3000</v>
      </c>
      <c r="K55" s="17">
        <f t="shared" si="1"/>
        <v>333.33333333333331</v>
      </c>
      <c r="L55" s="374">
        <v>9</v>
      </c>
      <c r="M55" s="18">
        <f t="shared" si="32"/>
        <v>2885.0704225352115</v>
      </c>
      <c r="N55" s="18">
        <f t="shared" si="3"/>
        <v>320.56338028169017</v>
      </c>
      <c r="O55" s="19">
        <f t="shared" si="4"/>
        <v>0</v>
      </c>
      <c r="P55" s="20">
        <f t="shared" si="5"/>
        <v>-12.769953051643142</v>
      </c>
      <c r="Q55" s="375">
        <f t="shared" si="6"/>
        <v>0.96169014084507054</v>
      </c>
      <c r="R55" s="510"/>
      <c r="S55" s="40">
        <v>0.41597222222222219</v>
      </c>
      <c r="T55" s="40">
        <v>0.46527777777777773</v>
      </c>
      <c r="U55" s="371">
        <f t="shared" si="34"/>
        <v>5.9999999999999787</v>
      </c>
      <c r="V55" s="373">
        <f t="shared" si="33"/>
        <v>70.999999999999986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-114.92957746478851</v>
      </c>
      <c r="AF55" s="375">
        <f t="shared" si="9"/>
        <v>0.96169014084507054</v>
      </c>
      <c r="AG55" s="510"/>
    </row>
    <row r="56" spans="1:33" ht="15.75" customHeight="1">
      <c r="A56" s="513" t="s">
        <v>65</v>
      </c>
      <c r="B56" s="42" t="s">
        <v>93</v>
      </c>
      <c r="C56" s="501" t="s">
        <v>1778</v>
      </c>
      <c r="D56" s="502"/>
      <c r="E56" s="42">
        <v>44.03</v>
      </c>
      <c r="F56" s="372">
        <v>1741</v>
      </c>
      <c r="G56" s="371">
        <f t="shared" si="31"/>
        <v>76656.23</v>
      </c>
      <c r="H56" s="383" t="s">
        <v>79</v>
      </c>
      <c r="I56" s="374">
        <v>10</v>
      </c>
      <c r="J56" s="37">
        <v>3000</v>
      </c>
      <c r="K56" s="17">
        <f t="shared" si="1"/>
        <v>300</v>
      </c>
      <c r="L56" s="374">
        <v>10</v>
      </c>
      <c r="M56" s="18">
        <f t="shared" si="32"/>
        <v>2901.6666666666642</v>
      </c>
      <c r="N56" s="18">
        <f t="shared" si="3"/>
        <v>290.1666666666664</v>
      </c>
      <c r="O56" s="19">
        <f t="shared" si="4"/>
        <v>0</v>
      </c>
      <c r="P56" s="20">
        <f t="shared" si="5"/>
        <v>-9.8333333333335986</v>
      </c>
      <c r="Q56" s="375">
        <f t="shared" si="6"/>
        <v>0.96722222222222132</v>
      </c>
      <c r="R56" s="510"/>
      <c r="S56" s="40">
        <v>0.46874999999999994</v>
      </c>
      <c r="T56" s="40">
        <v>0.49374999999999997</v>
      </c>
      <c r="U56" s="371">
        <f t="shared" si="34"/>
        <v>4.9999999999999822</v>
      </c>
      <c r="V56" s="373">
        <f t="shared" si="33"/>
        <v>36.000000000000028</v>
      </c>
      <c r="W56" s="23">
        <f>T56</f>
        <v>0.49374999999999997</v>
      </c>
      <c r="X56" s="23">
        <f>S57</f>
        <v>0.53541666666666654</v>
      </c>
      <c r="Y56" s="26"/>
      <c r="Z56" s="26"/>
      <c r="AA56" s="503"/>
      <c r="AB56" s="504"/>
      <c r="AC56" s="154" t="s">
        <v>79</v>
      </c>
      <c r="AD56" s="25"/>
      <c r="AE56" s="19">
        <f t="shared" si="8"/>
        <v>-98.333333333335759</v>
      </c>
      <c r="AF56" s="375">
        <f t="shared" si="9"/>
        <v>0.96722222222222143</v>
      </c>
      <c r="AG56" s="510"/>
    </row>
    <row r="57" spans="1:33" ht="15.75" customHeight="1">
      <c r="A57" s="513" t="s">
        <v>65</v>
      </c>
      <c r="B57" s="42" t="s">
        <v>93</v>
      </c>
      <c r="C57" s="501" t="s">
        <v>95</v>
      </c>
      <c r="D57" s="502"/>
      <c r="E57" s="42">
        <v>27.17</v>
      </c>
      <c r="F57" s="372">
        <v>3455</v>
      </c>
      <c r="G57" s="371">
        <f t="shared" si="31"/>
        <v>93872.35</v>
      </c>
      <c r="H57" s="383" t="s">
        <v>79</v>
      </c>
      <c r="I57" s="374">
        <v>10</v>
      </c>
      <c r="J57" s="37">
        <v>3000</v>
      </c>
      <c r="K57" s="17">
        <f t="shared" si="1"/>
        <v>300</v>
      </c>
      <c r="L57" s="374">
        <v>10</v>
      </c>
      <c r="M57" s="18">
        <f t="shared" si="32"/>
        <v>2879.1666666666642</v>
      </c>
      <c r="N57" s="18">
        <f t="shared" si="3"/>
        <v>287.9166666666664</v>
      </c>
      <c r="O57" s="19">
        <f t="shared" si="4"/>
        <v>0</v>
      </c>
      <c r="P57" s="20">
        <f t="shared" si="5"/>
        <v>-12.083333333333599</v>
      </c>
      <c r="Q57" s="375">
        <f t="shared" si="6"/>
        <v>0.95972222222222137</v>
      </c>
      <c r="R57" s="510"/>
      <c r="S57" s="40">
        <v>0.53541666666666654</v>
      </c>
      <c r="T57" s="40">
        <v>0.58541666666666659</v>
      </c>
      <c r="U57" s="371">
        <f t="shared" si="34"/>
        <v>59.999999999999865</v>
      </c>
      <c r="V57" s="373">
        <f t="shared" si="33"/>
        <v>72.000000000000057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-120.83333333333576</v>
      </c>
      <c r="AF57" s="375">
        <f t="shared" si="9"/>
        <v>0.95972222222222137</v>
      </c>
      <c r="AG57" s="510"/>
    </row>
    <row r="58" spans="1:33" ht="15.75" customHeight="1">
      <c r="A58" s="514" t="s">
        <v>65</v>
      </c>
      <c r="B58" s="42" t="s">
        <v>49</v>
      </c>
      <c r="C58" s="492"/>
      <c r="D58" s="493"/>
      <c r="E58" s="382"/>
      <c r="F58" s="372"/>
      <c r="G58" s="371"/>
      <c r="H58" s="372"/>
      <c r="I58" s="30">
        <v>10</v>
      </c>
      <c r="J58" s="37">
        <v>3000</v>
      </c>
      <c r="K58" s="17">
        <f t="shared" si="1"/>
        <v>300</v>
      </c>
      <c r="L58" s="30">
        <v>10</v>
      </c>
      <c r="M58" s="18">
        <f>AVERAGE(M50:M57)</f>
        <v>2881.6257281791868</v>
      </c>
      <c r="N58" s="17">
        <f t="shared" si="3"/>
        <v>288.16257281791866</v>
      </c>
      <c r="O58" s="19">
        <f t="shared" si="4"/>
        <v>0</v>
      </c>
      <c r="P58" s="20">
        <f t="shared" si="5"/>
        <v>-11.837427182081342</v>
      </c>
      <c r="Q58" s="375">
        <f t="shared" si="6"/>
        <v>0.96054190939306217</v>
      </c>
      <c r="R58" s="511"/>
      <c r="S58" s="40"/>
      <c r="T58" s="40"/>
      <c r="U58" s="371"/>
      <c r="V58" s="373"/>
      <c r="W58" s="23"/>
      <c r="X58" s="23"/>
      <c r="Y58" s="31">
        <f>SUM(Y50:Y57)</f>
        <v>0</v>
      </c>
      <c r="Z58" s="31">
        <f>SUM(Z50:Z57)</f>
        <v>0</v>
      </c>
      <c r="AA58" s="505"/>
      <c r="AB58" s="506"/>
      <c r="AC58" s="31">
        <f>SUM(AC50:AC57)</f>
        <v>2</v>
      </c>
      <c r="AD58" s="31">
        <f>SUM(AD50:AD57)</f>
        <v>0</v>
      </c>
      <c r="AE58" s="19">
        <f t="shared" si="8"/>
        <v>-118.37427182081319</v>
      </c>
      <c r="AF58" s="375">
        <f t="shared" si="9"/>
        <v>0.96054190939306228</v>
      </c>
      <c r="AG58" s="511"/>
    </row>
    <row r="59" spans="1:33" ht="15.75" customHeight="1">
      <c r="A59" s="507" t="s">
        <v>2210</v>
      </c>
      <c r="B59" s="42" t="s">
        <v>100</v>
      </c>
      <c r="C59" s="490" t="s">
        <v>101</v>
      </c>
      <c r="D59" s="490"/>
      <c r="E59" s="42">
        <v>46</v>
      </c>
      <c r="F59" s="46">
        <v>1629</v>
      </c>
      <c r="G59" s="371">
        <f t="shared" ref="G59:G69" si="35">E59*F59</f>
        <v>74934</v>
      </c>
      <c r="H59" s="383" t="s">
        <v>79</v>
      </c>
      <c r="I59" s="374">
        <v>17</v>
      </c>
      <c r="J59" s="37">
        <v>2000</v>
      </c>
      <c r="K59" s="17">
        <f t="shared" si="1"/>
        <v>117.64705882352941</v>
      </c>
      <c r="L59" s="374">
        <v>17</v>
      </c>
      <c r="M59" s="18">
        <f t="shared" ref="M59:M69" si="36">F59/V59*60</f>
        <v>1916.4705882352932</v>
      </c>
      <c r="N59" s="18">
        <f t="shared" si="3"/>
        <v>112.73356401384078</v>
      </c>
      <c r="O59" s="19">
        <f t="shared" si="4"/>
        <v>0</v>
      </c>
      <c r="P59" s="20">
        <f t="shared" si="5"/>
        <v>-4.9134948096886291</v>
      </c>
      <c r="Q59" s="375">
        <f t="shared" si="6"/>
        <v>0.95823529411764663</v>
      </c>
      <c r="R59" s="489">
        <f>Q70</f>
        <v>0.94366056356667005</v>
      </c>
      <c r="S59" s="40">
        <v>0.20833333333333334</v>
      </c>
      <c r="T59" s="40">
        <v>0.24375000000000002</v>
      </c>
      <c r="U59" s="28"/>
      <c r="V59" s="373">
        <f t="shared" ref="V59:V69" si="37">(T59-S59)*24*60</f>
        <v>51.000000000000021</v>
      </c>
      <c r="W59" s="28"/>
      <c r="X59" s="28"/>
      <c r="Y59" s="28"/>
      <c r="Z59" s="28"/>
      <c r="AA59" s="491"/>
      <c r="AB59" s="491"/>
      <c r="AC59" s="154">
        <v>6</v>
      </c>
      <c r="AD59" s="25"/>
      <c r="AE59" s="19">
        <f t="shared" si="8"/>
        <v>-83.529411764706765</v>
      </c>
      <c r="AF59" s="375">
        <f t="shared" si="9"/>
        <v>0.95823529411764663</v>
      </c>
      <c r="AG59" s="489">
        <f>AF70</f>
        <v>0.94366056356667005</v>
      </c>
    </row>
    <row r="60" spans="1:33" ht="15.75" customHeight="1">
      <c r="A60" s="507" t="s">
        <v>67</v>
      </c>
      <c r="B60" s="42" t="s">
        <v>100</v>
      </c>
      <c r="C60" s="490" t="s">
        <v>102</v>
      </c>
      <c r="D60" s="490"/>
      <c r="E60" s="42">
        <v>46</v>
      </c>
      <c r="F60" s="46">
        <v>1680</v>
      </c>
      <c r="G60" s="371">
        <f t="shared" si="35"/>
        <v>77280</v>
      </c>
      <c r="H60" s="383" t="s">
        <v>79</v>
      </c>
      <c r="I60" s="374">
        <v>17</v>
      </c>
      <c r="J60" s="37">
        <v>2000</v>
      </c>
      <c r="K60" s="17">
        <f t="shared" si="1"/>
        <v>117.64705882352941</v>
      </c>
      <c r="L60" s="374">
        <v>17</v>
      </c>
      <c r="M60" s="18">
        <f t="shared" si="36"/>
        <v>1938.4615384615397</v>
      </c>
      <c r="N60" s="18">
        <f t="shared" si="3"/>
        <v>114.02714932126705</v>
      </c>
      <c r="O60" s="19">
        <f t="shared" si="4"/>
        <v>0</v>
      </c>
      <c r="P60" s="20">
        <f t="shared" si="5"/>
        <v>-3.6199095022623595</v>
      </c>
      <c r="Q60" s="375">
        <f t="shared" si="6"/>
        <v>0.9692307692307699</v>
      </c>
      <c r="R60" s="489"/>
      <c r="S60" s="40">
        <v>0.24722222222222223</v>
      </c>
      <c r="T60" s="40">
        <v>0.28333333333333333</v>
      </c>
      <c r="U60" s="371">
        <f t="shared" ref="U60:U69" si="38">IF(S60=TIME(17,0,0),"",(S60-T59)*24*60)</f>
        <v>4.9999999999999822</v>
      </c>
      <c r="V60" s="373">
        <f t="shared" si="37"/>
        <v>51.999999999999972</v>
      </c>
      <c r="W60" s="23"/>
      <c r="X60" s="23"/>
      <c r="Y60" s="23"/>
      <c r="Z60" s="23"/>
      <c r="AA60" s="491"/>
      <c r="AB60" s="491"/>
      <c r="AC60" s="154"/>
      <c r="AD60" s="25"/>
      <c r="AE60" s="19">
        <f t="shared" si="8"/>
        <v>-61.538461538460297</v>
      </c>
      <c r="AF60" s="375">
        <f t="shared" si="9"/>
        <v>0.9692307692307699</v>
      </c>
      <c r="AG60" s="489"/>
    </row>
    <row r="61" spans="1:33" ht="15.75" customHeight="1">
      <c r="A61" s="507" t="s">
        <v>2210</v>
      </c>
      <c r="B61" s="42" t="s">
        <v>103</v>
      </c>
      <c r="C61" s="501" t="s">
        <v>105</v>
      </c>
      <c r="D61" s="502"/>
      <c r="E61" s="42">
        <v>56.43</v>
      </c>
      <c r="F61" s="46">
        <v>2133</v>
      </c>
      <c r="G61" s="371">
        <f t="shared" si="35"/>
        <v>120365.19</v>
      </c>
      <c r="H61" s="383" t="s">
        <v>79</v>
      </c>
      <c r="I61" s="374">
        <v>22</v>
      </c>
      <c r="J61" s="37">
        <v>2000</v>
      </c>
      <c r="K61" s="17">
        <f t="shared" si="1"/>
        <v>90.909090909090907</v>
      </c>
      <c r="L61" s="374">
        <v>22</v>
      </c>
      <c r="M61" s="18">
        <f t="shared" si="36"/>
        <v>1729.4594594594603</v>
      </c>
      <c r="N61" s="18">
        <f t="shared" si="3"/>
        <v>78.611793611793644</v>
      </c>
      <c r="O61" s="19">
        <f t="shared" si="4"/>
        <v>0</v>
      </c>
      <c r="P61" s="20">
        <f t="shared" si="5"/>
        <v>-12.297297297297263</v>
      </c>
      <c r="Q61" s="375">
        <f t="shared" si="6"/>
        <v>0.86472972972973006</v>
      </c>
      <c r="R61" s="489"/>
      <c r="S61" s="40">
        <v>0.28888888888888886</v>
      </c>
      <c r="T61" s="40">
        <v>0.34027777777777773</v>
      </c>
      <c r="U61" s="371">
        <f t="shared" si="38"/>
        <v>7.9999999999999716</v>
      </c>
      <c r="V61" s="373">
        <f t="shared" si="37"/>
        <v>73.999999999999972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-270.54054054053972</v>
      </c>
      <c r="AF61" s="375">
        <f t="shared" si="9"/>
        <v>0.86472972972973017</v>
      </c>
      <c r="AG61" s="489"/>
    </row>
    <row r="62" spans="1:33" ht="15.75" customHeight="1">
      <c r="A62" s="507" t="s">
        <v>2210</v>
      </c>
      <c r="B62" s="42" t="s">
        <v>103</v>
      </c>
      <c r="C62" s="380" t="s">
        <v>518</v>
      </c>
      <c r="D62" s="381"/>
      <c r="E62" s="42">
        <v>51.75</v>
      </c>
      <c r="F62" s="46">
        <v>2164</v>
      </c>
      <c r="G62" s="371">
        <f t="shared" si="35"/>
        <v>111987</v>
      </c>
      <c r="H62" s="383" t="s">
        <v>79</v>
      </c>
      <c r="I62" s="374">
        <v>25</v>
      </c>
      <c r="J62" s="37">
        <v>2000</v>
      </c>
      <c r="K62" s="17">
        <f t="shared" si="1"/>
        <v>80</v>
      </c>
      <c r="L62" s="374">
        <v>25</v>
      </c>
      <c r="M62" s="18">
        <f t="shared" si="36"/>
        <v>1686.233766233767</v>
      </c>
      <c r="N62" s="18">
        <f t="shared" si="3"/>
        <v>67.449350649350677</v>
      </c>
      <c r="O62" s="19">
        <f t="shared" si="4"/>
        <v>0</v>
      </c>
      <c r="P62" s="20">
        <f t="shared" si="5"/>
        <v>-12.550649350649323</v>
      </c>
      <c r="Q62" s="375">
        <f t="shared" si="6"/>
        <v>0.84311688311688349</v>
      </c>
      <c r="R62" s="489"/>
      <c r="S62" s="40">
        <v>0.34513888888888883</v>
      </c>
      <c r="T62" s="40">
        <v>0.39861111111111103</v>
      </c>
      <c r="U62" s="371">
        <f t="shared" si="38"/>
        <v>6.9999999999999751</v>
      </c>
      <c r="V62" s="373">
        <f t="shared" si="37"/>
        <v>76.999999999999972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-313.76623376623297</v>
      </c>
      <c r="AF62" s="375">
        <f t="shared" si="9"/>
        <v>0.84311688311688349</v>
      </c>
      <c r="AG62" s="489"/>
    </row>
    <row r="63" spans="1:33" ht="15.75" customHeight="1">
      <c r="A63" s="507" t="s">
        <v>67</v>
      </c>
      <c r="B63" s="42" t="s">
        <v>103</v>
      </c>
      <c r="C63" s="380" t="s">
        <v>1781</v>
      </c>
      <c r="D63" s="381"/>
      <c r="E63" s="42">
        <v>54.09</v>
      </c>
      <c r="F63" s="46">
        <v>3389</v>
      </c>
      <c r="G63" s="371">
        <f t="shared" si="35"/>
        <v>183311.01</v>
      </c>
      <c r="H63" s="383" t="s">
        <v>79</v>
      </c>
      <c r="I63" s="374">
        <v>19</v>
      </c>
      <c r="J63" s="37">
        <v>1700</v>
      </c>
      <c r="K63" s="17">
        <f t="shared" si="1"/>
        <v>89.473684210526315</v>
      </c>
      <c r="L63" s="374">
        <v>19</v>
      </c>
      <c r="M63" s="18">
        <f t="shared" si="36"/>
        <v>1653.1707317073176</v>
      </c>
      <c r="N63" s="18">
        <f t="shared" si="3"/>
        <v>87.008985879332499</v>
      </c>
      <c r="O63" s="19">
        <f t="shared" si="4"/>
        <v>0</v>
      </c>
      <c r="P63" s="20">
        <f t="shared" si="5"/>
        <v>-2.4646983311938158</v>
      </c>
      <c r="Q63" s="375">
        <f t="shared" si="6"/>
        <v>0.97245337159253975</v>
      </c>
      <c r="R63" s="489"/>
      <c r="S63" s="40">
        <v>0.40416666666666656</v>
      </c>
      <c r="T63" s="40">
        <v>0.4895833333333332</v>
      </c>
      <c r="U63" s="371">
        <f t="shared" si="38"/>
        <v>7.9999999999999716</v>
      </c>
      <c r="V63" s="373">
        <f t="shared" si="37"/>
        <v>122.99999999999996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-46.8292682926824</v>
      </c>
      <c r="AF63" s="375">
        <f t="shared" si="9"/>
        <v>0.97245337159253975</v>
      </c>
      <c r="AG63" s="489"/>
    </row>
    <row r="64" spans="1:33" ht="15.75" customHeight="1">
      <c r="A64" s="507" t="s">
        <v>2210</v>
      </c>
      <c r="B64" s="42" t="s">
        <v>103</v>
      </c>
      <c r="C64" s="501" t="s">
        <v>106</v>
      </c>
      <c r="D64" s="502"/>
      <c r="E64" s="42">
        <v>55.56</v>
      </c>
      <c r="F64" s="46">
        <v>1000</v>
      </c>
      <c r="G64" s="371">
        <f t="shared" si="35"/>
        <v>55560</v>
      </c>
      <c r="H64" s="383">
        <v>2</v>
      </c>
      <c r="I64" s="374">
        <v>17</v>
      </c>
      <c r="J64" s="37">
        <v>2000</v>
      </c>
      <c r="K64" s="17">
        <f t="shared" si="1"/>
        <v>117.64705882352941</v>
      </c>
      <c r="L64" s="374">
        <v>17</v>
      </c>
      <c r="M64" s="18">
        <f t="shared" si="36"/>
        <v>1935.483870967739</v>
      </c>
      <c r="N64" s="18">
        <f t="shared" si="3"/>
        <v>113.85199240986699</v>
      </c>
      <c r="O64" s="19">
        <f t="shared" si="4"/>
        <v>0</v>
      </c>
      <c r="P64" s="20">
        <f t="shared" si="5"/>
        <v>-3.7950664136624113</v>
      </c>
      <c r="Q64" s="375">
        <f t="shared" si="6"/>
        <v>0.96774193548386955</v>
      </c>
      <c r="R64" s="489"/>
      <c r="S64" s="40">
        <v>0.70833333333333337</v>
      </c>
      <c r="T64" s="40">
        <v>0.72986111111111118</v>
      </c>
      <c r="U64" s="371" t="str">
        <f t="shared" si="38"/>
        <v/>
      </c>
      <c r="V64" s="373">
        <f t="shared" si="37"/>
        <v>31.00000000000005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-64.516129032261006</v>
      </c>
      <c r="AF64" s="375">
        <f t="shared" si="9"/>
        <v>0.96774193548386944</v>
      </c>
      <c r="AG64" s="489"/>
    </row>
    <row r="65" spans="1:33" ht="15.75" customHeight="1">
      <c r="A65" s="507" t="s">
        <v>67</v>
      </c>
      <c r="B65" s="42" t="s">
        <v>103</v>
      </c>
      <c r="C65" s="501" t="s">
        <v>107</v>
      </c>
      <c r="D65" s="502"/>
      <c r="E65" s="42">
        <v>55.32</v>
      </c>
      <c r="F65" s="46">
        <v>1509</v>
      </c>
      <c r="G65" s="371">
        <f t="shared" si="35"/>
        <v>83477.88</v>
      </c>
      <c r="H65" s="383" t="s">
        <v>79</v>
      </c>
      <c r="I65" s="374">
        <v>15</v>
      </c>
      <c r="J65" s="37">
        <v>2000</v>
      </c>
      <c r="K65" s="17">
        <f t="shared" si="1"/>
        <v>133.33333333333334</v>
      </c>
      <c r="L65" s="374">
        <v>15</v>
      </c>
      <c r="M65" s="18">
        <f t="shared" si="36"/>
        <v>1926.3829787234047</v>
      </c>
      <c r="N65" s="18">
        <f t="shared" si="3"/>
        <v>128.42553191489364</v>
      </c>
      <c r="O65" s="19">
        <f t="shared" si="4"/>
        <v>0</v>
      </c>
      <c r="P65" s="20">
        <f t="shared" si="5"/>
        <v>-4.9078014184397034</v>
      </c>
      <c r="Q65" s="375">
        <f t="shared" si="6"/>
        <v>0.96319148936170218</v>
      </c>
      <c r="R65" s="489"/>
      <c r="S65" s="40">
        <v>0.73472222222222228</v>
      </c>
      <c r="T65" s="40">
        <v>0.76736111111111116</v>
      </c>
      <c r="U65" s="371">
        <f t="shared" si="38"/>
        <v>6.9999999999999751</v>
      </c>
      <c r="V65" s="373">
        <f t="shared" si="37"/>
        <v>46.999999999999993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-73.617021276595324</v>
      </c>
      <c r="AF65" s="375">
        <f t="shared" si="9"/>
        <v>0.96319148936170229</v>
      </c>
      <c r="AG65" s="489"/>
    </row>
    <row r="66" spans="1:33" ht="15.75" customHeight="1">
      <c r="A66" s="507" t="s">
        <v>67</v>
      </c>
      <c r="B66" s="42" t="s">
        <v>103</v>
      </c>
      <c r="C66" s="501" t="s">
        <v>108</v>
      </c>
      <c r="D66" s="502"/>
      <c r="E66" s="42">
        <v>54.29</v>
      </c>
      <c r="F66" s="46">
        <v>1000</v>
      </c>
      <c r="G66" s="371">
        <f t="shared" si="35"/>
        <v>54290</v>
      </c>
      <c r="H66" s="383">
        <v>2</v>
      </c>
      <c r="I66" s="374">
        <v>20</v>
      </c>
      <c r="J66" s="37">
        <v>2000</v>
      </c>
      <c r="K66" s="17">
        <f t="shared" si="1"/>
        <v>100</v>
      </c>
      <c r="L66" s="374">
        <v>20</v>
      </c>
      <c r="M66" s="18">
        <f t="shared" si="36"/>
        <v>1935.483870967739</v>
      </c>
      <c r="N66" s="18">
        <f t="shared" si="3"/>
        <v>96.774193548386947</v>
      </c>
      <c r="O66" s="19">
        <f t="shared" si="4"/>
        <v>0</v>
      </c>
      <c r="P66" s="20">
        <f t="shared" si="5"/>
        <v>-3.2258064516130531</v>
      </c>
      <c r="Q66" s="375">
        <f t="shared" si="6"/>
        <v>0.96774193548386944</v>
      </c>
      <c r="R66" s="489"/>
      <c r="S66" s="40">
        <v>0.77152777777777781</v>
      </c>
      <c r="T66" s="40">
        <v>0.79305555555555562</v>
      </c>
      <c r="U66" s="371">
        <f t="shared" si="38"/>
        <v>5.9999999999999787</v>
      </c>
      <c r="V66" s="373">
        <f t="shared" si="37"/>
        <v>31.00000000000005</v>
      </c>
      <c r="W66" s="23"/>
      <c r="X66" s="23"/>
      <c r="Y66" s="26"/>
      <c r="Z66" s="26"/>
      <c r="AA66" s="503"/>
      <c r="AB66" s="504"/>
      <c r="AC66" s="154"/>
      <c r="AD66" s="25"/>
      <c r="AE66" s="19">
        <f t="shared" si="8"/>
        <v>-64.516129032261006</v>
      </c>
      <c r="AF66" s="375">
        <f t="shared" si="9"/>
        <v>0.96774193548386944</v>
      </c>
      <c r="AG66" s="489"/>
    </row>
    <row r="67" spans="1:33">
      <c r="A67" s="507" t="s">
        <v>2210</v>
      </c>
      <c r="B67" s="42" t="s">
        <v>103</v>
      </c>
      <c r="C67" s="501" t="s">
        <v>141</v>
      </c>
      <c r="D67" s="502"/>
      <c r="E67" s="42">
        <v>57.73</v>
      </c>
      <c r="F67" s="46">
        <v>1193</v>
      </c>
      <c r="G67" s="371">
        <f t="shared" si="35"/>
        <v>68871.89</v>
      </c>
      <c r="H67" s="383" t="s">
        <v>79</v>
      </c>
      <c r="I67" s="374">
        <v>16</v>
      </c>
      <c r="J67" s="37">
        <v>1500</v>
      </c>
      <c r="K67" s="17">
        <f t="shared" si="1"/>
        <v>93.75</v>
      </c>
      <c r="L67" s="374">
        <v>16</v>
      </c>
      <c r="M67" s="18">
        <f t="shared" si="36"/>
        <v>1431.6000000000004</v>
      </c>
      <c r="N67" s="18">
        <f t="shared" si="3"/>
        <v>89.475000000000023</v>
      </c>
      <c r="O67" s="19">
        <f t="shared" si="4"/>
        <v>0</v>
      </c>
      <c r="P67" s="20">
        <f t="shared" si="5"/>
        <v>-4.2749999999999773</v>
      </c>
      <c r="Q67" s="375">
        <f t="shared" si="6"/>
        <v>0.95440000000000025</v>
      </c>
      <c r="R67" s="489"/>
      <c r="S67" s="40">
        <v>0.79722222222222228</v>
      </c>
      <c r="T67" s="40">
        <v>0.83194444444444449</v>
      </c>
      <c r="U67" s="371">
        <f t="shared" si="38"/>
        <v>5.9999999999999787</v>
      </c>
      <c r="V67" s="373">
        <f t="shared" si="37"/>
        <v>49.999999999999986</v>
      </c>
      <c r="W67" s="23">
        <f>T67</f>
        <v>0.83194444444444449</v>
      </c>
      <c r="X67" s="23">
        <f>S68</f>
        <v>0.87222222222222223</v>
      </c>
      <c r="Y67" s="26"/>
      <c r="Z67" s="26"/>
      <c r="AA67" s="503"/>
      <c r="AB67" s="504"/>
      <c r="AC67" s="154"/>
      <c r="AD67" s="25"/>
      <c r="AE67" s="19">
        <f t="shared" si="8"/>
        <v>-68.399999999999636</v>
      </c>
      <c r="AF67" s="375">
        <f t="shared" si="9"/>
        <v>0.95440000000000025</v>
      </c>
      <c r="AG67" s="489"/>
    </row>
    <row r="68" spans="1:33">
      <c r="A68" s="507" t="s">
        <v>2210</v>
      </c>
      <c r="B68" s="42" t="s">
        <v>103</v>
      </c>
      <c r="C68" s="501" t="s">
        <v>108</v>
      </c>
      <c r="D68" s="502"/>
      <c r="E68" s="42">
        <v>54.29</v>
      </c>
      <c r="F68" s="46">
        <v>1360</v>
      </c>
      <c r="G68" s="371">
        <f t="shared" si="35"/>
        <v>73834.399999999994</v>
      </c>
      <c r="H68" s="383" t="s">
        <v>79</v>
      </c>
      <c r="I68" s="374">
        <v>20</v>
      </c>
      <c r="J68" s="37">
        <v>2000</v>
      </c>
      <c r="K68" s="17">
        <f t="shared" si="1"/>
        <v>100</v>
      </c>
      <c r="L68" s="374">
        <v>20</v>
      </c>
      <c r="M68" s="18">
        <f t="shared" si="36"/>
        <v>1942.8571428571424</v>
      </c>
      <c r="N68" s="18">
        <f t="shared" si="3"/>
        <v>97.142857142857125</v>
      </c>
      <c r="O68" s="19">
        <f t="shared" si="4"/>
        <v>0</v>
      </c>
      <c r="P68" s="20">
        <f t="shared" si="5"/>
        <v>-2.8571428571428754</v>
      </c>
      <c r="Q68" s="375">
        <f t="shared" si="6"/>
        <v>0.9714285714285712</v>
      </c>
      <c r="R68" s="489"/>
      <c r="S68" s="40">
        <v>0.87222222222222223</v>
      </c>
      <c r="T68" s="40">
        <v>0.90138888888888891</v>
      </c>
      <c r="U68" s="371">
        <f t="shared" si="38"/>
        <v>57.999999999999957</v>
      </c>
      <c r="V68" s="373">
        <f t="shared" si="37"/>
        <v>42.000000000000014</v>
      </c>
      <c r="W68" s="23"/>
      <c r="X68" s="23"/>
      <c r="Y68" s="26"/>
      <c r="Z68" s="26"/>
      <c r="AA68" s="503"/>
      <c r="AB68" s="504"/>
      <c r="AC68" s="154"/>
      <c r="AD68" s="25"/>
      <c r="AE68" s="19">
        <f t="shared" si="8"/>
        <v>-57.142857142857565</v>
      </c>
      <c r="AF68" s="375">
        <f t="shared" si="9"/>
        <v>0.9714285714285712</v>
      </c>
      <c r="AG68" s="489"/>
    </row>
    <row r="69" spans="1:33" ht="15.75" customHeight="1">
      <c r="A69" s="507" t="s">
        <v>2210</v>
      </c>
      <c r="B69" s="42" t="s">
        <v>103</v>
      </c>
      <c r="C69" s="501" t="s">
        <v>106</v>
      </c>
      <c r="D69" s="502"/>
      <c r="E69" s="42">
        <v>55.56</v>
      </c>
      <c r="F69" s="46">
        <v>1146</v>
      </c>
      <c r="G69" s="371">
        <f t="shared" si="35"/>
        <v>63671.76</v>
      </c>
      <c r="H69" s="383" t="s">
        <v>79</v>
      </c>
      <c r="I69" s="374">
        <v>17</v>
      </c>
      <c r="J69" s="37">
        <v>2000</v>
      </c>
      <c r="K69" s="17">
        <f t="shared" ref="K69:K83" si="39">J69/I69</f>
        <v>117.64705882352941</v>
      </c>
      <c r="L69" s="374">
        <v>17</v>
      </c>
      <c r="M69" s="18">
        <f t="shared" si="36"/>
        <v>1909.9999999999984</v>
      </c>
      <c r="N69" s="18">
        <f t="shared" ref="N69:N83" si="40">M69/L69</f>
        <v>112.35294117647049</v>
      </c>
      <c r="O69" s="19">
        <f t="shared" ref="O69:O83" si="41">L69-I69</f>
        <v>0</v>
      </c>
      <c r="P69" s="20">
        <f t="shared" ref="P69:P83" si="42">N69-K69</f>
        <v>-5.2941176470589113</v>
      </c>
      <c r="Q69" s="375">
        <f t="shared" ref="Q69:Q83" si="43">N69/K69</f>
        <v>0.95499999999999929</v>
      </c>
      <c r="R69" s="489"/>
      <c r="S69" s="40">
        <v>0.90486111111111112</v>
      </c>
      <c r="T69" s="40">
        <v>0.92986111111111114</v>
      </c>
      <c r="U69" s="371">
        <f t="shared" si="38"/>
        <v>4.9999999999999822</v>
      </c>
      <c r="V69" s="373">
        <f t="shared" si="37"/>
        <v>36.000000000000028</v>
      </c>
      <c r="W69" s="23"/>
      <c r="X69" s="23"/>
      <c r="Y69" s="26"/>
      <c r="Z69" s="26"/>
      <c r="AA69" s="503"/>
      <c r="AB69" s="504"/>
      <c r="AC69" s="154"/>
      <c r="AD69" s="25"/>
      <c r="AE69" s="19">
        <f t="shared" ref="AE69:AE83" si="44">M69-J69</f>
        <v>-90.000000000001592</v>
      </c>
      <c r="AF69" s="375">
        <f t="shared" ref="AF69:AF83" si="45">M69/J69</f>
        <v>0.95499999999999918</v>
      </c>
      <c r="AG69" s="489"/>
    </row>
    <row r="70" spans="1:33">
      <c r="A70" s="508" t="s">
        <v>2210</v>
      </c>
      <c r="B70" s="42" t="s">
        <v>49</v>
      </c>
      <c r="C70" s="494"/>
      <c r="D70" s="494"/>
      <c r="E70" s="377"/>
      <c r="F70" s="44"/>
      <c r="G70" s="17"/>
      <c r="H70" s="372"/>
      <c r="I70" s="30">
        <v>18.636363636363637</v>
      </c>
      <c r="J70" s="37">
        <v>1927.2727272727273</v>
      </c>
      <c r="K70" s="17">
        <f t="shared" si="39"/>
        <v>103.41463414634146</v>
      </c>
      <c r="L70" s="30">
        <v>18.636363636363637</v>
      </c>
      <c r="M70" s="18">
        <f>AVERAGE(M59:M69)</f>
        <v>1818.6912679648549</v>
      </c>
      <c r="N70" s="17">
        <f t="shared" si="40"/>
        <v>97.588311939577579</v>
      </c>
      <c r="O70" s="19">
        <f t="shared" si="41"/>
        <v>0</v>
      </c>
      <c r="P70" s="20">
        <f t="shared" si="42"/>
        <v>-5.8263222067638765</v>
      </c>
      <c r="Q70" s="375">
        <f t="shared" si="43"/>
        <v>0.94366056356667005</v>
      </c>
      <c r="R70" s="489"/>
      <c r="S70" s="41"/>
      <c r="T70" s="40"/>
      <c r="U70" s="17"/>
      <c r="V70" s="373"/>
      <c r="W70" s="17"/>
      <c r="X70" s="17"/>
      <c r="Y70" s="31">
        <f>SUM(Y59:Y69)</f>
        <v>0</v>
      </c>
      <c r="Z70" s="31">
        <f>SUM(Z59:Z69)</f>
        <v>0</v>
      </c>
      <c r="AA70" s="495"/>
      <c r="AB70" s="495"/>
      <c r="AC70" s="31">
        <f t="shared" ref="AC70:AD70" si="46">SUM(AC59:AC69)</f>
        <v>6</v>
      </c>
      <c r="AD70" s="31">
        <f t="shared" si="46"/>
        <v>0</v>
      </c>
      <c r="AE70" s="19">
        <f t="shared" si="44"/>
        <v>-108.58145930787236</v>
      </c>
      <c r="AF70" s="375">
        <f t="shared" si="45"/>
        <v>0.94366056356667005</v>
      </c>
      <c r="AG70" s="489"/>
    </row>
    <row r="71" spans="1:33" ht="15.75" customHeight="1">
      <c r="A71" s="499" t="s">
        <v>2211</v>
      </c>
      <c r="B71" s="372" t="s">
        <v>100</v>
      </c>
      <c r="C71" s="490" t="s">
        <v>109</v>
      </c>
      <c r="D71" s="490"/>
      <c r="E71" s="42">
        <v>26.97</v>
      </c>
      <c r="F71" s="46">
        <v>2425</v>
      </c>
      <c r="G71" s="371">
        <f t="shared" ref="G71:G75" si="47">E71*F71</f>
        <v>65402.25</v>
      </c>
      <c r="H71" s="383" t="s">
        <v>79</v>
      </c>
      <c r="I71" s="374">
        <v>8</v>
      </c>
      <c r="J71" s="37">
        <v>1500</v>
      </c>
      <c r="K71" s="17">
        <f t="shared" si="39"/>
        <v>187.5</v>
      </c>
      <c r="L71" s="374">
        <v>8</v>
      </c>
      <c r="M71" s="18">
        <f t="shared" ref="M71:M75" si="48">F71/V71*60</f>
        <v>1426.4705882352941</v>
      </c>
      <c r="N71" s="17">
        <f t="shared" si="40"/>
        <v>178.30882352941177</v>
      </c>
      <c r="O71" s="19">
        <f t="shared" si="41"/>
        <v>0</v>
      </c>
      <c r="P71" s="20">
        <f t="shared" si="42"/>
        <v>-9.191176470588232</v>
      </c>
      <c r="Q71" s="375">
        <f t="shared" si="43"/>
        <v>0.95098039215686281</v>
      </c>
      <c r="R71" s="489">
        <f>Q76</f>
        <v>0.95497457719603085</v>
      </c>
      <c r="S71" s="40">
        <v>0.20833333333333334</v>
      </c>
      <c r="T71" s="40">
        <v>0.27916666666666667</v>
      </c>
      <c r="U71" s="371"/>
      <c r="V71" s="373">
        <f t="shared" ref="V71:V75" si="49">(T71-S71)*24*60</f>
        <v>102</v>
      </c>
      <c r="W71" s="28"/>
      <c r="X71" s="28"/>
      <c r="Y71" s="28"/>
      <c r="Z71" s="28"/>
      <c r="AA71" s="491"/>
      <c r="AB71" s="491"/>
      <c r="AC71" s="154">
        <v>1</v>
      </c>
      <c r="AD71" s="25"/>
      <c r="AE71" s="19">
        <f t="shared" si="44"/>
        <v>-73.529411764705856</v>
      </c>
      <c r="AF71" s="375">
        <f t="shared" si="45"/>
        <v>0.95098039215686281</v>
      </c>
      <c r="AG71" s="489">
        <f>AF76</f>
        <v>0.95497457719603085</v>
      </c>
    </row>
    <row r="72" spans="1:33" ht="15.75" customHeight="1">
      <c r="A72" s="499" t="s">
        <v>2211</v>
      </c>
      <c r="B72" s="372" t="s">
        <v>100</v>
      </c>
      <c r="C72" s="490" t="s">
        <v>519</v>
      </c>
      <c r="D72" s="490"/>
      <c r="E72" s="42">
        <v>27.4</v>
      </c>
      <c r="F72" s="46">
        <v>2183</v>
      </c>
      <c r="G72" s="371">
        <f t="shared" si="47"/>
        <v>59814.2</v>
      </c>
      <c r="H72" s="383" t="s">
        <v>79</v>
      </c>
      <c r="I72" s="374">
        <v>10</v>
      </c>
      <c r="J72" s="37">
        <v>1500</v>
      </c>
      <c r="K72" s="17">
        <f t="shared" si="39"/>
        <v>150</v>
      </c>
      <c r="L72" s="374">
        <v>10</v>
      </c>
      <c r="M72" s="18">
        <f t="shared" si="48"/>
        <v>1439.3406593406594</v>
      </c>
      <c r="N72" s="17">
        <f t="shared" si="40"/>
        <v>143.93406593406593</v>
      </c>
      <c r="O72" s="19">
        <f t="shared" si="41"/>
        <v>0</v>
      </c>
      <c r="P72" s="20">
        <f t="shared" si="42"/>
        <v>-6.0659340659340728</v>
      </c>
      <c r="Q72" s="375">
        <f t="shared" si="43"/>
        <v>0.95956043956043946</v>
      </c>
      <c r="R72" s="489"/>
      <c r="S72" s="40">
        <v>0.28472222222222221</v>
      </c>
      <c r="T72" s="40">
        <v>0.34791666666666665</v>
      </c>
      <c r="U72" s="371">
        <f t="shared" ref="U72:U75" si="50">(S72-T71)*24*60</f>
        <v>7.9999999999999716</v>
      </c>
      <c r="V72" s="373">
        <f t="shared" si="49"/>
        <v>91</v>
      </c>
      <c r="W72" s="371"/>
      <c r="X72" s="371"/>
      <c r="Y72" s="371"/>
      <c r="Z72" s="371"/>
      <c r="AA72" s="491"/>
      <c r="AB72" s="491"/>
      <c r="AC72" s="154"/>
      <c r="AD72" s="25"/>
      <c r="AE72" s="19">
        <f t="shared" si="44"/>
        <v>-60.659340659340614</v>
      </c>
      <c r="AF72" s="375">
        <f t="shared" si="45"/>
        <v>0.95956043956043957</v>
      </c>
      <c r="AG72" s="489"/>
    </row>
    <row r="73" spans="1:33" ht="15.75" customHeight="1">
      <c r="A73" s="499" t="s">
        <v>2211</v>
      </c>
      <c r="B73" s="372" t="s">
        <v>93</v>
      </c>
      <c r="C73" s="490" t="s">
        <v>97</v>
      </c>
      <c r="D73" s="490"/>
      <c r="E73" s="42">
        <v>31</v>
      </c>
      <c r="F73" s="46">
        <v>796</v>
      </c>
      <c r="G73" s="371">
        <f t="shared" si="47"/>
        <v>24676</v>
      </c>
      <c r="H73" s="383" t="s">
        <v>79</v>
      </c>
      <c r="I73" s="374">
        <v>13</v>
      </c>
      <c r="J73" s="37">
        <v>2000</v>
      </c>
      <c r="K73" s="17">
        <f t="shared" si="39"/>
        <v>153.84615384615384</v>
      </c>
      <c r="L73" s="374">
        <v>13</v>
      </c>
      <c r="M73" s="18">
        <f t="shared" si="48"/>
        <v>1910.4000000000005</v>
      </c>
      <c r="N73" s="17">
        <f t="shared" si="40"/>
        <v>146.9538461538462</v>
      </c>
      <c r="O73" s="19">
        <f t="shared" si="41"/>
        <v>0</v>
      </c>
      <c r="P73" s="20">
        <f t="shared" si="42"/>
        <v>-6.8923076923076394</v>
      </c>
      <c r="Q73" s="375">
        <f t="shared" si="43"/>
        <v>0.95520000000000038</v>
      </c>
      <c r="R73" s="489"/>
      <c r="S73" s="40">
        <v>0.35138888888888886</v>
      </c>
      <c r="T73" s="40">
        <v>0.36874999999999997</v>
      </c>
      <c r="U73" s="371">
        <f t="shared" si="50"/>
        <v>4.9999999999999822</v>
      </c>
      <c r="V73" s="373">
        <f t="shared" si="49"/>
        <v>24.999999999999993</v>
      </c>
      <c r="W73" s="371"/>
      <c r="X73" s="371"/>
      <c r="Y73" s="371"/>
      <c r="Z73" s="371"/>
      <c r="AA73" s="491"/>
      <c r="AB73" s="491"/>
      <c r="AC73" s="154" t="s">
        <v>79</v>
      </c>
      <c r="AD73" s="25"/>
      <c r="AE73" s="19">
        <f t="shared" si="44"/>
        <v>-89.599999999999454</v>
      </c>
      <c r="AF73" s="375">
        <f t="shared" si="45"/>
        <v>0.95520000000000027</v>
      </c>
      <c r="AG73" s="489"/>
    </row>
    <row r="74" spans="1:33" ht="15.75" customHeight="1">
      <c r="A74" s="499" t="s">
        <v>2211</v>
      </c>
      <c r="B74" s="372" t="s">
        <v>93</v>
      </c>
      <c r="C74" s="490" t="s">
        <v>1235</v>
      </c>
      <c r="D74" s="490"/>
      <c r="E74" s="42">
        <v>37.85</v>
      </c>
      <c r="F74" s="46">
        <v>3460</v>
      </c>
      <c r="G74" s="371">
        <f t="shared" si="47"/>
        <v>130961</v>
      </c>
      <c r="H74" s="383" t="s">
        <v>79</v>
      </c>
      <c r="I74" s="374">
        <v>12</v>
      </c>
      <c r="J74" s="37">
        <v>2000</v>
      </c>
      <c r="K74" s="17">
        <f t="shared" si="39"/>
        <v>166.66666666666666</v>
      </c>
      <c r="L74" s="374">
        <v>12</v>
      </c>
      <c r="M74" s="18">
        <f t="shared" si="48"/>
        <v>1904.5871559633026</v>
      </c>
      <c r="N74" s="17">
        <f t="shared" si="40"/>
        <v>158.71559633027522</v>
      </c>
      <c r="O74" s="19">
        <f t="shared" si="41"/>
        <v>0</v>
      </c>
      <c r="P74" s="20">
        <f t="shared" si="42"/>
        <v>-7.9510703363914388</v>
      </c>
      <c r="Q74" s="375">
        <f t="shared" si="43"/>
        <v>0.95229357798165137</v>
      </c>
      <c r="R74" s="489"/>
      <c r="S74" s="40">
        <v>0.37222222222222218</v>
      </c>
      <c r="T74" s="40">
        <v>0.44791666666666663</v>
      </c>
      <c r="U74" s="371">
        <f t="shared" si="50"/>
        <v>4.9999999999999822</v>
      </c>
      <c r="V74" s="373">
        <f t="shared" si="49"/>
        <v>109.00000000000001</v>
      </c>
      <c r="W74" s="371"/>
      <c r="X74" s="371"/>
      <c r="Y74" s="371"/>
      <c r="Z74" s="371"/>
      <c r="AA74" s="491"/>
      <c r="AB74" s="491"/>
      <c r="AC74" s="154" t="s">
        <v>79</v>
      </c>
      <c r="AD74" s="25"/>
      <c r="AE74" s="19">
        <f t="shared" si="44"/>
        <v>-95.412844036697379</v>
      </c>
      <c r="AF74" s="375">
        <f t="shared" si="45"/>
        <v>0.95229357798165126</v>
      </c>
      <c r="AG74" s="489"/>
    </row>
    <row r="75" spans="1:33">
      <c r="A75" s="500" t="s">
        <v>2211</v>
      </c>
      <c r="B75" s="372" t="s">
        <v>93</v>
      </c>
      <c r="C75" s="490" t="s">
        <v>113</v>
      </c>
      <c r="D75" s="490"/>
      <c r="E75" s="42">
        <v>34.36</v>
      </c>
      <c r="F75" s="46">
        <v>1817</v>
      </c>
      <c r="G75" s="371">
        <f t="shared" si="47"/>
        <v>62432.119999999995</v>
      </c>
      <c r="H75" s="383" t="s">
        <v>79</v>
      </c>
      <c r="I75" s="374">
        <v>10</v>
      </c>
      <c r="J75" s="37">
        <v>3000</v>
      </c>
      <c r="K75" s="17">
        <f t="shared" si="39"/>
        <v>300</v>
      </c>
      <c r="L75" s="374">
        <v>10</v>
      </c>
      <c r="M75" s="18">
        <f t="shared" si="48"/>
        <v>2868.9473684210507</v>
      </c>
      <c r="N75" s="17">
        <f t="shared" si="40"/>
        <v>286.89473684210509</v>
      </c>
      <c r="O75" s="19">
        <f t="shared" si="41"/>
        <v>0</v>
      </c>
      <c r="P75" s="20">
        <f t="shared" si="42"/>
        <v>-13.10526315789491</v>
      </c>
      <c r="Q75" s="375">
        <f t="shared" si="43"/>
        <v>0.95631578947368368</v>
      </c>
      <c r="R75" s="489"/>
      <c r="S75" s="40">
        <v>0.45347222222222217</v>
      </c>
      <c r="T75" s="40">
        <v>0.47986111111111107</v>
      </c>
      <c r="U75" s="371">
        <f t="shared" si="50"/>
        <v>7.9999999999999716</v>
      </c>
      <c r="V75" s="373">
        <f t="shared" si="49"/>
        <v>38.000000000000028</v>
      </c>
      <c r="W75" s="23"/>
      <c r="X75" s="23"/>
      <c r="Y75" s="23"/>
      <c r="Z75" s="23"/>
      <c r="AA75" s="491"/>
      <c r="AB75" s="491"/>
      <c r="AC75" s="154" t="s">
        <v>79</v>
      </c>
      <c r="AD75" s="25"/>
      <c r="AE75" s="19">
        <f t="shared" si="44"/>
        <v>-131.05263157894933</v>
      </c>
      <c r="AF75" s="375">
        <f t="shared" si="45"/>
        <v>0.95631578947368356</v>
      </c>
      <c r="AG75" s="489"/>
    </row>
    <row r="76" spans="1:33">
      <c r="A76" s="500" t="s">
        <v>2211</v>
      </c>
      <c r="B76" s="42" t="s">
        <v>2202</v>
      </c>
      <c r="C76" s="494"/>
      <c r="D76" s="494"/>
      <c r="E76" s="377"/>
      <c r="F76" s="44"/>
      <c r="G76" s="17"/>
      <c r="H76" s="372"/>
      <c r="I76" s="30">
        <v>10.6</v>
      </c>
      <c r="J76" s="37">
        <v>2000</v>
      </c>
      <c r="K76" s="17">
        <f t="shared" si="39"/>
        <v>188.67924528301887</v>
      </c>
      <c r="L76" s="30">
        <v>10.6</v>
      </c>
      <c r="M76" s="18">
        <f>AVERAGE(M71:M75)</f>
        <v>1909.9491543920617</v>
      </c>
      <c r="N76" s="17">
        <f t="shared" si="40"/>
        <v>180.18388248981714</v>
      </c>
      <c r="O76" s="19">
        <f t="shared" si="41"/>
        <v>0</v>
      </c>
      <c r="P76" s="20">
        <f t="shared" si="42"/>
        <v>-8.4953627932017355</v>
      </c>
      <c r="Q76" s="375">
        <f t="shared" si="43"/>
        <v>0.95497457719603085</v>
      </c>
      <c r="R76" s="489"/>
      <c r="S76" s="40"/>
      <c r="T76" s="40"/>
      <c r="U76" s="17"/>
      <c r="V76" s="373"/>
      <c r="W76" s="17"/>
      <c r="X76" s="17"/>
      <c r="Y76" s="31">
        <f>SUM(Y71:Y75)</f>
        <v>0</v>
      </c>
      <c r="Z76" s="31">
        <f>SUM(Z71:Z75)</f>
        <v>0</v>
      </c>
      <c r="AA76" s="495"/>
      <c r="AB76" s="495"/>
      <c r="AC76" s="31">
        <f>SUM(AC71:AC75)</f>
        <v>1</v>
      </c>
      <c r="AD76" s="31">
        <f>SUM(AD71:AD75)</f>
        <v>0</v>
      </c>
      <c r="AE76" s="19">
        <f t="shared" si="44"/>
        <v>-90.0508456079383</v>
      </c>
      <c r="AF76" s="375">
        <f t="shared" si="45"/>
        <v>0.95497457719603085</v>
      </c>
      <c r="AG76" s="489"/>
    </row>
    <row r="77" spans="1:33" ht="15.75" customHeight="1">
      <c r="A77" s="496" t="s">
        <v>2212</v>
      </c>
      <c r="B77" s="372" t="s">
        <v>80</v>
      </c>
      <c r="C77" s="490" t="s">
        <v>115</v>
      </c>
      <c r="D77" s="490"/>
      <c r="E77" s="42">
        <v>20.2</v>
      </c>
      <c r="F77" s="372">
        <v>2318</v>
      </c>
      <c r="G77" s="371">
        <f t="shared" ref="G77:G82" si="51">E77*F77</f>
        <v>46823.6</v>
      </c>
      <c r="H77" s="383" t="s">
        <v>79</v>
      </c>
      <c r="I77" s="374">
        <v>19</v>
      </c>
      <c r="J77" s="37">
        <v>2400</v>
      </c>
      <c r="K77" s="17">
        <f t="shared" si="39"/>
        <v>126.31578947368421</v>
      </c>
      <c r="L77" s="374">
        <v>19</v>
      </c>
      <c r="M77" s="18">
        <f t="shared" ref="M77:M82" si="52">F77/V77*60</f>
        <v>2318</v>
      </c>
      <c r="N77" s="17">
        <f t="shared" si="40"/>
        <v>122</v>
      </c>
      <c r="O77" s="19">
        <f t="shared" si="41"/>
        <v>0</v>
      </c>
      <c r="P77" s="20">
        <f t="shared" si="42"/>
        <v>-4.3157894736842053</v>
      </c>
      <c r="Q77" s="375">
        <f t="shared" si="43"/>
        <v>0.96583333333333332</v>
      </c>
      <c r="R77" s="489">
        <f>Q83</f>
        <v>0.95701750395431517</v>
      </c>
      <c r="S77" s="40">
        <v>8.3333333333333329E-2</v>
      </c>
      <c r="T77" s="40">
        <v>0.125</v>
      </c>
      <c r="U77" s="28"/>
      <c r="V77" s="373">
        <f t="shared" ref="V77:V82" si="53">(T77-S77)*24*60</f>
        <v>60</v>
      </c>
      <c r="W77" s="23">
        <f>T77</f>
        <v>0.125</v>
      </c>
      <c r="X77" s="23">
        <f>S78</f>
        <v>0.1451388888888889</v>
      </c>
      <c r="Y77" s="23"/>
      <c r="Z77" s="23"/>
      <c r="AA77" s="491"/>
      <c r="AB77" s="491"/>
      <c r="AC77" s="154">
        <v>8</v>
      </c>
      <c r="AD77" s="25"/>
      <c r="AE77" s="19">
        <f t="shared" si="44"/>
        <v>-82</v>
      </c>
      <c r="AF77" s="375">
        <f t="shared" si="45"/>
        <v>0.96583333333333332</v>
      </c>
      <c r="AG77" s="489">
        <f>AF83</f>
        <v>0.95701750395431517</v>
      </c>
    </row>
    <row r="78" spans="1:33" ht="15.75" customHeight="1">
      <c r="A78" s="497" t="s">
        <v>2213</v>
      </c>
      <c r="B78" s="372" t="s">
        <v>80</v>
      </c>
      <c r="C78" s="490" t="s">
        <v>116</v>
      </c>
      <c r="D78" s="490"/>
      <c r="E78" s="42">
        <v>20.52</v>
      </c>
      <c r="F78" s="372">
        <v>3139</v>
      </c>
      <c r="G78" s="371">
        <f t="shared" si="51"/>
        <v>64412.28</v>
      </c>
      <c r="H78" s="383" t="s">
        <v>79</v>
      </c>
      <c r="I78" s="374">
        <v>18</v>
      </c>
      <c r="J78" s="37">
        <v>2400</v>
      </c>
      <c r="K78" s="17">
        <f t="shared" si="39"/>
        <v>133.33333333333334</v>
      </c>
      <c r="L78" s="374">
        <v>18</v>
      </c>
      <c r="M78" s="18">
        <f t="shared" si="52"/>
        <v>2296.8292682926835</v>
      </c>
      <c r="N78" s="17">
        <f t="shared" si="40"/>
        <v>127.6016260162602</v>
      </c>
      <c r="O78" s="19">
        <f t="shared" si="41"/>
        <v>0</v>
      </c>
      <c r="P78" s="20">
        <f t="shared" si="42"/>
        <v>-5.7317073170731447</v>
      </c>
      <c r="Q78" s="375">
        <f t="shared" si="43"/>
        <v>0.95701219512195146</v>
      </c>
      <c r="R78" s="489"/>
      <c r="S78" s="40">
        <v>0.1451388888888889</v>
      </c>
      <c r="T78" s="40">
        <v>0.20208333333333334</v>
      </c>
      <c r="U78" s="371">
        <f t="shared" ref="U78:U82" si="54">(S78-T77)*24*60</f>
        <v>29.000000000000018</v>
      </c>
      <c r="V78" s="373">
        <f t="shared" si="53"/>
        <v>81.999999999999986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4"/>
        <v>-103.17073170731646</v>
      </c>
      <c r="AF78" s="375">
        <f t="shared" si="45"/>
        <v>0.95701219512195146</v>
      </c>
      <c r="AG78" s="489"/>
    </row>
    <row r="79" spans="1:33" ht="15.75" customHeight="1">
      <c r="A79" s="497" t="s">
        <v>2213</v>
      </c>
      <c r="B79" s="372" t="s">
        <v>80</v>
      </c>
      <c r="C79" s="490" t="s">
        <v>119</v>
      </c>
      <c r="D79" s="490"/>
      <c r="E79" s="42">
        <v>19.02</v>
      </c>
      <c r="F79" s="372">
        <v>5400</v>
      </c>
      <c r="G79" s="371">
        <f t="shared" si="51"/>
        <v>102708</v>
      </c>
      <c r="H79" s="383">
        <v>2</v>
      </c>
      <c r="I79" s="374">
        <v>15</v>
      </c>
      <c r="J79" s="37">
        <v>2400</v>
      </c>
      <c r="K79" s="17">
        <f t="shared" si="39"/>
        <v>160</v>
      </c>
      <c r="L79" s="374">
        <v>15</v>
      </c>
      <c r="M79" s="18">
        <f t="shared" si="52"/>
        <v>2297.8723404255315</v>
      </c>
      <c r="N79" s="17">
        <f t="shared" si="40"/>
        <v>153.19148936170211</v>
      </c>
      <c r="O79" s="19">
        <f t="shared" si="41"/>
        <v>0</v>
      </c>
      <c r="P79" s="20">
        <f t="shared" si="42"/>
        <v>-6.8085106382978893</v>
      </c>
      <c r="Q79" s="375">
        <f t="shared" si="43"/>
        <v>0.95744680851063824</v>
      </c>
      <c r="R79" s="489"/>
      <c r="S79" s="40">
        <v>0.20625000000000002</v>
      </c>
      <c r="T79" s="40">
        <v>0.3041666666666667</v>
      </c>
      <c r="U79" s="371">
        <f t="shared" si="54"/>
        <v>6.0000000000000187</v>
      </c>
      <c r="V79" s="373">
        <f t="shared" si="53"/>
        <v>141.00000000000003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-102.12765957446845</v>
      </c>
      <c r="AF79" s="375">
        <f t="shared" si="45"/>
        <v>0.95744680851063813</v>
      </c>
      <c r="AG79" s="489"/>
    </row>
    <row r="80" spans="1:33" ht="15.75" customHeight="1">
      <c r="A80" s="497" t="s">
        <v>75</v>
      </c>
      <c r="B80" s="372" t="s">
        <v>80</v>
      </c>
      <c r="C80" s="490" t="s">
        <v>117</v>
      </c>
      <c r="D80" s="490"/>
      <c r="E80" s="42">
        <v>24.43</v>
      </c>
      <c r="F80" s="372">
        <v>6733</v>
      </c>
      <c r="G80" s="371">
        <f t="shared" si="51"/>
        <v>164487.19</v>
      </c>
      <c r="H80" s="383" t="s">
        <v>79</v>
      </c>
      <c r="I80" s="374">
        <v>14</v>
      </c>
      <c r="J80" s="37">
        <v>2400</v>
      </c>
      <c r="K80" s="17">
        <f t="shared" si="39"/>
        <v>171.42857142857142</v>
      </c>
      <c r="L80" s="374">
        <v>14</v>
      </c>
      <c r="M80" s="18">
        <f t="shared" si="52"/>
        <v>2282.3728813559323</v>
      </c>
      <c r="N80" s="17">
        <f t="shared" si="40"/>
        <v>163.02663438256658</v>
      </c>
      <c r="O80" s="19">
        <f t="shared" si="41"/>
        <v>0</v>
      </c>
      <c r="P80" s="20">
        <f t="shared" si="42"/>
        <v>-8.4019370460048322</v>
      </c>
      <c r="Q80" s="375">
        <f t="shared" si="43"/>
        <v>0.95098870056497176</v>
      </c>
      <c r="R80" s="489"/>
      <c r="S80" s="40">
        <v>0.30902777777777779</v>
      </c>
      <c r="T80" s="40">
        <v>0.43194444444444446</v>
      </c>
      <c r="U80" s="371">
        <f t="shared" si="54"/>
        <v>6.9999999999999751</v>
      </c>
      <c r="V80" s="373">
        <f t="shared" si="53"/>
        <v>177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-117.62711864406765</v>
      </c>
      <c r="AF80" s="375">
        <f t="shared" si="45"/>
        <v>0.95098870056497187</v>
      </c>
      <c r="AG80" s="489"/>
    </row>
    <row r="81" spans="1:33" ht="15.75" customHeight="1">
      <c r="A81" s="497" t="s">
        <v>2214</v>
      </c>
      <c r="B81" s="372" t="s">
        <v>80</v>
      </c>
      <c r="C81" s="490" t="s">
        <v>118</v>
      </c>
      <c r="D81" s="490"/>
      <c r="E81" s="42">
        <v>20.21</v>
      </c>
      <c r="F81" s="372">
        <v>3634</v>
      </c>
      <c r="G81" s="371">
        <f t="shared" si="51"/>
        <v>73443.14</v>
      </c>
      <c r="H81" s="383" t="s">
        <v>79</v>
      </c>
      <c r="I81" s="374">
        <v>16</v>
      </c>
      <c r="J81" s="37">
        <v>2400</v>
      </c>
      <c r="K81" s="17">
        <f t="shared" si="39"/>
        <v>150</v>
      </c>
      <c r="L81" s="374">
        <v>16</v>
      </c>
      <c r="M81" s="18">
        <f t="shared" si="52"/>
        <v>2295.1578947368425</v>
      </c>
      <c r="N81" s="17">
        <f t="shared" si="40"/>
        <v>143.44736842105266</v>
      </c>
      <c r="O81" s="19">
        <f t="shared" si="41"/>
        <v>0</v>
      </c>
      <c r="P81" s="20">
        <f t="shared" si="42"/>
        <v>-6.5526315789473415</v>
      </c>
      <c r="Q81" s="375">
        <f t="shared" si="43"/>
        <v>0.95631578947368434</v>
      </c>
      <c r="R81" s="489"/>
      <c r="S81" s="40">
        <v>0.43611111111111112</v>
      </c>
      <c r="T81" s="40">
        <v>0.50208333333333333</v>
      </c>
      <c r="U81" s="371">
        <f t="shared" si="54"/>
        <v>5.9999999999999787</v>
      </c>
      <c r="V81" s="373">
        <f t="shared" si="53"/>
        <v>94.999999999999986</v>
      </c>
      <c r="W81" s="23">
        <f>T81</f>
        <v>0.50208333333333333</v>
      </c>
      <c r="X81" s="23">
        <f>S82</f>
        <v>0.54027777777777775</v>
      </c>
      <c r="Y81" s="23"/>
      <c r="Z81" s="23"/>
      <c r="AA81" s="491"/>
      <c r="AB81" s="491"/>
      <c r="AC81" s="154"/>
      <c r="AD81" s="25"/>
      <c r="AE81" s="19">
        <f t="shared" si="44"/>
        <v>-104.84210526315746</v>
      </c>
      <c r="AF81" s="375">
        <f t="shared" si="45"/>
        <v>0.95631578947368434</v>
      </c>
      <c r="AG81" s="489"/>
    </row>
    <row r="82" spans="1:33" ht="15.75" customHeight="1">
      <c r="A82" s="497" t="s">
        <v>2214</v>
      </c>
      <c r="B82" s="372" t="s">
        <v>80</v>
      </c>
      <c r="C82" s="490" t="s">
        <v>119</v>
      </c>
      <c r="D82" s="490"/>
      <c r="E82" s="42">
        <v>19.02</v>
      </c>
      <c r="F82" s="372">
        <v>4658</v>
      </c>
      <c r="G82" s="371">
        <f t="shared" si="51"/>
        <v>88595.16</v>
      </c>
      <c r="H82" s="383" t="s">
        <v>79</v>
      </c>
      <c r="I82" s="374">
        <v>15</v>
      </c>
      <c r="J82" s="37">
        <v>2400</v>
      </c>
      <c r="K82" s="17">
        <f t="shared" si="39"/>
        <v>160</v>
      </c>
      <c r="L82" s="374">
        <v>15</v>
      </c>
      <c r="M82" s="18">
        <f t="shared" si="52"/>
        <v>2290.8196721311465</v>
      </c>
      <c r="N82" s="17">
        <f t="shared" si="40"/>
        <v>152.72131147540978</v>
      </c>
      <c r="O82" s="19">
        <f t="shared" si="41"/>
        <v>0</v>
      </c>
      <c r="P82" s="20">
        <f t="shared" si="42"/>
        <v>-7.2786885245902226</v>
      </c>
      <c r="Q82" s="375">
        <f t="shared" si="43"/>
        <v>0.95450819672131115</v>
      </c>
      <c r="R82" s="489"/>
      <c r="S82" s="40">
        <v>0.54027777777777775</v>
      </c>
      <c r="T82" s="40">
        <v>0.625</v>
      </c>
      <c r="U82" s="371">
        <f t="shared" si="54"/>
        <v>54.999999999999964</v>
      </c>
      <c r="V82" s="373">
        <f t="shared" si="53"/>
        <v>122.00000000000004</v>
      </c>
      <c r="W82" s="23"/>
      <c r="X82" s="23"/>
      <c r="Y82" s="23"/>
      <c r="Z82" s="23"/>
      <c r="AA82" s="491"/>
      <c r="AB82" s="491"/>
      <c r="AC82" s="154"/>
      <c r="AD82" s="25"/>
      <c r="AE82" s="19">
        <f t="shared" si="44"/>
        <v>-109.18032786885351</v>
      </c>
      <c r="AF82" s="375">
        <f t="shared" si="45"/>
        <v>0.95450819672131104</v>
      </c>
      <c r="AG82" s="489"/>
    </row>
    <row r="83" spans="1:33" ht="16.5" customHeight="1">
      <c r="A83" s="498" t="s">
        <v>2215</v>
      </c>
      <c r="B83" s="42" t="s">
        <v>2216</v>
      </c>
      <c r="C83" s="492"/>
      <c r="D83" s="493"/>
      <c r="E83" s="377"/>
      <c r="F83" s="44"/>
      <c r="G83" s="17"/>
      <c r="H83" s="372"/>
      <c r="I83" s="30">
        <v>16.166666666666668</v>
      </c>
      <c r="J83" s="37">
        <v>2400</v>
      </c>
      <c r="K83" s="17">
        <f t="shared" si="39"/>
        <v>148.45360824742266</v>
      </c>
      <c r="L83" s="30">
        <v>16.166666666666668</v>
      </c>
      <c r="M83" s="18">
        <f>AVERAGE(M77:M82)</f>
        <v>2296.8420094903563</v>
      </c>
      <c r="N83" s="17">
        <f t="shared" si="40"/>
        <v>142.07270161796018</v>
      </c>
      <c r="O83" s="19">
        <f t="shared" si="41"/>
        <v>0</v>
      </c>
      <c r="P83" s="20">
        <f t="shared" si="42"/>
        <v>-6.380906629462487</v>
      </c>
      <c r="Q83" s="375">
        <f t="shared" si="43"/>
        <v>0.95701750395431517</v>
      </c>
      <c r="R83" s="489"/>
      <c r="S83" s="40"/>
      <c r="T83" s="40"/>
      <c r="U83" s="17"/>
      <c r="V83" s="373"/>
      <c r="W83" s="17"/>
      <c r="X83" s="17"/>
      <c r="Y83" s="31">
        <f>SUM(Y77:Y82)</f>
        <v>0</v>
      </c>
      <c r="Z83" s="31">
        <f>SUM(Z77:Z82)</f>
        <v>0</v>
      </c>
      <c r="AA83" s="495"/>
      <c r="AB83" s="495"/>
      <c r="AC83" s="31">
        <f>SUM(AC77:AC82)</f>
        <v>8</v>
      </c>
      <c r="AD83" s="31">
        <f>SUM(AD77:AD82)</f>
        <v>0</v>
      </c>
      <c r="AE83" s="19">
        <f t="shared" si="44"/>
        <v>-103.1579905096437</v>
      </c>
      <c r="AF83" s="375">
        <f t="shared" si="45"/>
        <v>0.95701750395431517</v>
      </c>
      <c r="AG83" s="489"/>
    </row>
    <row r="84" spans="1:33">
      <c r="D84" s="33"/>
      <c r="E84" s="33"/>
    </row>
  </sheetData>
  <mergeCells count="217">
    <mergeCell ref="A77:A83"/>
    <mergeCell ref="C77:D77"/>
    <mergeCell ref="R77:R83"/>
    <mergeCell ref="AA77:AB77"/>
    <mergeCell ref="AG77:AG83"/>
    <mergeCell ref="C78:D78"/>
    <mergeCell ref="AA78:AB78"/>
    <mergeCell ref="C79:D79"/>
    <mergeCell ref="AA79:AB79"/>
    <mergeCell ref="C80:D80"/>
    <mergeCell ref="AA80:AB80"/>
    <mergeCell ref="C81:D81"/>
    <mergeCell ref="AA81:AB81"/>
    <mergeCell ref="C82:D82"/>
    <mergeCell ref="AA82:AB82"/>
    <mergeCell ref="C83:D83"/>
    <mergeCell ref="AA83:AB83"/>
    <mergeCell ref="AG71:AG76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  <mergeCell ref="A71:A76"/>
    <mergeCell ref="C71:D71"/>
    <mergeCell ref="R71:R76"/>
    <mergeCell ref="AA71:AB71"/>
    <mergeCell ref="AA76:AB76"/>
    <mergeCell ref="AA66:AB66"/>
    <mergeCell ref="C67:D67"/>
    <mergeCell ref="AA67:AB67"/>
    <mergeCell ref="C68:D68"/>
    <mergeCell ref="AA68:AB68"/>
    <mergeCell ref="C69:D69"/>
    <mergeCell ref="AA69:AB69"/>
    <mergeCell ref="A59:A70"/>
    <mergeCell ref="C59:D59"/>
    <mergeCell ref="R59:R70"/>
    <mergeCell ref="AA59:AB59"/>
    <mergeCell ref="AA65:AB65"/>
    <mergeCell ref="C66:D66"/>
    <mergeCell ref="AG59:AG70"/>
    <mergeCell ref="C60:D60"/>
    <mergeCell ref="AA60:AB60"/>
    <mergeCell ref="C61:D61"/>
    <mergeCell ref="AA61:AB61"/>
    <mergeCell ref="AA62:AB62"/>
    <mergeCell ref="AA63:AB63"/>
    <mergeCell ref="C64:D64"/>
    <mergeCell ref="AA64:AB64"/>
    <mergeCell ref="C65:D65"/>
    <mergeCell ref="C70:D70"/>
    <mergeCell ref="AA70:AB70"/>
    <mergeCell ref="A50:A58"/>
    <mergeCell ref="C50:D50"/>
    <mergeCell ref="R50:R58"/>
    <mergeCell ref="AA50:AB50"/>
    <mergeCell ref="AA55:AB55"/>
    <mergeCell ref="C56:D56"/>
    <mergeCell ref="AA56:AB56"/>
    <mergeCell ref="AG50:AG58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55:D55"/>
    <mergeCell ref="C57:D57"/>
    <mergeCell ref="AA57:AB57"/>
    <mergeCell ref="C58:D58"/>
    <mergeCell ref="AA58:AB58"/>
    <mergeCell ref="A41:A49"/>
    <mergeCell ref="C41:D41"/>
    <mergeCell ref="R41:R49"/>
    <mergeCell ref="AA41:AB41"/>
    <mergeCell ref="AA46:AB46"/>
    <mergeCell ref="C47:D47"/>
    <mergeCell ref="AA47:AB47"/>
    <mergeCell ref="C48:D48"/>
    <mergeCell ref="AG41:AG49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A48:AB48"/>
    <mergeCell ref="C49:D49"/>
    <mergeCell ref="AA49:AB49"/>
    <mergeCell ref="A33:A40"/>
    <mergeCell ref="C33:D33"/>
    <mergeCell ref="R33:R40"/>
    <mergeCell ref="AA33:AB33"/>
    <mergeCell ref="AA38:AB38"/>
    <mergeCell ref="C39:D39"/>
    <mergeCell ref="AA39:AB39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C40:D40"/>
    <mergeCell ref="AA40:AB40"/>
    <mergeCell ref="A24:A32"/>
    <mergeCell ref="C24:D24"/>
    <mergeCell ref="R24:R32"/>
    <mergeCell ref="AA24:AB24"/>
    <mergeCell ref="AA29:AB29"/>
    <mergeCell ref="C30:D30"/>
    <mergeCell ref="AA30:AB30"/>
    <mergeCell ref="C31:D31"/>
    <mergeCell ref="AG24:AG32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AA31:AB31"/>
    <mergeCell ref="C32:D32"/>
    <mergeCell ref="AA32:AB32"/>
    <mergeCell ref="AG12:AG14"/>
    <mergeCell ref="C13:D13"/>
    <mergeCell ref="AA13:AB13"/>
    <mergeCell ref="C14:D14"/>
    <mergeCell ref="AA14:AB14"/>
    <mergeCell ref="A15:A23"/>
    <mergeCell ref="C15:D15"/>
    <mergeCell ref="R15:R23"/>
    <mergeCell ref="AA15:AB15"/>
    <mergeCell ref="AG15:AG23"/>
    <mergeCell ref="C19:D19"/>
    <mergeCell ref="AA19:AB19"/>
    <mergeCell ref="C20:D20"/>
    <mergeCell ref="AA20:AB20"/>
    <mergeCell ref="AA21:AB21"/>
    <mergeCell ref="AA22:AB22"/>
    <mergeCell ref="C16:D16"/>
    <mergeCell ref="AA16:AB16"/>
    <mergeCell ref="C17:D17"/>
    <mergeCell ref="AA17:AB17"/>
    <mergeCell ref="C18:D18"/>
    <mergeCell ref="AA18:AB18"/>
    <mergeCell ref="C23:D23"/>
    <mergeCell ref="AA23:AB23"/>
    <mergeCell ref="A12:A14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70:O71 O74:O83 O5:O12 O14:O16 O58:O64 O23:O55">
    <cfRule type="cellIs" dxfId="2065" priority="81" operator="greaterThan">
      <formula>0</formula>
    </cfRule>
  </conditionalFormatting>
  <conditionalFormatting sqref="P5:P10 P74:P75 AE74:AE75 P77:P82 P33:P39 P71 P12 P14:P16 P24:P31 P59:P64 P41:P55 AE5:AE71 AE77:AE83">
    <cfRule type="cellIs" dxfId="2064" priority="85" operator="lessThan">
      <formula>0</formula>
    </cfRule>
  </conditionalFormatting>
  <conditionalFormatting sqref="AF74:AF75 Q70:Q71 Q74:Q83 Q5:Q12 Q14:Q16 Q58:Q64 Q23:Q55 AF5:AF71 AF77:AF83">
    <cfRule type="cellIs" dxfId="2063" priority="82" operator="greaterThan">
      <formula>1</formula>
    </cfRule>
    <cfRule type="cellIs" dxfId="2062" priority="83" operator="lessThan">
      <formula>0.8</formula>
    </cfRule>
  </conditionalFormatting>
  <conditionalFormatting sqref="AG15:AG16 R15:R16 AG74 R23:R29 AG23:AG29 AG70:AG71 R70:R71 R74:R83 AG5:AG12 R5:R12 R32:R55 AG32:AG55 AG58:AG64 R58:R64">
    <cfRule type="cellIs" dxfId="2061" priority="87" operator="lessThan">
      <formula>0.8</formula>
    </cfRule>
  </conditionalFormatting>
  <conditionalFormatting sqref="AG50">
    <cfRule type="cellIs" dxfId="2060" priority="89" operator="lessThan">
      <formula>0.8</formula>
    </cfRule>
  </conditionalFormatting>
  <conditionalFormatting sqref="AG24:AG29">
    <cfRule type="cellIs" dxfId="2059" priority="86" operator="lessThan">
      <formula>0.8</formula>
    </cfRule>
  </conditionalFormatting>
  <conditionalFormatting sqref="AG33">
    <cfRule type="cellIs" dxfId="2058" priority="88" operator="lessThan">
      <formula>0.8</formula>
    </cfRule>
  </conditionalFormatting>
  <conditionalFormatting sqref="AG41:AG48">
    <cfRule type="cellIs" dxfId="2057" priority="84" operator="lessThan">
      <formula>0.8</formula>
    </cfRule>
  </conditionalFormatting>
  <conditionalFormatting sqref="AE76">
    <cfRule type="cellIs" dxfId="2056" priority="80" operator="lessThan">
      <formula>0</formula>
    </cfRule>
  </conditionalFormatting>
  <conditionalFormatting sqref="AF76">
    <cfRule type="cellIs" dxfId="2055" priority="78" operator="greaterThan">
      <formula>1</formula>
    </cfRule>
    <cfRule type="cellIs" dxfId="2054" priority="79" operator="lessThan">
      <formula>0.8</formula>
    </cfRule>
  </conditionalFormatting>
  <conditionalFormatting sqref="O17:O18">
    <cfRule type="cellIs" dxfId="2053" priority="73" operator="greaterThan">
      <formula>0</formula>
    </cfRule>
  </conditionalFormatting>
  <conditionalFormatting sqref="P17:P18">
    <cfRule type="cellIs" dxfId="2052" priority="76" operator="lessThan">
      <formula>0</formula>
    </cfRule>
  </conditionalFormatting>
  <conditionalFormatting sqref="Q17:Q18">
    <cfRule type="cellIs" dxfId="2051" priority="74" operator="greaterThan">
      <formula>1</formula>
    </cfRule>
    <cfRule type="cellIs" dxfId="2050" priority="75" operator="lessThan">
      <formula>0.8</formula>
    </cfRule>
  </conditionalFormatting>
  <conditionalFormatting sqref="R17:R18 AG17:AG18">
    <cfRule type="cellIs" dxfId="2049" priority="77" operator="lessThan">
      <formula>0.8</formula>
    </cfRule>
  </conditionalFormatting>
  <conditionalFormatting sqref="O13">
    <cfRule type="cellIs" dxfId="2048" priority="69" operator="greaterThan">
      <formula>0</formula>
    </cfRule>
  </conditionalFormatting>
  <conditionalFormatting sqref="P13">
    <cfRule type="cellIs" dxfId="2047" priority="72" operator="lessThan">
      <formula>0</formula>
    </cfRule>
  </conditionalFormatting>
  <conditionalFormatting sqref="Q13">
    <cfRule type="cellIs" dxfId="2046" priority="70" operator="greaterThan">
      <formula>1</formula>
    </cfRule>
    <cfRule type="cellIs" dxfId="2045" priority="71" operator="lessThan">
      <formula>0.8</formula>
    </cfRule>
  </conditionalFormatting>
  <conditionalFormatting sqref="O65">
    <cfRule type="cellIs" dxfId="2044" priority="64" operator="greaterThan">
      <formula>0</formula>
    </cfRule>
  </conditionalFormatting>
  <conditionalFormatting sqref="P65">
    <cfRule type="cellIs" dxfId="2043" priority="67" operator="lessThan">
      <formula>0</formula>
    </cfRule>
  </conditionalFormatting>
  <conditionalFormatting sqref="Q65">
    <cfRule type="cellIs" dxfId="2042" priority="65" operator="greaterThan">
      <formula>1</formula>
    </cfRule>
    <cfRule type="cellIs" dxfId="2041" priority="66" operator="lessThan">
      <formula>0.8</formula>
    </cfRule>
  </conditionalFormatting>
  <conditionalFormatting sqref="R65 AG65">
    <cfRule type="cellIs" dxfId="2040" priority="68" operator="lessThan">
      <formula>0.8</formula>
    </cfRule>
  </conditionalFormatting>
  <conditionalFormatting sqref="AG31 R31">
    <cfRule type="cellIs" dxfId="2039" priority="63" operator="lessThan">
      <formula>0.8</formula>
    </cfRule>
  </conditionalFormatting>
  <conditionalFormatting sqref="O73">
    <cfRule type="cellIs" dxfId="2038" priority="58" operator="greaterThan">
      <formula>0</formula>
    </cfRule>
  </conditionalFormatting>
  <conditionalFormatting sqref="P73 AE73">
    <cfRule type="cellIs" dxfId="2037" priority="61" operator="lessThan">
      <formula>0</formula>
    </cfRule>
  </conditionalFormatting>
  <conditionalFormatting sqref="Q73 AF73">
    <cfRule type="cellIs" dxfId="2036" priority="59" operator="greaterThan">
      <formula>1</formula>
    </cfRule>
    <cfRule type="cellIs" dxfId="2035" priority="60" operator="lessThan">
      <formula>0.8</formula>
    </cfRule>
  </conditionalFormatting>
  <conditionalFormatting sqref="R73 AG73">
    <cfRule type="cellIs" dxfId="2034" priority="62" operator="lessThan">
      <formula>0.8</formula>
    </cfRule>
  </conditionalFormatting>
  <conditionalFormatting sqref="O19:O20">
    <cfRule type="cellIs" dxfId="2033" priority="53" operator="greaterThan">
      <formula>0</formula>
    </cfRule>
  </conditionalFormatting>
  <conditionalFormatting sqref="P19:P20">
    <cfRule type="cellIs" dxfId="2032" priority="56" operator="lessThan">
      <formula>0</formula>
    </cfRule>
  </conditionalFormatting>
  <conditionalFormatting sqref="Q19:Q20">
    <cfRule type="cellIs" dxfId="2031" priority="54" operator="greaterThan">
      <formula>1</formula>
    </cfRule>
    <cfRule type="cellIs" dxfId="2030" priority="55" operator="lessThan">
      <formula>0.8</formula>
    </cfRule>
  </conditionalFormatting>
  <conditionalFormatting sqref="R19:R20 AG19:AG20">
    <cfRule type="cellIs" dxfId="2029" priority="57" operator="lessThan">
      <formula>0.8</formula>
    </cfRule>
  </conditionalFormatting>
  <conditionalFormatting sqref="O56">
    <cfRule type="cellIs" dxfId="2028" priority="47" operator="greaterThan">
      <formula>0</formula>
    </cfRule>
  </conditionalFormatting>
  <conditionalFormatting sqref="P56">
    <cfRule type="cellIs" dxfId="2027" priority="51" operator="lessThan">
      <formula>0</formula>
    </cfRule>
  </conditionalFormatting>
  <conditionalFormatting sqref="Q56">
    <cfRule type="cellIs" dxfId="2026" priority="48" operator="greaterThan">
      <formula>1</formula>
    </cfRule>
    <cfRule type="cellIs" dxfId="2025" priority="49" operator="lessThan">
      <formula>0.8</formula>
    </cfRule>
  </conditionalFormatting>
  <conditionalFormatting sqref="R56 AG56">
    <cfRule type="cellIs" dxfId="2024" priority="52" operator="lessThan">
      <formula>0.8</formula>
    </cfRule>
  </conditionalFormatting>
  <conditionalFormatting sqref="AG56">
    <cfRule type="cellIs" dxfId="2023" priority="50" operator="lessThan">
      <formula>0.8</formula>
    </cfRule>
  </conditionalFormatting>
  <conditionalFormatting sqref="O57">
    <cfRule type="cellIs" dxfId="2022" priority="41" operator="greaterThan">
      <formula>0</formula>
    </cfRule>
  </conditionalFormatting>
  <conditionalFormatting sqref="P57">
    <cfRule type="cellIs" dxfId="2021" priority="45" operator="lessThan">
      <formula>0</formula>
    </cfRule>
  </conditionalFormatting>
  <conditionalFormatting sqref="Q57">
    <cfRule type="cellIs" dxfId="2020" priority="42" operator="greaterThan">
      <formula>1</formula>
    </cfRule>
    <cfRule type="cellIs" dxfId="2019" priority="43" operator="lessThan">
      <formula>0.8</formula>
    </cfRule>
  </conditionalFormatting>
  <conditionalFormatting sqref="R57 AG57">
    <cfRule type="cellIs" dxfId="2018" priority="46" operator="lessThan">
      <formula>0.8</formula>
    </cfRule>
  </conditionalFormatting>
  <conditionalFormatting sqref="AG57">
    <cfRule type="cellIs" dxfId="2017" priority="44" operator="lessThan">
      <formula>0.8</formula>
    </cfRule>
  </conditionalFormatting>
  <conditionalFormatting sqref="O66">
    <cfRule type="cellIs" dxfId="2016" priority="36" operator="greaterThan">
      <formula>0</formula>
    </cfRule>
  </conditionalFormatting>
  <conditionalFormatting sqref="P66">
    <cfRule type="cellIs" dxfId="2015" priority="39" operator="lessThan">
      <formula>0</formula>
    </cfRule>
  </conditionalFormatting>
  <conditionalFormatting sqref="Q66">
    <cfRule type="cellIs" dxfId="2014" priority="37" operator="greaterThan">
      <formula>1</formula>
    </cfRule>
    <cfRule type="cellIs" dxfId="2013" priority="38" operator="lessThan">
      <formula>0.8</formula>
    </cfRule>
  </conditionalFormatting>
  <conditionalFormatting sqref="AG66 R66">
    <cfRule type="cellIs" dxfId="2012" priority="40" operator="lessThan">
      <formula>0.8</formula>
    </cfRule>
  </conditionalFormatting>
  <conditionalFormatting sqref="R30 AG30">
    <cfRule type="cellIs" dxfId="2011" priority="35" operator="lessThan">
      <formula>0.8</formula>
    </cfRule>
  </conditionalFormatting>
  <conditionalFormatting sqref="AG30">
    <cfRule type="cellIs" dxfId="2010" priority="34" operator="lessThan">
      <formula>0.8</formula>
    </cfRule>
  </conditionalFormatting>
  <conditionalFormatting sqref="O69">
    <cfRule type="cellIs" dxfId="2009" priority="29" operator="greaterThan">
      <formula>0</formula>
    </cfRule>
  </conditionalFormatting>
  <conditionalFormatting sqref="P69">
    <cfRule type="cellIs" dxfId="2008" priority="32" operator="lessThan">
      <formula>0</formula>
    </cfRule>
  </conditionalFormatting>
  <conditionalFormatting sqref="Q69">
    <cfRule type="cellIs" dxfId="2007" priority="30" operator="greaterThan">
      <formula>1</formula>
    </cfRule>
    <cfRule type="cellIs" dxfId="2006" priority="31" operator="lessThan">
      <formula>0.8</formula>
    </cfRule>
  </conditionalFormatting>
  <conditionalFormatting sqref="AG69 R69">
    <cfRule type="cellIs" dxfId="2005" priority="33" operator="lessThan">
      <formula>0.8</formula>
    </cfRule>
  </conditionalFormatting>
  <conditionalFormatting sqref="O72">
    <cfRule type="cellIs" dxfId="2004" priority="24" operator="greaterThan">
      <formula>0</formula>
    </cfRule>
  </conditionalFormatting>
  <conditionalFormatting sqref="P72 AE72">
    <cfRule type="cellIs" dxfId="2003" priority="27" operator="lessThan">
      <formula>0</formula>
    </cfRule>
  </conditionalFormatting>
  <conditionalFormatting sqref="Q72 AF72">
    <cfRule type="cellIs" dxfId="2002" priority="25" operator="greaterThan">
      <formula>1</formula>
    </cfRule>
    <cfRule type="cellIs" dxfId="2001" priority="26" operator="lessThan">
      <formula>0.8</formula>
    </cfRule>
  </conditionalFormatting>
  <conditionalFormatting sqref="R72 AG72">
    <cfRule type="cellIs" dxfId="2000" priority="28" operator="lessThan">
      <formula>0.8</formula>
    </cfRule>
  </conditionalFormatting>
  <conditionalFormatting sqref="O21">
    <cfRule type="cellIs" dxfId="1999" priority="19" operator="greaterThan">
      <formula>0</formula>
    </cfRule>
  </conditionalFormatting>
  <conditionalFormatting sqref="P21">
    <cfRule type="cellIs" dxfId="1998" priority="22" operator="lessThan">
      <formula>0</formula>
    </cfRule>
  </conditionalFormatting>
  <conditionalFormatting sqref="Q21">
    <cfRule type="cellIs" dxfId="1997" priority="20" operator="greaterThan">
      <formula>1</formula>
    </cfRule>
    <cfRule type="cellIs" dxfId="1996" priority="21" operator="lessThan">
      <formula>0.8</formula>
    </cfRule>
  </conditionalFormatting>
  <conditionalFormatting sqref="AG21 R21">
    <cfRule type="cellIs" dxfId="1995" priority="23" operator="lessThan">
      <formula>0.8</formula>
    </cfRule>
  </conditionalFormatting>
  <conditionalFormatting sqref="O22">
    <cfRule type="cellIs" dxfId="1994" priority="14" operator="greaterThan">
      <formula>0</formula>
    </cfRule>
  </conditionalFormatting>
  <conditionalFormatting sqref="P22">
    <cfRule type="cellIs" dxfId="1993" priority="17" operator="lessThan">
      <formula>0</formula>
    </cfRule>
  </conditionalFormatting>
  <conditionalFormatting sqref="Q22">
    <cfRule type="cellIs" dxfId="1992" priority="15" operator="greaterThan">
      <formula>1</formula>
    </cfRule>
    <cfRule type="cellIs" dxfId="1991" priority="16" operator="lessThan">
      <formula>0.8</formula>
    </cfRule>
  </conditionalFormatting>
  <conditionalFormatting sqref="AG22 R22">
    <cfRule type="cellIs" dxfId="1990" priority="18" operator="lessThan">
      <formula>0.8</formula>
    </cfRule>
  </conditionalFormatting>
  <conditionalFormatting sqref="P11">
    <cfRule type="cellIs" dxfId="1989" priority="13" operator="lessThan">
      <formula>0</formula>
    </cfRule>
  </conditionalFormatting>
  <conditionalFormatting sqref="P23">
    <cfRule type="cellIs" dxfId="1988" priority="12" operator="lessThan">
      <formula>0</formula>
    </cfRule>
  </conditionalFormatting>
  <conditionalFormatting sqref="P32">
    <cfRule type="cellIs" dxfId="1987" priority="11" operator="lessThan">
      <formula>0</formula>
    </cfRule>
  </conditionalFormatting>
  <conditionalFormatting sqref="P40">
    <cfRule type="cellIs" dxfId="1986" priority="10" operator="lessThan">
      <formula>0</formula>
    </cfRule>
  </conditionalFormatting>
  <conditionalFormatting sqref="P58">
    <cfRule type="cellIs" dxfId="1985" priority="9" operator="lessThan">
      <formula>0</formula>
    </cfRule>
  </conditionalFormatting>
  <conditionalFormatting sqref="P70">
    <cfRule type="cellIs" dxfId="1984" priority="8" operator="lessThan">
      <formula>0</formula>
    </cfRule>
  </conditionalFormatting>
  <conditionalFormatting sqref="P76">
    <cfRule type="cellIs" dxfId="1983" priority="7" operator="lessThan">
      <formula>0</formula>
    </cfRule>
  </conditionalFormatting>
  <conditionalFormatting sqref="P83">
    <cfRule type="cellIs" dxfId="1982" priority="6" operator="lessThan">
      <formula>0</formula>
    </cfRule>
  </conditionalFormatting>
  <conditionalFormatting sqref="O67:O68">
    <cfRule type="cellIs" dxfId="1981" priority="1" operator="greaterThan">
      <formula>0</formula>
    </cfRule>
  </conditionalFormatting>
  <conditionalFormatting sqref="P67:P68">
    <cfRule type="cellIs" dxfId="1980" priority="4" operator="lessThan">
      <formula>0</formula>
    </cfRule>
  </conditionalFormatting>
  <conditionalFormatting sqref="Q67:Q68">
    <cfRule type="cellIs" dxfId="1979" priority="2" operator="greaterThan">
      <formula>1</formula>
    </cfRule>
    <cfRule type="cellIs" dxfId="1978" priority="3" operator="lessThan">
      <formula>0.8</formula>
    </cfRule>
  </conditionalFormatting>
  <conditionalFormatting sqref="AG67:AG68 R67:R68">
    <cfRule type="cellIs" dxfId="1977" priority="5" operator="lessThan">
      <formula>0.8</formula>
    </cfRule>
  </conditionalFormatting>
  <dataValidations count="1">
    <dataValidation type="list" allowBlank="1" showInputMessage="1" showErrorMessage="1" sqref="AA5:AB9 AB10:AB11 AB75 AB13:AB71 AA10:AA75 AA76:AB8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2074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2075</v>
      </c>
      <c r="C3" s="478" t="str">
        <f>TEXT('0124 4度C'!A2,"yyyy.mm.ddaaaa")</f>
        <v>2026.01.24星期六</v>
      </c>
      <c r="D3" s="479"/>
      <c r="E3" s="56" t="s">
        <v>2076</v>
      </c>
      <c r="F3" s="480">
        <f>'0124 4度C'!D1</f>
        <v>137697</v>
      </c>
      <c r="G3" s="481"/>
      <c r="H3" s="56" t="s">
        <v>2077</v>
      </c>
      <c r="I3" s="482">
        <f>'0124 4度C'!F1</f>
        <v>4805209.4200000009</v>
      </c>
      <c r="J3" s="483"/>
      <c r="K3" s="57"/>
      <c r="L3" s="58"/>
      <c r="M3" s="59"/>
      <c r="N3" s="59"/>
    </row>
    <row r="4" spans="2:17" ht="28.5" customHeight="1">
      <c r="B4" s="484" t="s">
        <v>2078</v>
      </c>
      <c r="C4" s="470" t="s">
        <v>2079</v>
      </c>
      <c r="D4" s="471"/>
      <c r="E4" s="487" t="s">
        <v>2080</v>
      </c>
      <c r="F4" s="488"/>
      <c r="G4" s="487" t="s">
        <v>2081</v>
      </c>
      <c r="H4" s="488"/>
      <c r="I4" s="487" t="s">
        <v>2082</v>
      </c>
      <c r="J4" s="488"/>
      <c r="K4" s="468" t="s">
        <v>2083</v>
      </c>
      <c r="L4" s="469"/>
      <c r="M4" s="469" t="s">
        <v>2084</v>
      </c>
      <c r="N4" s="469"/>
    </row>
    <row r="5" spans="2:17" ht="28.5" customHeight="1">
      <c r="B5" s="485"/>
      <c r="C5" s="470" t="s">
        <v>2085</v>
      </c>
      <c r="D5" s="471"/>
      <c r="E5" s="470" t="s">
        <v>2086</v>
      </c>
      <c r="F5" s="471"/>
      <c r="G5" s="472" t="s">
        <v>2087</v>
      </c>
      <c r="H5" s="473"/>
      <c r="I5" s="474" t="s">
        <v>2088</v>
      </c>
      <c r="J5" s="475"/>
      <c r="K5" s="60" t="s">
        <v>2089</v>
      </c>
      <c r="L5" s="61" t="s">
        <v>2090</v>
      </c>
      <c r="M5" s="60" t="s">
        <v>2089</v>
      </c>
      <c r="N5" s="61" t="s">
        <v>2091</v>
      </c>
    </row>
    <row r="6" spans="2:17" ht="28.5" customHeight="1">
      <c r="B6" s="485"/>
      <c r="C6" s="470" t="s">
        <v>144</v>
      </c>
      <c r="D6" s="471"/>
      <c r="E6" s="462">
        <f>AVERAGE(D13:M13)</f>
        <v>143.03423184008977</v>
      </c>
      <c r="F6" s="463">
        <f>AVERAGE(D31:O31,D13:J13)</f>
        <v>145.36475483797076</v>
      </c>
      <c r="G6" s="464">
        <f>AVERAGE(D13:J13)</f>
        <v>145.36475483797076</v>
      </c>
      <c r="H6" s="465"/>
      <c r="I6" s="464">
        <f>AVERAGE(K13:M13)</f>
        <v>137.59634484503417</v>
      </c>
      <c r="J6" s="465"/>
      <c r="K6" s="466">
        <f>'0124 4度C'!Y2</f>
        <v>0</v>
      </c>
      <c r="L6" s="451">
        <f>'0124 4度C'!Z2</f>
        <v>0</v>
      </c>
      <c r="M6" s="467">
        <f>'0124 4度C'!AC2</f>
        <v>33</v>
      </c>
      <c r="N6" s="451">
        <f>'0124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137.05730975645844</v>
      </c>
      <c r="F7" s="455">
        <f>AVERAGE(D32:O32,D14:J14)</f>
        <v>139.26881443197308</v>
      </c>
      <c r="G7" s="456">
        <f>AVERAGE(D14:J14)</f>
        <v>139.26881443197308</v>
      </c>
      <c r="H7" s="457"/>
      <c r="I7" s="456">
        <f>AVERAGE(K14:M14)</f>
        <v>131.8971321802575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0.9578368888222849</v>
      </c>
      <c r="F8" s="459">
        <f>AVERAGE(D15:J15,D33:O33)</f>
        <v>0.95753060723535022</v>
      </c>
      <c r="G8" s="460">
        <f>AVERAGE(D15:J15)</f>
        <v>0.95753060723535022</v>
      </c>
      <c r="H8" s="461"/>
      <c r="I8" s="460">
        <f>AVERAGE(K15:M15)</f>
        <v>0.95855154585846558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2092</v>
      </c>
      <c r="N9" s="59"/>
      <c r="O9" s="59"/>
      <c r="P9" s="59"/>
      <c r="Q9" s="59"/>
    </row>
    <row r="10" spans="2:17" ht="30" customHeight="1">
      <c r="B10" s="434" t="s">
        <v>2093</v>
      </c>
      <c r="C10" s="435"/>
      <c r="D10" s="436" t="s">
        <v>2094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2095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2096</v>
      </c>
      <c r="C13" s="72" t="s">
        <v>232</v>
      </c>
      <c r="D13" s="73">
        <f>SUMIFS('0124 4度C'!$K:$K,'0124 4度C'!$A:$A,"新豐6線",'0124 4度C'!$B:$B,"平均")</f>
        <v>113.63636363636363</v>
      </c>
      <c r="E13" s="74">
        <f>SUMIFS('0124 4度C'!$K:$K,'0124 4度C'!$A:$A,"新豐2線",'0124 4度C'!$B:$B,"平均")</f>
        <v>83.333333333333329</v>
      </c>
      <c r="F13" s="75">
        <f>SUMIFS('0124 4度C'!$K:$K,'0124 4度C'!$A:$A,"新豐5線",'0124 4度C'!$B:$B,"平均")</f>
        <v>106.79611650485435</v>
      </c>
      <c r="G13" s="75">
        <f>SUMIFS('0124 4度C'!$K:$K,'0124 4度C'!$A:$A,"新豐7線",'0124 4度C'!$B:$B,"平均")</f>
        <v>122.72727272727273</v>
      </c>
      <c r="H13" s="75">
        <f>SUMIFS('0124 4度C'!$K:$K,'0124 4度C'!$A:$A,"新豐3線",'0124 4度C'!$B:$B,"平均")</f>
        <v>300</v>
      </c>
      <c r="I13" s="75">
        <f>SUMIFS('0124 4度C'!$K:$K,'0124 4度C'!$A:$A,"新豐1線",'0124 4度C'!$B:$B,"平均")</f>
        <v>102.38095238095238</v>
      </c>
      <c r="J13" s="76">
        <f>SUMIFS('0124 4度C'!$K:$K,'0124 4度C'!$A:$A,"新豐10線",'0124 4度C'!$B:$B,"平均")</f>
        <v>188.67924528301887</v>
      </c>
      <c r="K13" s="77">
        <f>SUMIFS('0124 4度C'!$K:$K,'0124 4度C'!$A:$A,"新豐8線",'0124 4度C'!$B:$B,"平均")</f>
        <v>131.86813186813188</v>
      </c>
      <c r="L13" s="78">
        <f>SUMIFS('0124 4度C'!$K:$K,'0124 4度C'!$A:$A,"新豐9線",'0124 4度C'!$B:$B,"平均")</f>
        <v>134.57943925233647</v>
      </c>
      <c r="M13" s="76">
        <f>SUMIFS('0124 4度C'!$K:$K,'0124 4度C'!$A:$A,"新豐4線",'0124 4度C'!$B:$B,"平均")</f>
        <v>146.34146341463415</v>
      </c>
    </row>
    <row r="14" spans="2:17" ht="39.6" customHeight="1">
      <c r="B14" s="447"/>
      <c r="C14" s="79" t="s">
        <v>2097</v>
      </c>
      <c r="D14" s="80">
        <f>SUMIFS('0124 4度C'!$N:$N,'0124 4度C'!$A:$A,"新豐6線",'0124 4度C'!$B:$B,"平均")</f>
        <v>110.40576988865512</v>
      </c>
      <c r="E14" s="81">
        <f>SUMIFS('0124 4度C'!$N:$N,'0124 4度C'!$A:$A,"新豐2線",'0124 4度C'!$B:$B,"平均")</f>
        <v>79.532640478006613</v>
      </c>
      <c r="F14" s="81">
        <f>SUMIFS('0124 4度C'!$N:$N,'0124 4度C'!$A:$A,"新豐5線",'0124 4度C'!$B:$B,"平均")</f>
        <v>102.73039798288681</v>
      </c>
      <c r="G14" s="81">
        <f>SUMIFS('0124 4度C'!$N:$N,'0124 4度C'!$A:$A,"新豐7線",'0124 4度C'!$B:$B,"平均")</f>
        <v>117.88314025955324</v>
      </c>
      <c r="H14" s="81">
        <f>SUMIFS('0124 4度C'!$N:$N,'0124 4度C'!$A:$A,"新豐3線",'0124 4度C'!$B:$B,"平均")</f>
        <v>287.33086705508492</v>
      </c>
      <c r="I14" s="81">
        <f>SUMIFS('0124 4度C'!$N:$N,'0124 4度C'!$A:$A,"新豐1線",'0124 4度C'!$B:$B,"平均")</f>
        <v>95.900242870344869</v>
      </c>
      <c r="J14" s="82">
        <f>SUMIFS('0124 4度C'!$N:$N,'0124 4度C'!$A:$A,"新豐10線",'0124 4度C'!$B:$B,"平均")</f>
        <v>181.09864248927997</v>
      </c>
      <c r="K14" s="83">
        <f>SUMIFS('0124 4度C'!$N:$N,'0124 4度C'!$A:$A,"新豐8線",'0124 4度C'!$B:$B,"平均")</f>
        <v>125.99850207126845</v>
      </c>
      <c r="L14" s="84">
        <f>SUMIFS('0124 4度C'!$N:$N,'0124 4度C'!$A:$A,"新豐9線",'0124 4度C'!$B:$B,"平均")</f>
        <v>129.37320222139621</v>
      </c>
      <c r="M14" s="82">
        <f>SUMIFS('0124 4度C'!$N:$N,'0124 4度C'!$A:$A,"新豐4線",'0124 4度C'!$B:$B,"平均")</f>
        <v>140.3196922481078</v>
      </c>
    </row>
    <row r="15" spans="2:17" ht="40.15" customHeight="1">
      <c r="B15" s="448"/>
      <c r="C15" s="85" t="s">
        <v>2098</v>
      </c>
      <c r="D15" s="86">
        <f t="shared" ref="D15:M15" si="0">D14/D13</f>
        <v>0.97157077502016509</v>
      </c>
      <c r="E15" s="87">
        <f t="shared" si="0"/>
        <v>0.95439168573607935</v>
      </c>
      <c r="F15" s="87">
        <f t="shared" si="0"/>
        <v>0.96193009020339482</v>
      </c>
      <c r="G15" s="87">
        <f t="shared" si="0"/>
        <v>0.96052929100376716</v>
      </c>
      <c r="H15" s="87">
        <f t="shared" si="0"/>
        <v>0.95776955685028309</v>
      </c>
      <c r="I15" s="87">
        <f t="shared" si="0"/>
        <v>0.93670004664057782</v>
      </c>
      <c r="J15" s="88">
        <f t="shared" si="0"/>
        <v>0.95982280519318386</v>
      </c>
      <c r="K15" s="86">
        <f t="shared" si="0"/>
        <v>0.95548864070711892</v>
      </c>
      <c r="L15" s="87">
        <f t="shared" si="0"/>
        <v>0.96131476650620784</v>
      </c>
      <c r="M15" s="88">
        <f t="shared" si="0"/>
        <v>0.95885123036206998</v>
      </c>
    </row>
    <row r="16" spans="2:17" ht="17.25" customHeight="1">
      <c r="B16" s="449" t="s">
        <v>2099</v>
      </c>
      <c r="C16" s="89" t="s">
        <v>351</v>
      </c>
      <c r="D16" s="90">
        <f>VLOOKUP("新豐6線",'0124 4度C'!$A:$T,19,0)</f>
        <v>0.70833333333333337</v>
      </c>
      <c r="E16" s="91">
        <f>VLOOKUP("新豐2線",'0124 4度C'!$A:$T,19,0)</f>
        <v>0.20833333333333334</v>
      </c>
      <c r="F16" s="91">
        <f>VLOOKUP("新豐5線",'0124 4度C'!$A:$T,19,0)</f>
        <v>0.20833333333333334</v>
      </c>
      <c r="G16" s="91">
        <f>VLOOKUP("新豐7線",'0124 4度C'!$A:$T,19,0)</f>
        <v>0.20833333333333334</v>
      </c>
      <c r="H16" s="91">
        <f>VLOOKUP("新豐3線",'0124 4度C'!$A:$T,19,0)</f>
        <v>8.3333333333333329E-2</v>
      </c>
      <c r="I16" s="91">
        <f>VLOOKUP("新豐1線",'0124 4度C'!$A:$T,19,0)</f>
        <v>0.20833333333333334</v>
      </c>
      <c r="J16" s="92">
        <f>VLOOKUP("新豐10線",'0124 4度C'!$A:$T,19,0)</f>
        <v>0.20833333333333334</v>
      </c>
      <c r="K16" s="93">
        <f>VLOOKUP("新豐8線",'0124 4度C'!$A:$T,19,0)</f>
        <v>8.3333333333333329E-2</v>
      </c>
      <c r="L16" s="94">
        <f>VLOOKUP("新豐9線",'0124 4度C'!$A:$T,19,0)</f>
        <v>8.3333333333333329E-2</v>
      </c>
      <c r="M16" s="95">
        <f>VLOOKUP("新豐4線",'0124 4度C'!$A:$T,19,0)</f>
        <v>8.3333333333333329E-2</v>
      </c>
    </row>
    <row r="17" spans="2:13" ht="17.25" customHeight="1">
      <c r="B17" s="450"/>
      <c r="C17" s="89" t="s">
        <v>2100</v>
      </c>
      <c r="D17" s="93">
        <f>LOOKUP(2,1/(('0124 4度C'!$A:$A="新豐6線")*('0124 4度C'!$T:$T&lt;&gt;"")),'0124 4度C'!$T:$T)</f>
        <v>0.84930555555555565</v>
      </c>
      <c r="E17" s="91">
        <f>LOOKUP(2,1/(('0124 4度C'!$A:$A="新豐2線")*('0124 4度C'!$T:$T&lt;&gt;"")),'0124 4度C'!$T:$T)</f>
        <v>0.41874999999999996</v>
      </c>
      <c r="F17" s="91">
        <f>LOOKUP(2,1/(('0124 4度C'!$A:$A="新豐5線")*('0124 4度C'!$T:$T&lt;&gt;"")),'0124 4度C'!$T:$T)</f>
        <v>0.85972222222222228</v>
      </c>
      <c r="G17" s="91">
        <f>LOOKUP(2,1/(('0124 4度C'!$A:$A="新豐7線")*('0124 4度C'!$T:$T&lt;&gt;"")),'0124 4度C'!$T:$T)</f>
        <v>0.86319444444444449</v>
      </c>
      <c r="H17" s="91">
        <f>LOOKUP(2,1/(('0124 4度C'!$A:$A="新豐3線")*('0124 4度C'!$T:$T&lt;&gt;"")),'0124 4度C'!$T:$T)</f>
        <v>0.4812499999999999</v>
      </c>
      <c r="I17" s="91">
        <f>LOOKUP(2,1/(('0124 4度C'!$A:$A="新豐1線")*('0124 4度C'!$T:$T&lt;&gt;"")),'0124 4度C'!$T:$T)</f>
        <v>0.85833333333333328</v>
      </c>
      <c r="J17" s="92">
        <f>LOOKUP(2,1/(('0124 4度C'!$A:$A="新豐10線")*('0124 4度C'!$T:$T&lt;&gt;"")),'0124 4度C'!$T:$T)</f>
        <v>0.45138888888888878</v>
      </c>
      <c r="K17" s="90">
        <f>LOOKUP(2,1/(('0124 4度C'!$A:$A="新豐8線")*('0124 4度C'!$T:$T&lt;&gt;"")),'0124 4度C'!$T:$T)</f>
        <v>0.45486111111111105</v>
      </c>
      <c r="L17" s="91">
        <f>LOOKUP(2,1/(('0124 4度C'!$A:$A="新豐9線")*('0124 4度C'!$T:$T&lt;&gt;"")),'0124 4度C'!$T:$T)</f>
        <v>0.47847222222222213</v>
      </c>
      <c r="M17" s="92">
        <f>LOOKUP(2,1/(('0124 4度C'!$A:$A="新豐4線")*('0124 4度C'!$T:$T&lt;&gt;"")),'0124 4度C'!$T:$T)</f>
        <v>0.4513888888888889</v>
      </c>
    </row>
    <row r="18" spans="2:13" ht="17.25" customHeight="1">
      <c r="B18" s="428" t="s">
        <v>2101</v>
      </c>
      <c r="C18" s="96" t="s">
        <v>293</v>
      </c>
      <c r="D18" s="97">
        <f>SUMIFS('0124 4度C'!$Y:$Y,'0124 4度C'!$A:$A,"新豐6線",'0124 4度C'!$B:$B,"平均")</f>
        <v>0</v>
      </c>
      <c r="E18" s="98">
        <f>SUMIFS('0124 4度C'!$Y:$Y,'0124 4度C'!$A:$A,"新豐2線",'0124 4度C'!$B:$B,"平均")</f>
        <v>0</v>
      </c>
      <c r="F18" s="98">
        <f>SUMIFS('0124 4度C'!$Y:$Y,'0124 4度C'!$A:$A,"新豐5線",'0124 4度C'!$B:$B,"平均")</f>
        <v>0</v>
      </c>
      <c r="G18" s="98">
        <f>SUMIFS('0124 4度C'!$Y:$Y,'0124 4度C'!$A:$A,"新豐7線",'0124 4度C'!$B:$B,"平均")</f>
        <v>0</v>
      </c>
      <c r="H18" s="98">
        <f>SUMIFS('0124 4度C'!$Y:$Y,'0124 4度C'!$A:$A,"新豐3線",'0124 4度C'!$B:$B,"平均")</f>
        <v>0</v>
      </c>
      <c r="I18" s="98">
        <f>SUMIFS('0124 4度C'!$Y:$Y,'0124 4度C'!$A:$A,"新豐1線",'0124 4度C'!$B:$B,"平均")</f>
        <v>0</v>
      </c>
      <c r="J18" s="99">
        <f>SUMIFS('0124 4度C'!$Y:$Y,'0124 4度C'!$A:$A,"新豐10線",'0124 4度C'!$B:$B,"平均")</f>
        <v>0</v>
      </c>
      <c r="K18" s="100">
        <f>SUMIFS('0124 4度C'!$Y:$Y,'0124 4度C'!$A:$A,"新豐8線",'0124 4度C'!$B:$B,"平均")</f>
        <v>0</v>
      </c>
      <c r="L18" s="98">
        <f>SUMIFS('0124 4度C'!$Y:$Y,'0124 4度C'!$A:$A,"新豐9線",'0124 4度C'!$B:$B,"平均")</f>
        <v>0</v>
      </c>
      <c r="M18" s="99">
        <f>SUMIFS('0124 4度C'!$Y:$Y,'0124 4度C'!$A:$A,"新豐4線",'0124 4度C'!$B:$B,"平均")</f>
        <v>0</v>
      </c>
    </row>
    <row r="19" spans="2:13" ht="17.25" customHeight="1">
      <c r="B19" s="429"/>
      <c r="C19" s="96" t="s">
        <v>42</v>
      </c>
      <c r="D19" s="97">
        <f>SUMIFS('0124 4度C'!$Z:$Z,'0124 4度C'!$A:$A,"新豐6線",'0124 4度C'!$B:$B,"平均")</f>
        <v>0</v>
      </c>
      <c r="E19" s="98">
        <f>SUMIFS('0124 4度C'!$Z:$Z,'0124 4度C'!$A:$A,"新豐2線",'0124 4度C'!$B:$B,"平均")</f>
        <v>0</v>
      </c>
      <c r="F19" s="98">
        <f>SUMIFS('0124 4度C'!$Z:$Z,'0124 4度C'!$A:$A,"新豐5線",'0124 4度C'!$B:$B,"平均")</f>
        <v>0</v>
      </c>
      <c r="G19" s="98">
        <f>SUMIFS('0124 4度C'!$Z:$Z,'0124 4度C'!$A:$A,"新豐7線",'0124 4度C'!$B:$B,"平均")</f>
        <v>0</v>
      </c>
      <c r="H19" s="98">
        <f>SUMIFS('0124 4度C'!$Z:$Z,'0124 4度C'!$A:$A,"新豐3線",'0124 4度C'!$B:$B,"平均")</f>
        <v>0</v>
      </c>
      <c r="I19" s="98">
        <f>SUMIFS('0124 4度C'!$Z:$Z,'0124 4度C'!$A:$A,"新豐1線",'0124 4度C'!$B:$B,"平均")</f>
        <v>0</v>
      </c>
      <c r="J19" s="99">
        <f>SUMIFS('0124 4度C'!$Z:$Z,'0124 4度C'!$A:$A,"新豐10線",'0124 4度C'!$B:$B,"平均")</f>
        <v>0</v>
      </c>
      <c r="K19" s="100">
        <f>SUMIFS('0124 4度C'!$Z:$Z,'0124 4度C'!$A:$A,"新豐8線",'0124 4度C'!$B:$B,"平均")</f>
        <v>0</v>
      </c>
      <c r="L19" s="98">
        <f>SUMIFS('0124 4度C'!$Z:$Z,'0124 4度C'!$A:$A,"新豐9線",'0124 4度C'!$B:$B,"平均")</f>
        <v>0</v>
      </c>
      <c r="M19" s="99">
        <f>SUMIFS('0124 4度C'!$Z:$Z,'0124 4度C'!$A:$A,"新豐4線",'0124 4度C'!$B:$B,"平均")</f>
        <v>0</v>
      </c>
    </row>
    <row r="20" spans="2:13" ht="17.25" customHeight="1">
      <c r="B20" s="428" t="s">
        <v>2102</v>
      </c>
      <c r="C20" s="96" t="s">
        <v>2103</v>
      </c>
      <c r="D20" s="97">
        <f>SUMIFS('0124 4度C'!$AC:$AC,'0124 4度C'!$A:$A,"新豐6線",'0124 4度C'!$B:$B,"平均")</f>
        <v>1</v>
      </c>
      <c r="E20" s="98">
        <f>SUMIFS('0124 4度C'!$AC:$AC,'0124 4度C'!$A:$A,"新豐2線",'0124 4度C'!$B:$B,"平均")</f>
        <v>2</v>
      </c>
      <c r="F20" s="98">
        <f>SUMIFS('0124 4度C'!$AC:$AC,'0124 4度C'!$A:$A,"新豐5線",'0124 4度C'!$B:$B,"平均")</f>
        <v>3</v>
      </c>
      <c r="G20" s="98">
        <f>SUMIFS('0124 4度C'!$AC:$AC,'0124 4度C'!$A:$A,"新豐7線",'0124 4度C'!$B:$B,"平均")</f>
        <v>3</v>
      </c>
      <c r="H20" s="98">
        <f>SUMIFS('0124 4度C'!$AC:$AC,'0124 4度C'!$A:$A,"新豐3線",'0124 4度C'!$B:$B,"平均")</f>
        <v>1</v>
      </c>
      <c r="I20" s="98">
        <f>SUMIFS('0124 4度C'!$AC:$AC,'0124 4度C'!$A:$A,"新豐1線",'0124 4度C'!$B:$B,"平均")</f>
        <v>4</v>
      </c>
      <c r="J20" s="99">
        <f>SUMIFS('0124 4度C'!$AC:$AC,'0124 4度C'!$A:$A,"新豐10線",'0124 4度C'!$B:$B,"平均")</f>
        <v>1</v>
      </c>
      <c r="K20" s="100">
        <f>SUMIFS('0124 4度C'!$AC:$AC,'0124 4度C'!$A:$A,"新豐8線",'0124 4度C'!$B:$B,"平均")</f>
        <v>6</v>
      </c>
      <c r="L20" s="98">
        <f>SUMIFS('0124 4度C'!$AC:$AC,'0124 4度C'!$A:$A,"新豐9線",'0124 4度C'!$B:$B,"平均")</f>
        <v>6</v>
      </c>
      <c r="M20" s="99">
        <f>SUMIFS('0124 4度C'!$AC:$AC,'0124 4度C'!$A:$A,"新豐4線",'0124 4度C'!$B:$B,"平均")</f>
        <v>6</v>
      </c>
    </row>
    <row r="21" spans="2:13" ht="17.25" customHeight="1">
      <c r="B21" s="429"/>
      <c r="C21" s="96" t="s">
        <v>2104</v>
      </c>
      <c r="D21" s="97">
        <f>SUMIFS('0124 4度C'!$AD:$AD,'0124 4度C'!$A:$A,"新豐6線",'0124 4度C'!$B:$B,"平均")</f>
        <v>0</v>
      </c>
      <c r="E21" s="98">
        <f>SUMIFS('0124 4度C'!$AD:$AD,'0124 4度C'!$A:$A,"新豐2線",'0124 4度C'!$B:$B,"平均")</f>
        <v>0</v>
      </c>
      <c r="F21" s="98">
        <f>SUMIFS('0124 4度C'!$AD:$AD,'0124 4度C'!$A:$A,"新豐5線",'0124 4度C'!$B:$B,"平均")</f>
        <v>0</v>
      </c>
      <c r="G21" s="98">
        <f>SUMIFS('0124 4度C'!$AD:$AD,'0124 4度C'!$A:$A,"新豐7線",'0124 4度C'!$B:$B,"平均")</f>
        <v>0</v>
      </c>
      <c r="H21" s="98">
        <f>SUMIFS('0124 4度C'!$AD:$AD,'0124 4度C'!$A:$A,"新豐3線",'0124 4度C'!$B:$B,"平均")</f>
        <v>0</v>
      </c>
      <c r="I21" s="98">
        <f>SUMIFS('0124 4度C'!$AD:$AD,'0124 4度C'!$A:$A,"新豐1線",'0124 4度C'!$B:$B,"平均")</f>
        <v>0</v>
      </c>
      <c r="J21" s="99">
        <f>SUMIFS('0124 4度C'!$AD:$AD,'0124 4度C'!$A:$A,"新豐10線",'0124 4度C'!$B:$B,"平均")</f>
        <v>0</v>
      </c>
      <c r="K21" s="100">
        <f>SUMIFS('0124 4度C'!$AD:$AD,'0124 4度C'!$A:$A,"新豐8線",'0124 4度C'!$B:$B,"平均")</f>
        <v>0</v>
      </c>
      <c r="L21" s="98">
        <f>SUMIFS('0124 4度C'!$AD:$AD,'0124 4度C'!$A:$A,"新豐9線",'0124 4度C'!$B:$B,"平均")</f>
        <v>0</v>
      </c>
      <c r="M21" s="99">
        <f>SUMIFS('0124 4度C'!$AD:$AD,'0124 4度C'!$A:$A,"新豐4線",'0124 4度C'!$B:$B,"平均")</f>
        <v>0</v>
      </c>
    </row>
    <row r="22" spans="2:13" ht="17.25" customHeight="1">
      <c r="B22" s="430" t="s">
        <v>2105</v>
      </c>
      <c r="C22" s="431"/>
      <c r="D22" s="101">
        <f>SUMIFS('0124 4度C'!$I:$I,'0124 4度C'!$A:$A,"新豐6線",'0124 4度C'!$B:$B,"平均")</f>
        <v>17.600000000000001</v>
      </c>
      <c r="E22" s="102">
        <f>SUMIFS('0124 4度C'!$I:$I,'0124 4度C'!$A:$A,"新豐2線",'0124 4度C'!$B:$B,"平均")</f>
        <v>18</v>
      </c>
      <c r="F22" s="102">
        <f>SUMIFS('0124 4度C'!$I:$I,'0124 4度C'!$A:$A,"新豐5線",'0124 4度C'!$B:$B,"平均")</f>
        <v>17.166666666666668</v>
      </c>
      <c r="G22" s="102">
        <f>SUMIFS('0124 4度C'!$I:$I,'0124 4度C'!$A:$A,"新豐7線",'0124 4度C'!$B:$B,"平均")</f>
        <v>15.714285714285714</v>
      </c>
      <c r="H22" s="102">
        <f>SUMIFS('0124 4度C'!$I:$I,'0124 4度C'!$A:$A,"新豐3線",'0124 4度C'!$B:$B,"平均")</f>
        <v>10</v>
      </c>
      <c r="I22" s="102">
        <f>SUMIFS('0124 4度C'!$I:$I,'0124 4度C'!$A:$A,"新豐1線",'0124 4度C'!$B:$B,"平均")</f>
        <v>18.666666666666668</v>
      </c>
      <c r="J22" s="103">
        <f>SUMIFS('0124 4度C'!$I:$I,'0124 4度C'!$A:$A,"新豐10線",'0124 4度C'!$B:$B,"平均")</f>
        <v>10.6</v>
      </c>
      <c r="K22" s="101">
        <f>SUMIFS('0124 4度C'!$I:$I,'0124 4度C'!$A:$A,"新豐8線",'0124 4度C'!$B:$B,"平均")</f>
        <v>18.2</v>
      </c>
      <c r="L22" s="102">
        <f>SUMIFS('0124 4度C'!$I:$I,'0124 4度C'!$A:$A,"新豐9線",'0124 4度C'!$B:$B,"平均")</f>
        <v>17.833333333333332</v>
      </c>
      <c r="M22" s="103">
        <f>SUMIFS('0124 4度C'!$I:$I,'0124 4度C'!$A:$A,"新豐4線",'0124 4度C'!$B:$B,"平均")</f>
        <v>16.399999999999999</v>
      </c>
    </row>
    <row r="23" spans="2:13" ht="17.25" customHeight="1">
      <c r="B23" s="430" t="s">
        <v>2106</v>
      </c>
      <c r="C23" s="431"/>
      <c r="D23" s="104" t="s">
        <v>157</v>
      </c>
      <c r="E23" s="105" t="s">
        <v>158</v>
      </c>
      <c r="F23" s="105" t="s">
        <v>197</v>
      </c>
      <c r="G23" s="105" t="s">
        <v>2107</v>
      </c>
      <c r="H23" s="105" t="s">
        <v>159</v>
      </c>
      <c r="I23" s="105" t="s">
        <v>157</v>
      </c>
      <c r="J23" s="106" t="s">
        <v>159</v>
      </c>
      <c r="K23" s="104" t="s">
        <v>2108</v>
      </c>
      <c r="L23" s="105" t="s">
        <v>2109</v>
      </c>
      <c r="M23" s="106" t="s">
        <v>2108</v>
      </c>
    </row>
    <row r="24" spans="2:13" ht="17.25" customHeight="1">
      <c r="B24" s="430" t="s">
        <v>2110</v>
      </c>
      <c r="C24" s="431"/>
      <c r="D24" s="104"/>
      <c r="E24" s="105"/>
      <c r="F24" s="105" t="s">
        <v>2111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2112</v>
      </c>
      <c r="C25" s="433"/>
      <c r="D25" s="107"/>
      <c r="E25" s="108" t="s">
        <v>203</v>
      </c>
      <c r="F25" s="426" t="s">
        <v>2113</v>
      </c>
      <c r="G25" s="427"/>
      <c r="H25" s="108" t="s">
        <v>2114</v>
      </c>
      <c r="I25" s="108" t="s">
        <v>2115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9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38" activePane="bottomLeft" state="frozen"/>
      <selection activeCell="A9" sqref="A9"/>
      <selection pane="bottomLeft" activeCell="A5" sqref="A5:A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2116</v>
      </c>
      <c r="B1" s="1"/>
      <c r="C1" s="2" t="s">
        <v>1</v>
      </c>
      <c r="D1" s="3">
        <f>SUM(F5:F71)</f>
        <v>137697</v>
      </c>
      <c r="E1" s="358" t="s">
        <v>2117</v>
      </c>
      <c r="F1" s="1">
        <f>SUM(G5:G71)</f>
        <v>4805209.4200000009</v>
      </c>
      <c r="G1" s="1" t="s">
        <v>465</v>
      </c>
      <c r="H1" s="5">
        <f>L10+L13+L49+L59+L20+L65+L34+L41+L28+L71</f>
        <v>160.18095238095239</v>
      </c>
      <c r="I1" s="542" t="s">
        <v>2118</v>
      </c>
      <c r="J1" s="542"/>
      <c r="K1" s="542"/>
      <c r="L1" s="542" t="s">
        <v>2119</v>
      </c>
      <c r="M1" s="542"/>
      <c r="N1" s="542"/>
      <c r="O1" s="542" t="s">
        <v>262</v>
      </c>
      <c r="P1" s="542"/>
      <c r="Q1" s="542"/>
      <c r="R1" s="542"/>
      <c r="S1" s="542" t="s">
        <v>2120</v>
      </c>
      <c r="T1" s="542"/>
      <c r="U1" s="542"/>
      <c r="V1" s="542"/>
      <c r="W1" s="542"/>
      <c r="X1" s="542"/>
      <c r="Y1" s="6" t="s">
        <v>377</v>
      </c>
      <c r="Z1" s="7" t="s">
        <v>265</v>
      </c>
      <c r="AA1" s="543" t="s">
        <v>266</v>
      </c>
      <c r="AB1" s="543"/>
      <c r="AC1" s="8" t="s">
        <v>2121</v>
      </c>
      <c r="AD1" s="7" t="s">
        <v>2122</v>
      </c>
      <c r="AE1" s="542" t="s">
        <v>268</v>
      </c>
      <c r="AF1" s="544"/>
      <c r="AG1" s="544"/>
    </row>
    <row r="2" spans="1:33" ht="26.25" customHeight="1">
      <c r="A2" s="49">
        <v>46046</v>
      </c>
      <c r="B2" s="50" t="s">
        <v>382</v>
      </c>
      <c r="C2" s="2" t="s">
        <v>2096</v>
      </c>
      <c r="D2" s="10">
        <f>AVERAGE(N10,N13,N49,N59,N20,N65,N28,N34,N41,N71)</f>
        <v>137.05730975645838</v>
      </c>
      <c r="E2" s="11" t="s">
        <v>14</v>
      </c>
      <c r="F2" s="12">
        <f>F1/D1</f>
        <v>34.896979745382986</v>
      </c>
      <c r="G2" s="1" t="s">
        <v>383</v>
      </c>
      <c r="H2" s="368">
        <f>COUNT(H5:H71)</f>
        <v>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SUM(Y10+Y13+Y20+Y28+Y34+Y41+Y49+Y59+Y65+Y71)</f>
        <v>0</v>
      </c>
      <c r="Z2" s="14">
        <f>SUM(Z10+Z13+Z20+Z28+Z34+Z41+Z49+Z59+Z65+Z71)</f>
        <v>0</v>
      </c>
      <c r="AA2" s="543"/>
      <c r="AB2" s="543"/>
      <c r="AC2" s="14">
        <v>33</v>
      </c>
      <c r="AD2" s="14">
        <f>SUM(AD10+AD13+AD20+AD28+AD34+AD41+AD49+AD59+AD65+AD71)</f>
        <v>0</v>
      </c>
      <c r="AE2" s="544"/>
      <c r="AF2" s="544"/>
      <c r="AG2" s="544"/>
    </row>
    <row r="3" spans="1:33" ht="40.5" customHeight="1">
      <c r="A3" s="491" t="s">
        <v>2123</v>
      </c>
      <c r="B3" s="491" t="s">
        <v>2124</v>
      </c>
      <c r="C3" s="491" t="s">
        <v>2125</v>
      </c>
      <c r="D3" s="491"/>
      <c r="E3" s="540" t="s">
        <v>274</v>
      </c>
      <c r="F3" s="491" t="s">
        <v>20</v>
      </c>
      <c r="G3" s="540" t="s">
        <v>2126</v>
      </c>
      <c r="H3" s="533" t="s">
        <v>2127</v>
      </c>
      <c r="I3" s="531" t="s">
        <v>23</v>
      </c>
      <c r="J3" s="528" t="s">
        <v>2128</v>
      </c>
      <c r="K3" s="538" t="s">
        <v>183</v>
      </c>
      <c r="L3" s="531" t="s">
        <v>2129</v>
      </c>
      <c r="M3" s="528" t="s">
        <v>2130</v>
      </c>
      <c r="N3" s="538" t="s">
        <v>2131</v>
      </c>
      <c r="O3" s="531" t="s">
        <v>2129</v>
      </c>
      <c r="P3" s="538" t="s">
        <v>2131</v>
      </c>
      <c r="Q3" s="529" t="s">
        <v>2132</v>
      </c>
      <c r="R3" s="507" t="s">
        <v>2133</v>
      </c>
      <c r="S3" s="539" t="s">
        <v>27</v>
      </c>
      <c r="T3" s="539"/>
      <c r="U3" s="533" t="s">
        <v>28</v>
      </c>
      <c r="V3" s="533" t="s">
        <v>2134</v>
      </c>
      <c r="W3" s="491" t="s">
        <v>2135</v>
      </c>
      <c r="X3" s="491"/>
      <c r="Y3" s="534" t="s">
        <v>2136</v>
      </c>
      <c r="Z3" s="495"/>
      <c r="AA3" s="535" t="s">
        <v>286</v>
      </c>
      <c r="AB3" s="536"/>
      <c r="AC3" s="534" t="s">
        <v>2137</v>
      </c>
      <c r="AD3" s="495"/>
      <c r="AE3" s="528" t="s">
        <v>2138</v>
      </c>
      <c r="AF3" s="529" t="s">
        <v>2139</v>
      </c>
      <c r="AG3" s="507" t="s">
        <v>2140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67" t="s">
        <v>37</v>
      </c>
      <c r="T4" s="367" t="s">
        <v>38</v>
      </c>
      <c r="U4" s="533"/>
      <c r="V4" s="533"/>
      <c r="W4" s="358" t="s">
        <v>2141</v>
      </c>
      <c r="X4" s="358" t="s">
        <v>2142</v>
      </c>
      <c r="Y4" s="360" t="s">
        <v>2143</v>
      </c>
      <c r="Z4" s="360" t="s">
        <v>42</v>
      </c>
      <c r="AA4" s="537"/>
      <c r="AB4" s="536"/>
      <c r="AC4" s="360" t="s">
        <v>2144</v>
      </c>
      <c r="AD4" s="360" t="s">
        <v>2145</v>
      </c>
      <c r="AE4" s="528"/>
      <c r="AF4" s="529"/>
      <c r="AG4" s="507"/>
    </row>
    <row r="5" spans="1:33">
      <c r="A5" s="530" t="s">
        <v>2146</v>
      </c>
      <c r="B5" s="42" t="s">
        <v>103</v>
      </c>
      <c r="C5" s="532" t="s">
        <v>120</v>
      </c>
      <c r="D5" s="532"/>
      <c r="E5" s="42">
        <v>50.67</v>
      </c>
      <c r="F5" s="367">
        <v>1193</v>
      </c>
      <c r="G5" s="358">
        <f t="shared" ref="G5:G9" si="0">E5*F5</f>
        <v>60449.310000000005</v>
      </c>
      <c r="H5" s="369" t="s">
        <v>79</v>
      </c>
      <c r="I5" s="365">
        <v>17</v>
      </c>
      <c r="J5" s="37">
        <v>2000</v>
      </c>
      <c r="K5" s="17">
        <f t="shared" ref="K5:K68" si="1">J5/I5</f>
        <v>117.64705882352941</v>
      </c>
      <c r="L5" s="365">
        <v>17</v>
      </c>
      <c r="M5" s="18">
        <f t="shared" ref="M5:M9" si="2">F5/V5*60</f>
        <v>1934.5945945945932</v>
      </c>
      <c r="N5" s="17">
        <f t="shared" ref="N5:N68" si="3">M5/L5</f>
        <v>113.79968203497607</v>
      </c>
      <c r="O5" s="19">
        <f t="shared" ref="O5:O68" si="4">L5-I5</f>
        <v>0</v>
      </c>
      <c r="P5" s="20">
        <f t="shared" ref="P5:P68" si="5">N5-K5</f>
        <v>-3.8473767885533334</v>
      </c>
      <c r="Q5" s="361">
        <f t="shared" ref="Q5:Q68" si="6">N5/K5</f>
        <v>0.96729729729729663</v>
      </c>
      <c r="R5" s="489">
        <f>Q10</f>
        <v>0.97157077502016509</v>
      </c>
      <c r="S5" s="40">
        <v>0.70833333333333337</v>
      </c>
      <c r="T5" s="40">
        <v>0.73402777777777783</v>
      </c>
      <c r="U5" s="358"/>
      <c r="V5" s="366">
        <f t="shared" ref="V5:V9" si="7">(T5-S5)*24*60</f>
        <v>37.000000000000028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-65.405405405406782</v>
      </c>
      <c r="AF5" s="361">
        <f t="shared" ref="AF5:AF68" si="9">M5/J5</f>
        <v>0.96729729729729663</v>
      </c>
      <c r="AG5" s="489">
        <f>AF10</f>
        <v>0.97157077502016509</v>
      </c>
    </row>
    <row r="6" spans="1:33">
      <c r="A6" s="531" t="s">
        <v>2147</v>
      </c>
      <c r="B6" s="42" t="s">
        <v>103</v>
      </c>
      <c r="C6" s="532" t="s">
        <v>121</v>
      </c>
      <c r="D6" s="532"/>
      <c r="E6" s="42">
        <v>54.09</v>
      </c>
      <c r="F6" s="367">
        <v>1129</v>
      </c>
      <c r="G6" s="358">
        <f t="shared" si="0"/>
        <v>61067.61</v>
      </c>
      <c r="H6" s="369" t="s">
        <v>79</v>
      </c>
      <c r="I6" s="365">
        <v>19</v>
      </c>
      <c r="J6" s="37">
        <v>2000</v>
      </c>
      <c r="K6" s="17">
        <f t="shared" si="1"/>
        <v>105.26315789473684</v>
      </c>
      <c r="L6" s="365">
        <v>19</v>
      </c>
      <c r="M6" s="18">
        <f t="shared" si="2"/>
        <v>1935.4285714285695</v>
      </c>
      <c r="N6" s="17">
        <f t="shared" si="3"/>
        <v>101.86466165413523</v>
      </c>
      <c r="O6" s="19">
        <f t="shared" si="4"/>
        <v>0</v>
      </c>
      <c r="P6" s="20">
        <f t="shared" si="5"/>
        <v>-3.3984962406016024</v>
      </c>
      <c r="Q6" s="361">
        <f t="shared" si="6"/>
        <v>0.96771428571428475</v>
      </c>
      <c r="R6" s="489"/>
      <c r="S6" s="40">
        <v>0.73958333333333337</v>
      </c>
      <c r="T6" s="40">
        <v>0.76388888888888895</v>
      </c>
      <c r="U6" s="358">
        <f t="shared" ref="U6:U9" si="10">IF(S6=TIME(17,0,0),"",(S6-T5)*24*60)</f>
        <v>7.9999999999999716</v>
      </c>
      <c r="V6" s="366">
        <f t="shared" si="7"/>
        <v>35.000000000000036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-64.571428571430488</v>
      </c>
      <c r="AF6" s="361">
        <f t="shared" si="9"/>
        <v>0.96771428571428475</v>
      </c>
      <c r="AG6" s="489"/>
    </row>
    <row r="7" spans="1:33">
      <c r="A7" s="531" t="s">
        <v>2147</v>
      </c>
      <c r="B7" s="42" t="s">
        <v>103</v>
      </c>
      <c r="C7" s="523" t="s">
        <v>122</v>
      </c>
      <c r="D7" s="524"/>
      <c r="E7" s="42">
        <v>50.29</v>
      </c>
      <c r="F7" s="367">
        <v>789</v>
      </c>
      <c r="G7" s="358">
        <f t="shared" si="0"/>
        <v>39678.81</v>
      </c>
      <c r="H7" s="369" t="s">
        <v>79</v>
      </c>
      <c r="I7" s="365">
        <v>16</v>
      </c>
      <c r="J7" s="37">
        <v>2000</v>
      </c>
      <c r="K7" s="17">
        <f t="shared" si="1"/>
        <v>125</v>
      </c>
      <c r="L7" s="365">
        <v>16</v>
      </c>
      <c r="M7" s="18">
        <f t="shared" si="2"/>
        <v>1972.4999999999941</v>
      </c>
      <c r="N7" s="17">
        <f t="shared" si="3"/>
        <v>123.28124999999963</v>
      </c>
      <c r="O7" s="19">
        <f t="shared" si="4"/>
        <v>0</v>
      </c>
      <c r="P7" s="20">
        <f t="shared" si="5"/>
        <v>-1.7187500000003695</v>
      </c>
      <c r="Q7" s="361">
        <f t="shared" si="6"/>
        <v>0.98624999999999707</v>
      </c>
      <c r="R7" s="489"/>
      <c r="S7" s="40">
        <v>0.7680555555555556</v>
      </c>
      <c r="T7" s="40">
        <v>0.78472222222222232</v>
      </c>
      <c r="U7" s="358">
        <f t="shared" si="10"/>
        <v>5.9999999999999787</v>
      </c>
      <c r="V7" s="366">
        <f t="shared" si="7"/>
        <v>24.000000000000075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-27.500000000005912</v>
      </c>
      <c r="AF7" s="361">
        <f t="shared" si="9"/>
        <v>0.98624999999999707</v>
      </c>
      <c r="AG7" s="489"/>
    </row>
    <row r="8" spans="1:33">
      <c r="A8" s="531" t="s">
        <v>2147</v>
      </c>
      <c r="B8" s="42" t="s">
        <v>103</v>
      </c>
      <c r="C8" s="523" t="s">
        <v>1708</v>
      </c>
      <c r="D8" s="524"/>
      <c r="E8" s="42">
        <v>57.3</v>
      </c>
      <c r="F8" s="367">
        <v>1618</v>
      </c>
      <c r="G8" s="358">
        <f t="shared" si="0"/>
        <v>92711.4</v>
      </c>
      <c r="H8" s="369" t="s">
        <v>79</v>
      </c>
      <c r="I8" s="365">
        <v>15</v>
      </c>
      <c r="J8" s="37">
        <v>2000</v>
      </c>
      <c r="K8" s="17">
        <f t="shared" si="1"/>
        <v>133.33333333333334</v>
      </c>
      <c r="L8" s="365">
        <v>15</v>
      </c>
      <c r="M8" s="18">
        <f t="shared" si="2"/>
        <v>1903.5294117647065</v>
      </c>
      <c r="N8" s="17">
        <f t="shared" si="3"/>
        <v>126.90196078431377</v>
      </c>
      <c r="O8" s="19">
        <f t="shared" si="4"/>
        <v>0</v>
      </c>
      <c r="P8" s="20">
        <f t="shared" si="5"/>
        <v>-6.4313725490195708</v>
      </c>
      <c r="Q8" s="361">
        <f t="shared" si="6"/>
        <v>0.95176470588235318</v>
      </c>
      <c r="R8" s="489"/>
      <c r="S8" s="40">
        <v>0.78958333333333341</v>
      </c>
      <c r="T8" s="40">
        <v>0.82500000000000007</v>
      </c>
      <c r="U8" s="358">
        <f t="shared" si="10"/>
        <v>6.9999999999999751</v>
      </c>
      <c r="V8" s="366">
        <f t="shared" si="7"/>
        <v>50.999999999999979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-96.470588235293462</v>
      </c>
      <c r="AF8" s="361">
        <f t="shared" si="9"/>
        <v>0.95176470588235329</v>
      </c>
      <c r="AG8" s="489"/>
    </row>
    <row r="9" spans="1:33">
      <c r="A9" s="531" t="s">
        <v>2147</v>
      </c>
      <c r="B9" s="42" t="s">
        <v>103</v>
      </c>
      <c r="C9" s="523" t="s">
        <v>515</v>
      </c>
      <c r="D9" s="524"/>
      <c r="E9" s="42">
        <v>50.67</v>
      </c>
      <c r="F9" s="367">
        <v>952</v>
      </c>
      <c r="G9" s="358">
        <f t="shared" si="0"/>
        <v>48237.840000000004</v>
      </c>
      <c r="H9" s="369" t="s">
        <v>79</v>
      </c>
      <c r="I9" s="365">
        <v>21</v>
      </c>
      <c r="J9" s="37">
        <v>2000</v>
      </c>
      <c r="K9" s="17">
        <f t="shared" si="1"/>
        <v>95.238095238095241</v>
      </c>
      <c r="L9" s="365">
        <v>21</v>
      </c>
      <c r="M9" s="18">
        <f t="shared" si="2"/>
        <v>1969.6551724137889</v>
      </c>
      <c r="N9" s="17">
        <f t="shared" si="3"/>
        <v>93.793103448275659</v>
      </c>
      <c r="O9" s="19">
        <f t="shared" si="4"/>
        <v>0</v>
      </c>
      <c r="P9" s="20">
        <f t="shared" si="5"/>
        <v>-1.4449917898195821</v>
      </c>
      <c r="Q9" s="361">
        <f t="shared" si="6"/>
        <v>0.98482758620689437</v>
      </c>
      <c r="R9" s="489"/>
      <c r="S9" s="40">
        <v>0.82916666666666672</v>
      </c>
      <c r="T9" s="40">
        <v>0.84930555555555565</v>
      </c>
      <c r="U9" s="358">
        <f t="shared" si="10"/>
        <v>5.9999999999999787</v>
      </c>
      <c r="V9" s="366">
        <f t="shared" si="7"/>
        <v>29.000000000000057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-30.344827586211068</v>
      </c>
      <c r="AF9" s="361">
        <f t="shared" si="9"/>
        <v>0.98482758620689448</v>
      </c>
      <c r="AG9" s="489"/>
    </row>
    <row r="10" spans="1:33">
      <c r="A10" s="531" t="s">
        <v>2147</v>
      </c>
      <c r="B10" s="42" t="s">
        <v>2148</v>
      </c>
      <c r="C10" s="494"/>
      <c r="D10" s="494"/>
      <c r="E10" s="362"/>
      <c r="F10" s="44"/>
      <c r="G10" s="17"/>
      <c r="H10" s="367"/>
      <c r="I10" s="30">
        <v>17.600000000000001</v>
      </c>
      <c r="J10" s="37">
        <v>2000</v>
      </c>
      <c r="K10" s="17">
        <f t="shared" si="1"/>
        <v>113.63636363636363</v>
      </c>
      <c r="L10" s="30">
        <v>17.600000000000001</v>
      </c>
      <c r="M10" s="18">
        <f>AVERAGE(M5:M9)</f>
        <v>1943.1415500403302</v>
      </c>
      <c r="N10" s="17">
        <f t="shared" si="3"/>
        <v>110.40576988865512</v>
      </c>
      <c r="O10" s="19">
        <f t="shared" si="4"/>
        <v>0</v>
      </c>
      <c r="P10" s="20">
        <f t="shared" si="5"/>
        <v>-3.2305937477085109</v>
      </c>
      <c r="Q10" s="361">
        <f t="shared" si="6"/>
        <v>0.97157077502016509</v>
      </c>
      <c r="R10" s="489"/>
      <c r="S10" s="40"/>
      <c r="T10" s="40"/>
      <c r="U10" s="358"/>
      <c r="V10" s="366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-56.85844995966977</v>
      </c>
      <c r="AF10" s="361">
        <f t="shared" si="9"/>
        <v>0.97157077502016509</v>
      </c>
      <c r="AG10" s="489"/>
    </row>
    <row r="11" spans="1:33" ht="15.75" customHeight="1">
      <c r="A11" s="527" t="s">
        <v>2149</v>
      </c>
      <c r="B11" s="42" t="s">
        <v>100</v>
      </c>
      <c r="C11" s="523" t="s">
        <v>124</v>
      </c>
      <c r="D11" s="524"/>
      <c r="E11" s="42">
        <v>39.619999999999997</v>
      </c>
      <c r="F11" s="367">
        <v>2722</v>
      </c>
      <c r="G11" s="358">
        <f t="shared" ref="G11:G12" si="11">E11*F11</f>
        <v>107845.64</v>
      </c>
      <c r="H11" s="369" t="s">
        <v>79</v>
      </c>
      <c r="I11" s="365">
        <v>19</v>
      </c>
      <c r="J11" s="37">
        <v>1500</v>
      </c>
      <c r="K11" s="17">
        <f t="shared" si="1"/>
        <v>78.94736842105263</v>
      </c>
      <c r="L11" s="365">
        <v>19</v>
      </c>
      <c r="M11" s="18">
        <f t="shared" ref="M11:M12" si="12">F11/V11*60</f>
        <v>1432.6315789473688</v>
      </c>
      <c r="N11" s="17">
        <f t="shared" si="3"/>
        <v>75.401662049861514</v>
      </c>
      <c r="O11" s="19">
        <f t="shared" si="4"/>
        <v>0</v>
      </c>
      <c r="P11" s="20">
        <f t="shared" si="5"/>
        <v>-3.5457063711911161</v>
      </c>
      <c r="Q11" s="361">
        <f t="shared" si="6"/>
        <v>0.95508771929824587</v>
      </c>
      <c r="R11" s="489">
        <f>Q13</f>
        <v>0.95439168573607935</v>
      </c>
      <c r="S11" s="40">
        <v>0.20833333333333334</v>
      </c>
      <c r="T11" s="40">
        <v>0.28749999999999998</v>
      </c>
      <c r="U11" s="358"/>
      <c r="V11" s="366">
        <f t="shared" ref="V11:V12" si="13">(T11-S11)*24*60</f>
        <v>113.99999999999996</v>
      </c>
      <c r="W11" s="23"/>
      <c r="X11" s="23"/>
      <c r="Y11" s="23"/>
      <c r="Z11" s="23"/>
      <c r="AA11" s="491"/>
      <c r="AB11" s="491"/>
      <c r="AC11" s="154">
        <v>2</v>
      </c>
      <c r="AD11" s="25"/>
      <c r="AE11" s="19">
        <f t="shared" si="8"/>
        <v>-67.36842105263122</v>
      </c>
      <c r="AF11" s="361">
        <f t="shared" si="9"/>
        <v>0.95508771929824587</v>
      </c>
      <c r="AG11" s="489">
        <f>AF13</f>
        <v>0.95439168573607946</v>
      </c>
    </row>
    <row r="12" spans="1:33" ht="15.75" customHeight="1">
      <c r="A12" s="527" t="s">
        <v>2149</v>
      </c>
      <c r="B12" s="42" t="s">
        <v>100</v>
      </c>
      <c r="C12" s="523" t="s">
        <v>125</v>
      </c>
      <c r="D12" s="524"/>
      <c r="E12" s="42">
        <v>39.799999999999997</v>
      </c>
      <c r="F12" s="367">
        <v>4387</v>
      </c>
      <c r="G12" s="358">
        <f t="shared" si="11"/>
        <v>174602.59999999998</v>
      </c>
      <c r="H12" s="369" t="s">
        <v>79</v>
      </c>
      <c r="I12" s="365">
        <v>17</v>
      </c>
      <c r="J12" s="37">
        <v>1500</v>
      </c>
      <c r="K12" s="17">
        <f t="shared" si="1"/>
        <v>88.235294117647058</v>
      </c>
      <c r="L12" s="365">
        <v>17</v>
      </c>
      <c r="M12" s="18">
        <f t="shared" si="12"/>
        <v>1430.5434782608695</v>
      </c>
      <c r="N12" s="17">
        <f t="shared" si="3"/>
        <v>84.149616368286445</v>
      </c>
      <c r="O12" s="19">
        <f t="shared" si="4"/>
        <v>0</v>
      </c>
      <c r="P12" s="20">
        <f t="shared" si="5"/>
        <v>-4.0856777493606131</v>
      </c>
      <c r="Q12" s="361">
        <f t="shared" si="6"/>
        <v>0.95369565217391306</v>
      </c>
      <c r="R12" s="489"/>
      <c r="S12" s="40">
        <v>0.29097222222222219</v>
      </c>
      <c r="T12" s="40">
        <v>0.41874999999999996</v>
      </c>
      <c r="U12" s="358">
        <f t="shared" ref="U12" si="14">IF(S12=TIME(17,0,0),"",(S12-T11)*24*60)</f>
        <v>4.9999999999999822</v>
      </c>
      <c r="V12" s="366">
        <f t="shared" si="13"/>
        <v>184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-69.456521739130494</v>
      </c>
      <c r="AF12" s="361">
        <f t="shared" si="9"/>
        <v>0.95369565217391306</v>
      </c>
      <c r="AG12" s="489"/>
    </row>
    <row r="13" spans="1:33" ht="16.5" customHeight="1">
      <c r="A13" s="527" t="s">
        <v>2149</v>
      </c>
      <c r="B13" s="42" t="s">
        <v>2148</v>
      </c>
      <c r="C13" s="494"/>
      <c r="D13" s="494"/>
      <c r="E13" s="362"/>
      <c r="F13" s="37"/>
      <c r="G13" s="18"/>
      <c r="H13" s="367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1431.5875286041191</v>
      </c>
      <c r="N13" s="17">
        <f t="shared" si="3"/>
        <v>79.532640478006613</v>
      </c>
      <c r="O13" s="19">
        <f t="shared" si="4"/>
        <v>0</v>
      </c>
      <c r="P13" s="20">
        <f t="shared" si="5"/>
        <v>-3.8006928553267159</v>
      </c>
      <c r="Q13" s="361">
        <f t="shared" si="6"/>
        <v>0.95439168573607935</v>
      </c>
      <c r="R13" s="489"/>
      <c r="S13" s="40"/>
      <c r="T13" s="40"/>
      <c r="U13" s="17"/>
      <c r="V13" s="366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-68.412471395880857</v>
      </c>
      <c r="AF13" s="361">
        <f t="shared" si="9"/>
        <v>0.95439168573607946</v>
      </c>
      <c r="AG13" s="489"/>
    </row>
    <row r="14" spans="1:33" ht="16.5" customHeight="1">
      <c r="A14" s="525" t="s">
        <v>2150</v>
      </c>
      <c r="B14" s="367" t="s">
        <v>126</v>
      </c>
      <c r="C14" s="515" t="s">
        <v>127</v>
      </c>
      <c r="D14" s="515"/>
      <c r="E14" s="42">
        <v>41</v>
      </c>
      <c r="F14" s="367">
        <v>2128</v>
      </c>
      <c r="G14" s="358">
        <f t="shared" ref="G14:G19" si="15">E14*F14</f>
        <v>87248</v>
      </c>
      <c r="H14" s="369" t="s">
        <v>79</v>
      </c>
      <c r="I14" s="365">
        <v>26</v>
      </c>
      <c r="J14" s="37">
        <v>1500</v>
      </c>
      <c r="K14" s="17">
        <f t="shared" si="1"/>
        <v>57.692307692307693</v>
      </c>
      <c r="L14" s="365">
        <v>26</v>
      </c>
      <c r="M14" s="18">
        <f t="shared" ref="M14:M19" si="16">F14/V14*60</f>
        <v>1434.6067415730329</v>
      </c>
      <c r="N14" s="17">
        <f t="shared" si="3"/>
        <v>55.17718236819357</v>
      </c>
      <c r="O14" s="19">
        <f t="shared" si="4"/>
        <v>0</v>
      </c>
      <c r="P14" s="20">
        <f t="shared" si="5"/>
        <v>-2.5151253241141234</v>
      </c>
      <c r="Q14" s="361">
        <f t="shared" si="6"/>
        <v>0.95640449438202191</v>
      </c>
      <c r="R14" s="489">
        <f>Q20</f>
        <v>0.96193009020339482</v>
      </c>
      <c r="S14" s="40">
        <v>0.20833333333333334</v>
      </c>
      <c r="T14" s="40">
        <v>0.27013888888888893</v>
      </c>
      <c r="U14" s="358"/>
      <c r="V14" s="366">
        <f t="shared" ref="V14:V19" si="17">(T14-S14)*24*60</f>
        <v>89.000000000000043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-65.393258426967122</v>
      </c>
      <c r="AF14" s="361">
        <f t="shared" si="9"/>
        <v>0.95640449438202191</v>
      </c>
      <c r="AG14" s="489">
        <f>AF20</f>
        <v>0.96193009020339482</v>
      </c>
    </row>
    <row r="15" spans="1:33" ht="16.5" customHeight="1">
      <c r="A15" s="526" t="s">
        <v>2150</v>
      </c>
      <c r="B15" s="367" t="s">
        <v>128</v>
      </c>
      <c r="C15" s="515" t="s">
        <v>129</v>
      </c>
      <c r="D15" s="515"/>
      <c r="E15" s="42">
        <v>72.400000000000006</v>
      </c>
      <c r="F15" s="367">
        <v>886</v>
      </c>
      <c r="G15" s="358">
        <f t="shared" si="15"/>
        <v>64146.400000000001</v>
      </c>
      <c r="H15" s="369" t="s">
        <v>79</v>
      </c>
      <c r="I15" s="365">
        <v>18</v>
      </c>
      <c r="J15" s="37">
        <v>1500</v>
      </c>
      <c r="K15" s="17">
        <f t="shared" si="1"/>
        <v>83.333333333333329</v>
      </c>
      <c r="L15" s="365">
        <v>18</v>
      </c>
      <c r="M15" s="18">
        <f t="shared" si="16"/>
        <v>1436.7567567567555</v>
      </c>
      <c r="N15" s="17">
        <f t="shared" si="3"/>
        <v>79.819819819819756</v>
      </c>
      <c r="O15" s="19">
        <f t="shared" si="4"/>
        <v>0</v>
      </c>
      <c r="P15" s="20">
        <f t="shared" si="5"/>
        <v>-3.5135135135135727</v>
      </c>
      <c r="Q15" s="361">
        <f t="shared" si="6"/>
        <v>0.95783783783783716</v>
      </c>
      <c r="R15" s="489"/>
      <c r="S15" s="40">
        <v>0.27430555555555558</v>
      </c>
      <c r="T15" s="40">
        <v>0.30000000000000004</v>
      </c>
      <c r="U15" s="358">
        <f t="shared" ref="U15:U19" si="18">IF(S15=TIME(17,0,0),"",(S15-T14)*24*60)</f>
        <v>5.9999999999999787</v>
      </c>
      <c r="V15" s="366">
        <f t="shared" si="17"/>
        <v>37.000000000000028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-63.243243243244478</v>
      </c>
      <c r="AF15" s="361">
        <f t="shared" si="9"/>
        <v>0.95783783783783705</v>
      </c>
      <c r="AG15" s="489"/>
    </row>
    <row r="16" spans="1:33" ht="16.5" customHeight="1">
      <c r="A16" s="526" t="s">
        <v>2150</v>
      </c>
      <c r="B16" s="367" t="s">
        <v>103</v>
      </c>
      <c r="C16" s="515" t="s">
        <v>123</v>
      </c>
      <c r="D16" s="515"/>
      <c r="E16" s="42">
        <v>50.98</v>
      </c>
      <c r="F16" s="367">
        <v>1000</v>
      </c>
      <c r="G16" s="358">
        <f t="shared" si="15"/>
        <v>50980</v>
      </c>
      <c r="H16" s="369">
        <v>2</v>
      </c>
      <c r="I16" s="365">
        <v>16</v>
      </c>
      <c r="J16" s="37">
        <v>2000</v>
      </c>
      <c r="K16" s="17">
        <f t="shared" si="1"/>
        <v>125</v>
      </c>
      <c r="L16" s="365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361">
        <f t="shared" si="6"/>
        <v>0.96774193548386944</v>
      </c>
      <c r="R16" s="489"/>
      <c r="S16" s="40">
        <v>0.70833333333333337</v>
      </c>
      <c r="T16" s="40">
        <v>0.72986111111111118</v>
      </c>
      <c r="U16" s="358" t="str">
        <f t="shared" si="18"/>
        <v/>
      </c>
      <c r="V16" s="366">
        <f t="shared" si="17"/>
        <v>31.00000000000005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-64.516129032261006</v>
      </c>
      <c r="AF16" s="361">
        <f t="shared" si="9"/>
        <v>0.96774193548386944</v>
      </c>
      <c r="AG16" s="489"/>
    </row>
    <row r="17" spans="1:33" ht="16.5" customHeight="1">
      <c r="A17" s="526" t="s">
        <v>2150</v>
      </c>
      <c r="B17" s="367" t="s">
        <v>103</v>
      </c>
      <c r="C17" s="515" t="s">
        <v>132</v>
      </c>
      <c r="D17" s="515"/>
      <c r="E17" s="42">
        <v>50.92</v>
      </c>
      <c r="F17" s="367">
        <v>2193</v>
      </c>
      <c r="G17" s="358">
        <f t="shared" si="15"/>
        <v>111667.56</v>
      </c>
      <c r="H17" s="369" t="s">
        <v>79</v>
      </c>
      <c r="I17" s="365">
        <v>15</v>
      </c>
      <c r="J17" s="37">
        <v>2000</v>
      </c>
      <c r="K17" s="17">
        <f t="shared" si="1"/>
        <v>133.33333333333334</v>
      </c>
      <c r="L17" s="365">
        <v>15</v>
      </c>
      <c r="M17" s="18">
        <f t="shared" si="16"/>
        <v>1906.9565217391284</v>
      </c>
      <c r="N17" s="17">
        <f t="shared" si="3"/>
        <v>127.13043478260856</v>
      </c>
      <c r="O17" s="19">
        <f t="shared" si="4"/>
        <v>0</v>
      </c>
      <c r="P17" s="20">
        <f t="shared" si="5"/>
        <v>-6.2028985507247825</v>
      </c>
      <c r="Q17" s="361">
        <f t="shared" si="6"/>
        <v>0.95347826086956411</v>
      </c>
      <c r="R17" s="489"/>
      <c r="S17" s="40">
        <v>0.73402777777777783</v>
      </c>
      <c r="T17" s="40">
        <v>0.78194444444444455</v>
      </c>
      <c r="U17" s="358">
        <f t="shared" si="18"/>
        <v>5.9999999999999787</v>
      </c>
      <c r="V17" s="366">
        <f t="shared" si="17"/>
        <v>69.000000000000071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-93.043478260871552</v>
      </c>
      <c r="AF17" s="361">
        <f t="shared" si="9"/>
        <v>0.95347826086956422</v>
      </c>
      <c r="AG17" s="489"/>
    </row>
    <row r="18" spans="1:33" ht="16.5" customHeight="1">
      <c r="A18" s="526" t="s">
        <v>2150</v>
      </c>
      <c r="B18" s="367" t="s">
        <v>103</v>
      </c>
      <c r="C18" s="515" t="s">
        <v>133</v>
      </c>
      <c r="D18" s="515"/>
      <c r="E18" s="42">
        <v>50.67</v>
      </c>
      <c r="F18" s="367">
        <v>1414</v>
      </c>
      <c r="G18" s="358">
        <f t="shared" si="15"/>
        <v>71647.38</v>
      </c>
      <c r="H18" s="369" t="s">
        <v>79</v>
      </c>
      <c r="I18" s="365">
        <v>15</v>
      </c>
      <c r="J18" s="37">
        <v>2000</v>
      </c>
      <c r="K18" s="17">
        <f t="shared" si="1"/>
        <v>133.33333333333334</v>
      </c>
      <c r="L18" s="365">
        <v>15</v>
      </c>
      <c r="M18" s="18">
        <f t="shared" si="16"/>
        <v>1928.181818181818</v>
      </c>
      <c r="N18" s="17">
        <f t="shared" si="3"/>
        <v>128.54545454545453</v>
      </c>
      <c r="O18" s="19">
        <f t="shared" si="4"/>
        <v>0</v>
      </c>
      <c r="P18" s="20">
        <f t="shared" si="5"/>
        <v>-4.7878787878788103</v>
      </c>
      <c r="Q18" s="361">
        <f t="shared" si="6"/>
        <v>0.96409090909090889</v>
      </c>
      <c r="R18" s="489"/>
      <c r="S18" s="40">
        <v>0.78680555555555565</v>
      </c>
      <c r="T18" s="40">
        <v>0.8173611111111112</v>
      </c>
      <c r="U18" s="358">
        <f t="shared" si="18"/>
        <v>6.9999999999999751</v>
      </c>
      <c r="V18" s="366">
        <f t="shared" si="17"/>
        <v>44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-71.818181818181984</v>
      </c>
      <c r="AF18" s="361">
        <f t="shared" si="9"/>
        <v>0.964090909090909</v>
      </c>
      <c r="AG18" s="489"/>
    </row>
    <row r="19" spans="1:33" ht="16.5" customHeight="1">
      <c r="A19" s="526" t="s">
        <v>2150</v>
      </c>
      <c r="B19" s="367" t="s">
        <v>103</v>
      </c>
      <c r="C19" s="521" t="s">
        <v>134</v>
      </c>
      <c r="D19" s="522"/>
      <c r="E19" s="42">
        <v>57.3</v>
      </c>
      <c r="F19" s="367">
        <v>1713</v>
      </c>
      <c r="G19" s="358">
        <f t="shared" si="15"/>
        <v>98154.9</v>
      </c>
      <c r="H19" s="369" t="s">
        <v>79</v>
      </c>
      <c r="I19" s="365">
        <v>13</v>
      </c>
      <c r="J19" s="37">
        <v>2000</v>
      </c>
      <c r="K19" s="17">
        <f t="shared" si="1"/>
        <v>153.84615384615384</v>
      </c>
      <c r="L19" s="365">
        <v>13</v>
      </c>
      <c r="M19" s="18">
        <f t="shared" si="16"/>
        <v>1939.245283018869</v>
      </c>
      <c r="N19" s="17">
        <f t="shared" si="3"/>
        <v>149.17271407837455</v>
      </c>
      <c r="O19" s="19">
        <f t="shared" si="4"/>
        <v>0</v>
      </c>
      <c r="P19" s="20">
        <f t="shared" si="5"/>
        <v>-4.6734397677792856</v>
      </c>
      <c r="Q19" s="361">
        <f t="shared" si="6"/>
        <v>0.96962264150943467</v>
      </c>
      <c r="R19" s="489"/>
      <c r="S19" s="40">
        <v>0.82291666666666674</v>
      </c>
      <c r="T19" s="40">
        <v>0.85972222222222228</v>
      </c>
      <c r="U19" s="358">
        <f t="shared" si="18"/>
        <v>7.9999999999999716</v>
      </c>
      <c r="V19" s="366">
        <f t="shared" si="17"/>
        <v>52.999999999999972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-60.754716981130969</v>
      </c>
      <c r="AF19" s="361">
        <f t="shared" si="9"/>
        <v>0.96962264150943456</v>
      </c>
      <c r="AG19" s="489"/>
    </row>
    <row r="20" spans="1:33" ht="16.5" customHeight="1">
      <c r="A20" s="526" t="s">
        <v>2150</v>
      </c>
      <c r="B20" s="42" t="s">
        <v>2148</v>
      </c>
      <c r="C20" s="494"/>
      <c r="D20" s="494"/>
      <c r="E20" s="362"/>
      <c r="F20" s="44"/>
      <c r="G20" s="17"/>
      <c r="H20" s="367"/>
      <c r="I20" s="30">
        <v>17.166666666666668</v>
      </c>
      <c r="J20" s="37">
        <v>1833.3333333333333</v>
      </c>
      <c r="K20" s="17">
        <f t="shared" si="1"/>
        <v>106.79611650485435</v>
      </c>
      <c r="L20" s="30">
        <v>17.166666666666668</v>
      </c>
      <c r="M20" s="18">
        <f>AVERAGE(M14:M19)</f>
        <v>1763.5384987062237</v>
      </c>
      <c r="N20" s="17">
        <f t="shared" si="3"/>
        <v>102.73039798288681</v>
      </c>
      <c r="O20" s="19">
        <f t="shared" si="4"/>
        <v>0</v>
      </c>
      <c r="P20" s="20">
        <f t="shared" si="5"/>
        <v>-4.0657185219675398</v>
      </c>
      <c r="Q20" s="361">
        <f t="shared" si="6"/>
        <v>0.96193009020339482</v>
      </c>
      <c r="R20" s="489"/>
      <c r="S20" s="40"/>
      <c r="T20" s="40"/>
      <c r="U20" s="358"/>
      <c r="V20" s="366"/>
      <c r="W20" s="17"/>
      <c r="X20" s="17"/>
      <c r="Y20" s="31">
        <f>SUM(Y14:Y19)</f>
        <v>0</v>
      </c>
      <c r="Z20" s="31">
        <f>SUM(Z14:Z19)</f>
        <v>0</v>
      </c>
      <c r="AA20" s="495"/>
      <c r="AB20" s="495"/>
      <c r="AC20" s="31">
        <v>3</v>
      </c>
      <c r="AD20" s="31">
        <f>SUM(AD14:AD19)</f>
        <v>0</v>
      </c>
      <c r="AE20" s="19">
        <f t="shared" si="8"/>
        <v>-69.794834627109594</v>
      </c>
      <c r="AF20" s="361">
        <f t="shared" si="9"/>
        <v>0.96193009020339482</v>
      </c>
      <c r="AG20" s="489"/>
    </row>
    <row r="21" spans="1:33" ht="15.75" customHeight="1">
      <c r="A21" s="519" t="s">
        <v>2151</v>
      </c>
      <c r="B21" s="42" t="s">
        <v>126</v>
      </c>
      <c r="C21" s="515" t="s">
        <v>135</v>
      </c>
      <c r="D21" s="515"/>
      <c r="E21" s="42">
        <v>43.14</v>
      </c>
      <c r="F21" s="367">
        <v>904</v>
      </c>
      <c r="G21" s="358">
        <f t="shared" ref="G21:G27" si="19">E21*F21</f>
        <v>38998.559999999998</v>
      </c>
      <c r="H21" s="369" t="s">
        <v>79</v>
      </c>
      <c r="I21" s="365">
        <v>17</v>
      </c>
      <c r="J21" s="37">
        <v>2000</v>
      </c>
      <c r="K21" s="17">
        <f t="shared" si="1"/>
        <v>117.64705882352941</v>
      </c>
      <c r="L21" s="365">
        <v>17</v>
      </c>
      <c r="M21" s="18">
        <f t="shared" ref="M21:M27" si="20">F21/V21*60</f>
        <v>1937.1428571428557</v>
      </c>
      <c r="N21" s="17">
        <f t="shared" si="3"/>
        <v>113.9495798319327</v>
      </c>
      <c r="O21" s="19">
        <f t="shared" si="4"/>
        <v>0</v>
      </c>
      <c r="P21" s="20">
        <f t="shared" si="5"/>
        <v>-3.6974789915967108</v>
      </c>
      <c r="Q21" s="361">
        <f t="shared" si="6"/>
        <v>0.96857142857142797</v>
      </c>
      <c r="R21" s="489">
        <f>Q28</f>
        <v>0.96052929100376716</v>
      </c>
      <c r="S21" s="40">
        <v>0.20833333333333334</v>
      </c>
      <c r="T21" s="40">
        <v>0.2277777777777778</v>
      </c>
      <c r="U21" s="358"/>
      <c r="V21" s="366">
        <f t="shared" ref="V21:V27" si="21">(T21-S21)*24*60</f>
        <v>28.000000000000021</v>
      </c>
      <c r="W21" s="28"/>
      <c r="X21" s="28"/>
      <c r="Y21" s="28"/>
      <c r="Z21" s="28"/>
      <c r="AA21" s="491"/>
      <c r="AB21" s="491"/>
      <c r="AC21" s="154">
        <v>3</v>
      </c>
      <c r="AD21" s="25"/>
      <c r="AE21" s="19">
        <f t="shared" si="8"/>
        <v>-62.857142857144254</v>
      </c>
      <c r="AF21" s="361">
        <f t="shared" si="9"/>
        <v>0.96857142857142786</v>
      </c>
      <c r="AG21" s="489">
        <f>AF28</f>
        <v>0.96052929100376705</v>
      </c>
    </row>
    <row r="22" spans="1:33" ht="15.75" customHeight="1">
      <c r="A22" s="520" t="s">
        <v>2151</v>
      </c>
      <c r="B22" s="42" t="s">
        <v>103</v>
      </c>
      <c r="C22" s="515" t="s">
        <v>137</v>
      </c>
      <c r="D22" s="515"/>
      <c r="E22" s="42">
        <v>57.73</v>
      </c>
      <c r="F22" s="367">
        <v>2180</v>
      </c>
      <c r="G22" s="358">
        <f t="shared" si="19"/>
        <v>125851.4</v>
      </c>
      <c r="H22" s="369" t="s">
        <v>79</v>
      </c>
      <c r="I22" s="365">
        <v>14</v>
      </c>
      <c r="J22" s="37">
        <v>2000</v>
      </c>
      <c r="K22" s="17">
        <f t="shared" si="1"/>
        <v>142.85714285714286</v>
      </c>
      <c r="L22" s="365">
        <v>14</v>
      </c>
      <c r="M22" s="18">
        <f t="shared" si="20"/>
        <v>1923.529411764707</v>
      </c>
      <c r="N22" s="17">
        <f t="shared" si="3"/>
        <v>137.39495798319336</v>
      </c>
      <c r="O22" s="19">
        <f t="shared" si="4"/>
        <v>0</v>
      </c>
      <c r="P22" s="20">
        <f t="shared" si="5"/>
        <v>-5.4621848739494965</v>
      </c>
      <c r="Q22" s="361">
        <f t="shared" si="6"/>
        <v>0.96176470588235352</v>
      </c>
      <c r="R22" s="489"/>
      <c r="S22" s="40">
        <v>0.23333333333333336</v>
      </c>
      <c r="T22" s="40">
        <v>0.28055555555555556</v>
      </c>
      <c r="U22" s="358">
        <f t="shared" ref="U22:U27" si="22">IF(S22=TIME(17,0,0),"",(S22-T21)*24*60)</f>
        <v>8.0000000000000107</v>
      </c>
      <c r="V22" s="366">
        <f t="shared" si="21"/>
        <v>67.999999999999957</v>
      </c>
      <c r="W22" s="23"/>
      <c r="X22" s="358"/>
      <c r="Y22" s="358"/>
      <c r="Z22" s="358"/>
      <c r="AA22" s="491"/>
      <c r="AB22" s="491"/>
      <c r="AC22" s="154"/>
      <c r="AD22" s="25"/>
      <c r="AE22" s="19">
        <f t="shared" si="8"/>
        <v>-76.470588235293008</v>
      </c>
      <c r="AF22" s="361">
        <f t="shared" si="9"/>
        <v>0.96176470588235352</v>
      </c>
      <c r="AG22" s="489"/>
    </row>
    <row r="23" spans="1:33" ht="15.75" customHeight="1">
      <c r="A23" s="520" t="s">
        <v>2151</v>
      </c>
      <c r="B23" s="42" t="s">
        <v>103</v>
      </c>
      <c r="C23" s="515" t="s">
        <v>138</v>
      </c>
      <c r="D23" s="515"/>
      <c r="E23" s="42">
        <v>53.68</v>
      </c>
      <c r="F23" s="367">
        <v>1369</v>
      </c>
      <c r="G23" s="358">
        <f t="shared" si="19"/>
        <v>73487.92</v>
      </c>
      <c r="H23" s="369" t="s">
        <v>79</v>
      </c>
      <c r="I23" s="365">
        <v>16</v>
      </c>
      <c r="J23" s="37">
        <v>2000</v>
      </c>
      <c r="K23" s="17">
        <f t="shared" si="1"/>
        <v>125</v>
      </c>
      <c r="L23" s="365">
        <v>16</v>
      </c>
      <c r="M23" s="18">
        <f t="shared" si="20"/>
        <v>1910.2325581395346</v>
      </c>
      <c r="N23" s="17">
        <f t="shared" si="3"/>
        <v>119.38953488372091</v>
      </c>
      <c r="O23" s="19">
        <f t="shared" si="4"/>
        <v>0</v>
      </c>
      <c r="P23" s="20">
        <f t="shared" si="5"/>
        <v>-5.6104651162790873</v>
      </c>
      <c r="Q23" s="361">
        <f t="shared" si="6"/>
        <v>0.95511627906976726</v>
      </c>
      <c r="R23" s="489"/>
      <c r="S23" s="40">
        <v>0.28472222222222221</v>
      </c>
      <c r="T23" s="40">
        <v>0.31458333333333333</v>
      </c>
      <c r="U23" s="358">
        <f t="shared" si="22"/>
        <v>5.9999999999999787</v>
      </c>
      <c r="V23" s="366">
        <f t="shared" si="21"/>
        <v>43.000000000000007</v>
      </c>
      <c r="W23" s="23"/>
      <c r="X23" s="358"/>
      <c r="Y23" s="358"/>
      <c r="Z23" s="358"/>
      <c r="AA23" s="491"/>
      <c r="AB23" s="491"/>
      <c r="AC23" s="154"/>
      <c r="AD23" s="25"/>
      <c r="AE23" s="19">
        <f t="shared" si="8"/>
        <v>-89.767441860465397</v>
      </c>
      <c r="AF23" s="361">
        <f t="shared" si="9"/>
        <v>0.95511627906976726</v>
      </c>
      <c r="AG23" s="489"/>
    </row>
    <row r="24" spans="1:33" ht="15.75" customHeight="1">
      <c r="A24" s="520" t="s">
        <v>2151</v>
      </c>
      <c r="B24" s="42" t="s">
        <v>103</v>
      </c>
      <c r="C24" s="515" t="s">
        <v>140</v>
      </c>
      <c r="D24" s="515"/>
      <c r="E24" s="42">
        <v>50.49</v>
      </c>
      <c r="F24" s="367">
        <v>1780</v>
      </c>
      <c r="G24" s="358">
        <f t="shared" si="19"/>
        <v>89872.2</v>
      </c>
      <c r="H24" s="369" t="s">
        <v>79</v>
      </c>
      <c r="I24" s="365">
        <v>15</v>
      </c>
      <c r="J24" s="37">
        <v>2000</v>
      </c>
      <c r="K24" s="17">
        <f t="shared" si="1"/>
        <v>133.33333333333334</v>
      </c>
      <c r="L24" s="365">
        <v>15</v>
      </c>
      <c r="M24" s="18">
        <f t="shared" si="20"/>
        <v>1907.1428571428585</v>
      </c>
      <c r="N24" s="17">
        <f t="shared" si="3"/>
        <v>127.14285714285724</v>
      </c>
      <c r="O24" s="19">
        <f t="shared" si="4"/>
        <v>0</v>
      </c>
      <c r="P24" s="20">
        <f t="shared" si="5"/>
        <v>-6.1904761904761045</v>
      </c>
      <c r="Q24" s="361">
        <f t="shared" si="6"/>
        <v>0.95357142857142918</v>
      </c>
      <c r="R24" s="489"/>
      <c r="S24" s="40">
        <v>0.70833333333333337</v>
      </c>
      <c r="T24" s="40">
        <v>0.74722222222222223</v>
      </c>
      <c r="U24" s="358" t="str">
        <f t="shared" si="22"/>
        <v/>
      </c>
      <c r="V24" s="366">
        <f t="shared" si="21"/>
        <v>55.999999999999957</v>
      </c>
      <c r="W24" s="23"/>
      <c r="X24" s="358"/>
      <c r="Y24" s="358"/>
      <c r="Z24" s="358"/>
      <c r="AA24" s="491"/>
      <c r="AB24" s="491"/>
      <c r="AC24" s="154"/>
      <c r="AD24" s="25"/>
      <c r="AE24" s="19">
        <f t="shared" si="8"/>
        <v>-92.857142857141525</v>
      </c>
      <c r="AF24" s="361">
        <f t="shared" si="9"/>
        <v>0.95357142857142929</v>
      </c>
      <c r="AG24" s="489"/>
    </row>
    <row r="25" spans="1:33" ht="15.75" customHeight="1">
      <c r="A25" s="520" t="s">
        <v>2151</v>
      </c>
      <c r="B25" s="42" t="s">
        <v>103</v>
      </c>
      <c r="C25" s="515" t="s">
        <v>516</v>
      </c>
      <c r="D25" s="515"/>
      <c r="E25" s="42">
        <v>50.67</v>
      </c>
      <c r="F25" s="367">
        <v>1088</v>
      </c>
      <c r="G25" s="358">
        <f t="shared" si="19"/>
        <v>55128.959999999999</v>
      </c>
      <c r="H25" s="369" t="s">
        <v>79</v>
      </c>
      <c r="I25" s="365">
        <v>16</v>
      </c>
      <c r="J25" s="37">
        <v>2000</v>
      </c>
      <c r="K25" s="17">
        <f t="shared" si="1"/>
        <v>125</v>
      </c>
      <c r="L25" s="365">
        <v>16</v>
      </c>
      <c r="M25" s="18">
        <f t="shared" si="20"/>
        <v>1919.9999999999977</v>
      </c>
      <c r="N25" s="17">
        <f t="shared" si="3"/>
        <v>119.99999999999986</v>
      </c>
      <c r="O25" s="19">
        <f t="shared" si="4"/>
        <v>0</v>
      </c>
      <c r="P25" s="20">
        <f t="shared" si="5"/>
        <v>-5.0000000000001421</v>
      </c>
      <c r="Q25" s="361">
        <f t="shared" si="6"/>
        <v>0.95999999999999885</v>
      </c>
      <c r="R25" s="489"/>
      <c r="S25" s="40">
        <v>0.75069444444444444</v>
      </c>
      <c r="T25" s="40">
        <v>0.77430555555555558</v>
      </c>
      <c r="U25" s="358">
        <f t="shared" si="22"/>
        <v>4.9999999999999822</v>
      </c>
      <c r="V25" s="366">
        <f t="shared" si="21"/>
        <v>34.000000000000043</v>
      </c>
      <c r="W25" s="23"/>
      <c r="X25" s="358"/>
      <c r="Y25" s="358"/>
      <c r="Z25" s="358"/>
      <c r="AA25" s="491"/>
      <c r="AB25" s="491"/>
      <c r="AC25" s="154"/>
      <c r="AD25" s="25"/>
      <c r="AE25" s="19">
        <f t="shared" si="8"/>
        <v>-80.000000000002274</v>
      </c>
      <c r="AF25" s="361">
        <f t="shared" si="9"/>
        <v>0.95999999999999885</v>
      </c>
      <c r="AG25" s="489"/>
    </row>
    <row r="26" spans="1:33" ht="15.75" customHeight="1">
      <c r="A26" s="520" t="s">
        <v>2151</v>
      </c>
      <c r="B26" s="42" t="s">
        <v>103</v>
      </c>
      <c r="C26" s="515" t="s">
        <v>142</v>
      </c>
      <c r="D26" s="515"/>
      <c r="E26" s="42">
        <v>53.68</v>
      </c>
      <c r="F26" s="367">
        <v>1812</v>
      </c>
      <c r="G26" s="358">
        <f t="shared" si="19"/>
        <v>97268.160000000003</v>
      </c>
      <c r="H26" s="369" t="s">
        <v>79</v>
      </c>
      <c r="I26" s="365">
        <v>16</v>
      </c>
      <c r="J26" s="37">
        <v>1500</v>
      </c>
      <c r="K26" s="17">
        <f t="shared" si="1"/>
        <v>93.75</v>
      </c>
      <c r="L26" s="365">
        <v>16</v>
      </c>
      <c r="M26" s="18">
        <f t="shared" si="20"/>
        <v>1430.5263157894726</v>
      </c>
      <c r="N26" s="17">
        <f t="shared" si="3"/>
        <v>89.407894736842039</v>
      </c>
      <c r="O26" s="19">
        <f t="shared" si="4"/>
        <v>0</v>
      </c>
      <c r="P26" s="20">
        <f t="shared" si="5"/>
        <v>-4.3421052631579613</v>
      </c>
      <c r="Q26" s="361">
        <f t="shared" si="6"/>
        <v>0.95368421052631513</v>
      </c>
      <c r="R26" s="489"/>
      <c r="S26" s="40">
        <v>0.77777777777777779</v>
      </c>
      <c r="T26" s="40">
        <v>0.8305555555555556</v>
      </c>
      <c r="U26" s="358">
        <f t="shared" si="22"/>
        <v>4.9999999999999822</v>
      </c>
      <c r="V26" s="366">
        <f t="shared" si="21"/>
        <v>76.000000000000057</v>
      </c>
      <c r="W26" s="23"/>
      <c r="X26" s="28"/>
      <c r="Y26" s="28"/>
      <c r="Z26" s="28"/>
      <c r="AA26" s="491"/>
      <c r="AB26" s="491"/>
      <c r="AC26" s="154"/>
      <c r="AD26" s="25"/>
      <c r="AE26" s="19">
        <f t="shared" si="8"/>
        <v>-69.473684210527381</v>
      </c>
      <c r="AF26" s="361">
        <f t="shared" si="9"/>
        <v>0.95368421052631513</v>
      </c>
      <c r="AG26" s="489"/>
    </row>
    <row r="27" spans="1:33" ht="15.75" customHeight="1">
      <c r="A27" s="520" t="s">
        <v>2151</v>
      </c>
      <c r="B27" s="42" t="s">
        <v>103</v>
      </c>
      <c r="C27" s="515" t="s">
        <v>123</v>
      </c>
      <c r="D27" s="515"/>
      <c r="E27" s="42">
        <v>50.98</v>
      </c>
      <c r="F27" s="367">
        <v>1357</v>
      </c>
      <c r="G27" s="358">
        <f t="shared" si="19"/>
        <v>69179.86</v>
      </c>
      <c r="H27" s="369" t="s">
        <v>79</v>
      </c>
      <c r="I27" s="365">
        <v>16</v>
      </c>
      <c r="J27" s="37">
        <v>2000</v>
      </c>
      <c r="K27" s="17">
        <f t="shared" si="1"/>
        <v>125</v>
      </c>
      <c r="L27" s="365">
        <v>16</v>
      </c>
      <c r="M27" s="18">
        <f t="shared" si="20"/>
        <v>1938.5714285714278</v>
      </c>
      <c r="N27" s="17">
        <f t="shared" si="3"/>
        <v>121.16071428571423</v>
      </c>
      <c r="O27" s="19">
        <f t="shared" si="4"/>
        <v>0</v>
      </c>
      <c r="P27" s="20">
        <f t="shared" si="5"/>
        <v>-3.839285714285765</v>
      </c>
      <c r="Q27" s="361">
        <f t="shared" si="6"/>
        <v>0.96928571428571386</v>
      </c>
      <c r="R27" s="489"/>
      <c r="S27" s="40">
        <v>0.83402777777777781</v>
      </c>
      <c r="T27" s="40">
        <v>0.86319444444444449</v>
      </c>
      <c r="U27" s="358">
        <f t="shared" si="22"/>
        <v>4.9999999999999822</v>
      </c>
      <c r="V27" s="366">
        <f t="shared" si="21"/>
        <v>42.000000000000014</v>
      </c>
      <c r="W27" s="23"/>
      <c r="X27" s="28"/>
      <c r="Y27" s="29"/>
      <c r="Z27" s="29"/>
      <c r="AA27" s="503"/>
      <c r="AB27" s="504"/>
      <c r="AC27" s="154"/>
      <c r="AD27" s="25"/>
      <c r="AE27" s="19">
        <f t="shared" si="8"/>
        <v>-61.428571428572241</v>
      </c>
      <c r="AF27" s="361">
        <f t="shared" si="9"/>
        <v>0.96928571428571386</v>
      </c>
      <c r="AG27" s="489"/>
    </row>
    <row r="28" spans="1:33" ht="15.75" customHeight="1">
      <c r="A28" s="520" t="s">
        <v>2151</v>
      </c>
      <c r="B28" s="42" t="s">
        <v>2148</v>
      </c>
      <c r="C28" s="494"/>
      <c r="D28" s="494"/>
      <c r="E28" s="362"/>
      <c r="F28" s="367"/>
      <c r="G28" s="358"/>
      <c r="H28" s="367"/>
      <c r="I28" s="30">
        <v>15.714285714285714</v>
      </c>
      <c r="J28" s="37">
        <v>1928.5714285714287</v>
      </c>
      <c r="K28" s="17">
        <f t="shared" si="1"/>
        <v>122.72727272727273</v>
      </c>
      <c r="L28" s="30">
        <v>15.714285714285714</v>
      </c>
      <c r="M28" s="18">
        <f>AVERAGE(M21:M27)</f>
        <v>1852.4493469358365</v>
      </c>
      <c r="N28" s="17">
        <f t="shared" si="3"/>
        <v>117.88314025955324</v>
      </c>
      <c r="O28" s="19">
        <f t="shared" si="4"/>
        <v>0</v>
      </c>
      <c r="P28" s="20">
        <f t="shared" si="5"/>
        <v>-4.8441324677194899</v>
      </c>
      <c r="Q28" s="361">
        <f t="shared" si="6"/>
        <v>0.96052929100376716</v>
      </c>
      <c r="R28" s="489"/>
      <c r="S28" s="40"/>
      <c r="T28" s="40"/>
      <c r="U28" s="17"/>
      <c r="V28" s="366"/>
      <c r="W28" s="17"/>
      <c r="X28" s="17"/>
      <c r="Y28" s="31">
        <f>SUM(Y21:Y27)</f>
        <v>0</v>
      </c>
      <c r="Z28" s="31">
        <f>SUM(Z21:Z27)</f>
        <v>0</v>
      </c>
      <c r="AA28" s="495"/>
      <c r="AB28" s="495"/>
      <c r="AC28" s="31">
        <v>3</v>
      </c>
      <c r="AD28" s="31">
        <f>SUM(AD21:AD27)</f>
        <v>0</v>
      </c>
      <c r="AE28" s="19">
        <f t="shared" si="8"/>
        <v>-76.122081635592167</v>
      </c>
      <c r="AF28" s="361">
        <f t="shared" si="9"/>
        <v>0.96052929100376705</v>
      </c>
      <c r="AG28" s="489"/>
    </row>
    <row r="29" spans="1:33" ht="15.75" customHeight="1">
      <c r="A29" s="518" t="s">
        <v>2152</v>
      </c>
      <c r="B29" s="42" t="s">
        <v>80</v>
      </c>
      <c r="C29" s="515" t="s">
        <v>81</v>
      </c>
      <c r="D29" s="515"/>
      <c r="E29" s="42">
        <v>31.29</v>
      </c>
      <c r="F29" s="367">
        <v>6918</v>
      </c>
      <c r="G29" s="358">
        <f t="shared" ref="G29:G33" si="23">E29*F29</f>
        <v>216464.22</v>
      </c>
      <c r="H29" s="369" t="s">
        <v>79</v>
      </c>
      <c r="I29" s="365">
        <v>18</v>
      </c>
      <c r="J29" s="37">
        <v>2400</v>
      </c>
      <c r="K29" s="17">
        <f t="shared" si="1"/>
        <v>133.33333333333334</v>
      </c>
      <c r="L29" s="365">
        <v>18</v>
      </c>
      <c r="M29" s="18">
        <f t="shared" ref="M29:M33" si="24">F29/V29*60</f>
        <v>2280.6593406593411</v>
      </c>
      <c r="N29" s="17">
        <f t="shared" si="3"/>
        <v>126.70329670329673</v>
      </c>
      <c r="O29" s="19">
        <f t="shared" si="4"/>
        <v>0</v>
      </c>
      <c r="P29" s="20">
        <f t="shared" si="5"/>
        <v>-6.6300366300366136</v>
      </c>
      <c r="Q29" s="361">
        <f t="shared" si="6"/>
        <v>0.95027472527472545</v>
      </c>
      <c r="R29" s="489">
        <f>Q34</f>
        <v>0.95548864070711892</v>
      </c>
      <c r="S29" s="40">
        <v>8.3333333333333329E-2</v>
      </c>
      <c r="T29" s="40">
        <v>0.2097222222222222</v>
      </c>
      <c r="U29" s="358"/>
      <c r="V29" s="366">
        <f t="shared" ref="V29:V33" si="25">(T29-S29)*24*60</f>
        <v>182</v>
      </c>
      <c r="W29" s="23">
        <f>T29</f>
        <v>0.2097222222222222</v>
      </c>
      <c r="X29" s="23">
        <f>S30</f>
        <v>0.2298611111111111</v>
      </c>
      <c r="Y29" s="23"/>
      <c r="Z29" s="23"/>
      <c r="AA29" s="491"/>
      <c r="AB29" s="491"/>
      <c r="AC29" s="154">
        <v>6</v>
      </c>
      <c r="AD29" s="25"/>
      <c r="AE29" s="19">
        <f t="shared" si="8"/>
        <v>-119.34065934065893</v>
      </c>
      <c r="AF29" s="361">
        <f t="shared" si="9"/>
        <v>0.95027472527472545</v>
      </c>
      <c r="AG29" s="489">
        <f>AF34</f>
        <v>0.95548864070711903</v>
      </c>
    </row>
    <row r="30" spans="1:33" ht="15.75" customHeight="1">
      <c r="A30" s="518" t="s">
        <v>2152</v>
      </c>
      <c r="B30" s="42" t="s">
        <v>80</v>
      </c>
      <c r="C30" s="515" t="s">
        <v>82</v>
      </c>
      <c r="D30" s="515"/>
      <c r="E30" s="42">
        <v>26.2</v>
      </c>
      <c r="F30" s="367">
        <v>3521</v>
      </c>
      <c r="G30" s="358">
        <f t="shared" si="23"/>
        <v>92250.2</v>
      </c>
      <c r="H30" s="369" t="s">
        <v>79</v>
      </c>
      <c r="I30" s="365">
        <v>20</v>
      </c>
      <c r="J30" s="37">
        <v>2400</v>
      </c>
      <c r="K30" s="17">
        <f t="shared" si="1"/>
        <v>120</v>
      </c>
      <c r="L30" s="365">
        <v>20</v>
      </c>
      <c r="M30" s="18">
        <f t="shared" si="24"/>
        <v>2296.3043478260865</v>
      </c>
      <c r="N30" s="17">
        <f t="shared" si="3"/>
        <v>114.81521739130433</v>
      </c>
      <c r="O30" s="19">
        <f t="shared" si="4"/>
        <v>0</v>
      </c>
      <c r="P30" s="20">
        <f t="shared" si="5"/>
        <v>-5.1847826086956701</v>
      </c>
      <c r="Q30" s="361">
        <f t="shared" si="6"/>
        <v>0.95679347826086947</v>
      </c>
      <c r="R30" s="489"/>
      <c r="S30" s="40">
        <v>0.2298611111111111</v>
      </c>
      <c r="T30" s="40">
        <v>0.29375000000000001</v>
      </c>
      <c r="U30" s="358">
        <f t="shared" ref="U30:U33" si="26">(S30-T29)*24*60</f>
        <v>29.000000000000018</v>
      </c>
      <c r="V30" s="366">
        <f t="shared" si="25"/>
        <v>92.000000000000028</v>
      </c>
      <c r="W30" s="23"/>
      <c r="X30" s="23"/>
      <c r="Y30" s="23"/>
      <c r="Z30" s="23"/>
      <c r="AA30" s="491"/>
      <c r="AB30" s="491"/>
      <c r="AC30" s="154"/>
      <c r="AD30" s="25"/>
      <c r="AE30" s="19">
        <f t="shared" si="8"/>
        <v>-103.69565217391346</v>
      </c>
      <c r="AF30" s="361">
        <f t="shared" si="9"/>
        <v>0.95679347826086936</v>
      </c>
      <c r="AG30" s="489"/>
    </row>
    <row r="31" spans="1:33" ht="15.75" customHeight="1">
      <c r="A31" s="518" t="s">
        <v>2152</v>
      </c>
      <c r="B31" s="42" t="s">
        <v>80</v>
      </c>
      <c r="C31" s="515" t="s">
        <v>83</v>
      </c>
      <c r="D31" s="515"/>
      <c r="E31" s="42">
        <v>25.99</v>
      </c>
      <c r="F31" s="367">
        <v>3066</v>
      </c>
      <c r="G31" s="358">
        <f t="shared" si="23"/>
        <v>79685.34</v>
      </c>
      <c r="H31" s="369" t="s">
        <v>79</v>
      </c>
      <c r="I31" s="365">
        <v>14</v>
      </c>
      <c r="J31" s="37">
        <v>2400</v>
      </c>
      <c r="K31" s="17">
        <f t="shared" si="1"/>
        <v>171.42857142857142</v>
      </c>
      <c r="L31" s="365">
        <v>14</v>
      </c>
      <c r="M31" s="18">
        <f t="shared" si="24"/>
        <v>2299.5000000000009</v>
      </c>
      <c r="N31" s="17">
        <f t="shared" si="3"/>
        <v>164.25000000000006</v>
      </c>
      <c r="O31" s="19">
        <f t="shared" si="4"/>
        <v>0</v>
      </c>
      <c r="P31" s="20">
        <f t="shared" si="5"/>
        <v>-7.1785714285713595</v>
      </c>
      <c r="Q31" s="361">
        <f t="shared" si="6"/>
        <v>0.95812500000000045</v>
      </c>
      <c r="R31" s="489"/>
      <c r="S31" s="40">
        <v>0.29722222222222222</v>
      </c>
      <c r="T31" s="40">
        <v>0.35277777777777775</v>
      </c>
      <c r="U31" s="358">
        <f t="shared" si="26"/>
        <v>4.9999999999999822</v>
      </c>
      <c r="V31" s="366">
        <f t="shared" si="25"/>
        <v>79.999999999999957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-100.49999999999909</v>
      </c>
      <c r="AF31" s="361">
        <f t="shared" si="9"/>
        <v>0.95812500000000034</v>
      </c>
      <c r="AG31" s="489"/>
    </row>
    <row r="32" spans="1:33" ht="15.75" customHeight="1">
      <c r="A32" s="518" t="s">
        <v>2152</v>
      </c>
      <c r="B32" s="42" t="s">
        <v>80</v>
      </c>
      <c r="C32" s="515" t="s">
        <v>84</v>
      </c>
      <c r="D32" s="515"/>
      <c r="E32" s="42">
        <v>20.52</v>
      </c>
      <c r="F32" s="367">
        <v>2868</v>
      </c>
      <c r="G32" s="358">
        <f t="shared" si="23"/>
        <v>58851.360000000001</v>
      </c>
      <c r="H32" s="369" t="s">
        <v>79</v>
      </c>
      <c r="I32" s="365">
        <v>18</v>
      </c>
      <c r="J32" s="37">
        <v>2400</v>
      </c>
      <c r="K32" s="17">
        <f t="shared" si="1"/>
        <v>133.33333333333334</v>
      </c>
      <c r="L32" s="365">
        <v>18</v>
      </c>
      <c r="M32" s="18">
        <f t="shared" si="24"/>
        <v>2294.400000000001</v>
      </c>
      <c r="N32" s="17">
        <f t="shared" si="3"/>
        <v>127.46666666666673</v>
      </c>
      <c r="O32" s="19">
        <f t="shared" si="4"/>
        <v>0</v>
      </c>
      <c r="P32" s="20">
        <f t="shared" si="5"/>
        <v>-5.8666666666666174</v>
      </c>
      <c r="Q32" s="361">
        <f t="shared" si="6"/>
        <v>0.95600000000000041</v>
      </c>
      <c r="R32" s="489"/>
      <c r="S32" s="40">
        <v>0.35763888888888884</v>
      </c>
      <c r="T32" s="40">
        <v>0.40972222222222215</v>
      </c>
      <c r="U32" s="358">
        <f t="shared" si="26"/>
        <v>6.9999999999999751</v>
      </c>
      <c r="V32" s="366">
        <f t="shared" si="25"/>
        <v>74.999999999999972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-105.599999999999</v>
      </c>
      <c r="AF32" s="361">
        <f t="shared" si="9"/>
        <v>0.95600000000000041</v>
      </c>
      <c r="AG32" s="489"/>
    </row>
    <row r="33" spans="1:33" ht="15.75" customHeight="1">
      <c r="A33" s="518" t="s">
        <v>2152</v>
      </c>
      <c r="B33" s="42" t="s">
        <v>80</v>
      </c>
      <c r="C33" s="515" t="s">
        <v>85</v>
      </c>
      <c r="D33" s="515"/>
      <c r="E33" s="42">
        <v>25.98</v>
      </c>
      <c r="F33" s="367">
        <v>2295</v>
      </c>
      <c r="G33" s="358">
        <f t="shared" si="23"/>
        <v>59624.1</v>
      </c>
      <c r="H33" s="369" t="s">
        <v>79</v>
      </c>
      <c r="I33" s="365">
        <v>21</v>
      </c>
      <c r="J33" s="37">
        <v>2400</v>
      </c>
      <c r="K33" s="17">
        <f t="shared" si="1"/>
        <v>114.28571428571429</v>
      </c>
      <c r="L33" s="365">
        <v>21</v>
      </c>
      <c r="M33" s="18">
        <f t="shared" si="24"/>
        <v>2294.9999999999986</v>
      </c>
      <c r="N33" s="17">
        <f t="shared" si="3"/>
        <v>109.28571428571422</v>
      </c>
      <c r="O33" s="19">
        <f t="shared" si="4"/>
        <v>0</v>
      </c>
      <c r="P33" s="20">
        <f t="shared" si="5"/>
        <v>-5.0000000000000711</v>
      </c>
      <c r="Q33" s="361">
        <f t="shared" si="6"/>
        <v>0.95624999999999938</v>
      </c>
      <c r="R33" s="489"/>
      <c r="S33" s="40">
        <v>0.41319444444444436</v>
      </c>
      <c r="T33" s="40">
        <v>0.45486111111111105</v>
      </c>
      <c r="U33" s="358">
        <f t="shared" si="26"/>
        <v>4.9999999999999822</v>
      </c>
      <c r="V33" s="366">
        <f t="shared" si="25"/>
        <v>60.000000000000028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-105.00000000000136</v>
      </c>
      <c r="AF33" s="361">
        <f t="shared" si="9"/>
        <v>0.95624999999999938</v>
      </c>
      <c r="AG33" s="489"/>
    </row>
    <row r="34" spans="1:33" ht="15.75" customHeight="1">
      <c r="A34" s="518" t="s">
        <v>2152</v>
      </c>
      <c r="B34" s="42" t="s">
        <v>2148</v>
      </c>
      <c r="C34" s="494"/>
      <c r="D34" s="494"/>
      <c r="E34" s="362"/>
      <c r="F34" s="367"/>
      <c r="G34" s="358"/>
      <c r="H34" s="367"/>
      <c r="I34" s="30">
        <v>18.2</v>
      </c>
      <c r="J34" s="37">
        <v>2400</v>
      </c>
      <c r="K34" s="17">
        <f t="shared" si="1"/>
        <v>131.86813186813188</v>
      </c>
      <c r="L34" s="30">
        <v>18.2</v>
      </c>
      <c r="M34" s="18">
        <f>AVERAGE(M29:M33)</f>
        <v>2293.1727376970857</v>
      </c>
      <c r="N34" s="17">
        <f t="shared" si="3"/>
        <v>125.99850207126845</v>
      </c>
      <c r="O34" s="19">
        <f t="shared" si="4"/>
        <v>0</v>
      </c>
      <c r="P34" s="20">
        <f t="shared" si="5"/>
        <v>-5.8696297968634354</v>
      </c>
      <c r="Q34" s="361">
        <f t="shared" si="6"/>
        <v>0.95548864070711892</v>
      </c>
      <c r="R34" s="489"/>
      <c r="S34" s="40"/>
      <c r="T34" s="40"/>
      <c r="U34" s="358"/>
      <c r="V34" s="366"/>
      <c r="W34" s="358"/>
      <c r="X34" s="358"/>
      <c r="Y34" s="31">
        <f>SUM(Y29:Y33)</f>
        <v>0</v>
      </c>
      <c r="Z34" s="31">
        <f>SUM(Z29:Z33)</f>
        <v>0</v>
      </c>
      <c r="AA34" s="495"/>
      <c r="AB34" s="495"/>
      <c r="AC34" s="31">
        <v>6</v>
      </c>
      <c r="AD34" s="31">
        <f>SUM(AD29:AD33)</f>
        <v>0</v>
      </c>
      <c r="AE34" s="19">
        <f t="shared" si="8"/>
        <v>-106.82726230291428</v>
      </c>
      <c r="AF34" s="361">
        <f t="shared" si="9"/>
        <v>0.95548864070711903</v>
      </c>
      <c r="AG34" s="489"/>
    </row>
    <row r="35" spans="1:33" ht="15.75" customHeight="1">
      <c r="A35" s="516" t="s">
        <v>2153</v>
      </c>
      <c r="B35" s="42" t="s">
        <v>80</v>
      </c>
      <c r="C35" s="490" t="s">
        <v>87</v>
      </c>
      <c r="D35" s="490"/>
      <c r="E35" s="42">
        <v>26.2</v>
      </c>
      <c r="F35" s="367">
        <v>4658</v>
      </c>
      <c r="G35" s="358">
        <f t="shared" ref="G35:G40" si="27">E35*F35</f>
        <v>122039.59999999999</v>
      </c>
      <c r="H35" s="369" t="s">
        <v>79</v>
      </c>
      <c r="I35" s="365">
        <v>18</v>
      </c>
      <c r="J35" s="37">
        <v>2400</v>
      </c>
      <c r="K35" s="17">
        <f t="shared" si="1"/>
        <v>133.33333333333334</v>
      </c>
      <c r="L35" s="365">
        <v>18</v>
      </c>
      <c r="M35" s="18">
        <f t="shared" ref="M35:M40" si="28">F35/V35*60</f>
        <v>2290.8196721311474</v>
      </c>
      <c r="N35" s="17">
        <f t="shared" si="3"/>
        <v>127.26775956284152</v>
      </c>
      <c r="O35" s="19">
        <f t="shared" si="4"/>
        <v>0</v>
      </c>
      <c r="P35" s="20">
        <f t="shared" si="5"/>
        <v>-6.0655737704918238</v>
      </c>
      <c r="Q35" s="361">
        <f t="shared" si="6"/>
        <v>0.95450819672131137</v>
      </c>
      <c r="R35" s="489">
        <f>Q41</f>
        <v>0.96131476650620784</v>
      </c>
      <c r="S35" s="40">
        <v>8.3333333333333329E-2</v>
      </c>
      <c r="T35" s="40">
        <v>0.16805555555555554</v>
      </c>
      <c r="U35" s="358"/>
      <c r="V35" s="366">
        <f t="shared" ref="V35:V40" si="29">(T35-S35)*24*60</f>
        <v>122</v>
      </c>
      <c r="W35" s="28">
        <f>T35</f>
        <v>0.16805555555555554</v>
      </c>
      <c r="X35" s="28">
        <f>S36</f>
        <v>0.18611111111111109</v>
      </c>
      <c r="Y35" s="28"/>
      <c r="Z35" s="28"/>
      <c r="AA35" s="491"/>
      <c r="AB35" s="491"/>
      <c r="AC35" s="154">
        <v>6</v>
      </c>
      <c r="AD35" s="25"/>
      <c r="AE35" s="19">
        <f t="shared" si="8"/>
        <v>-109.1803278688526</v>
      </c>
      <c r="AF35" s="361">
        <f t="shared" si="9"/>
        <v>0.95450819672131137</v>
      </c>
      <c r="AG35" s="489">
        <f>AF41</f>
        <v>0.96131476650620795</v>
      </c>
    </row>
    <row r="36" spans="1:33" ht="15.75" customHeight="1">
      <c r="A36" s="516" t="s">
        <v>2154</v>
      </c>
      <c r="B36" s="42" t="s">
        <v>80</v>
      </c>
      <c r="C36" s="490" t="s">
        <v>88</v>
      </c>
      <c r="D36" s="490"/>
      <c r="E36" s="42">
        <v>26.18</v>
      </c>
      <c r="F36" s="367">
        <v>1548</v>
      </c>
      <c r="G36" s="358">
        <f t="shared" si="27"/>
        <v>40526.639999999999</v>
      </c>
      <c r="H36" s="369" t="s">
        <v>79</v>
      </c>
      <c r="I36" s="365">
        <v>19</v>
      </c>
      <c r="J36" s="37">
        <v>2400</v>
      </c>
      <c r="K36" s="17">
        <f t="shared" si="1"/>
        <v>126.31578947368421</v>
      </c>
      <c r="L36" s="365">
        <v>19</v>
      </c>
      <c r="M36" s="18">
        <f t="shared" si="28"/>
        <v>2322.0000000000014</v>
      </c>
      <c r="N36" s="17">
        <f t="shared" si="3"/>
        <v>122.21052631578955</v>
      </c>
      <c r="O36" s="19">
        <f t="shared" si="4"/>
        <v>0</v>
      </c>
      <c r="P36" s="20">
        <f t="shared" si="5"/>
        <v>-4.1052631578946546</v>
      </c>
      <c r="Q36" s="361">
        <f t="shared" si="6"/>
        <v>0.96750000000000069</v>
      </c>
      <c r="R36" s="489"/>
      <c r="S36" s="40">
        <v>0.18611111111111109</v>
      </c>
      <c r="T36" s="40">
        <v>0.21388888888888885</v>
      </c>
      <c r="U36" s="358">
        <f t="shared" ref="U36:U40" si="30">(S36-T35)*24*60</f>
        <v>25.999999999999986</v>
      </c>
      <c r="V36" s="366">
        <f t="shared" si="29"/>
        <v>39.999999999999979</v>
      </c>
      <c r="W36" s="358"/>
      <c r="X36" s="358"/>
      <c r="Y36" s="358"/>
      <c r="Z36" s="358"/>
      <c r="AA36" s="491"/>
      <c r="AB36" s="491"/>
      <c r="AC36" s="154"/>
      <c r="AD36" s="25"/>
      <c r="AE36" s="19">
        <f t="shared" si="8"/>
        <v>-77.999999999998636</v>
      </c>
      <c r="AF36" s="361">
        <f t="shared" si="9"/>
        <v>0.96750000000000058</v>
      </c>
      <c r="AG36" s="489"/>
    </row>
    <row r="37" spans="1:33">
      <c r="A37" s="517" t="s">
        <v>2154</v>
      </c>
      <c r="B37" s="42" t="s">
        <v>80</v>
      </c>
      <c r="C37" s="490" t="s">
        <v>89</v>
      </c>
      <c r="D37" s="490"/>
      <c r="E37" s="42">
        <v>26.39</v>
      </c>
      <c r="F37" s="367">
        <v>4459</v>
      </c>
      <c r="G37" s="358">
        <f t="shared" si="27"/>
        <v>117673.01000000001</v>
      </c>
      <c r="H37" s="369" t="s">
        <v>79</v>
      </c>
      <c r="I37" s="365">
        <v>19</v>
      </c>
      <c r="J37" s="37">
        <v>2400</v>
      </c>
      <c r="K37" s="17">
        <f t="shared" si="1"/>
        <v>126.31578947368421</v>
      </c>
      <c r="L37" s="365">
        <v>19</v>
      </c>
      <c r="M37" s="18">
        <f t="shared" si="28"/>
        <v>2286.6666666666661</v>
      </c>
      <c r="N37" s="17">
        <f t="shared" si="3"/>
        <v>120.35087719298242</v>
      </c>
      <c r="O37" s="19">
        <f t="shared" si="4"/>
        <v>0</v>
      </c>
      <c r="P37" s="20">
        <f t="shared" si="5"/>
        <v>-5.9649122807017818</v>
      </c>
      <c r="Q37" s="361">
        <f t="shared" si="6"/>
        <v>0.95277777777777761</v>
      </c>
      <c r="R37" s="489"/>
      <c r="S37" s="40">
        <v>0.21805555555555553</v>
      </c>
      <c r="T37" s="40">
        <v>0.29930555555555555</v>
      </c>
      <c r="U37" s="358">
        <f t="shared" si="30"/>
        <v>6.0000000000000187</v>
      </c>
      <c r="V37" s="366">
        <f t="shared" si="29"/>
        <v>117.00000000000003</v>
      </c>
      <c r="W37" s="358"/>
      <c r="X37" s="358"/>
      <c r="Y37" s="358"/>
      <c r="Z37" s="358"/>
      <c r="AA37" s="491"/>
      <c r="AB37" s="491"/>
      <c r="AC37" s="154"/>
      <c r="AD37" s="25"/>
      <c r="AE37" s="19">
        <f t="shared" si="8"/>
        <v>-113.33333333333394</v>
      </c>
      <c r="AF37" s="361">
        <f t="shared" si="9"/>
        <v>0.9527777777777775</v>
      </c>
      <c r="AG37" s="489"/>
    </row>
    <row r="38" spans="1:33">
      <c r="A38" s="517" t="s">
        <v>2154</v>
      </c>
      <c r="B38" s="42" t="s">
        <v>80</v>
      </c>
      <c r="C38" s="490" t="s">
        <v>90</v>
      </c>
      <c r="D38" s="490"/>
      <c r="E38" s="42">
        <v>22.69</v>
      </c>
      <c r="F38" s="367">
        <v>1027</v>
      </c>
      <c r="G38" s="358">
        <f t="shared" si="27"/>
        <v>23302.63</v>
      </c>
      <c r="H38" s="369" t="s">
        <v>79</v>
      </c>
      <c r="I38" s="365">
        <v>15</v>
      </c>
      <c r="J38" s="37">
        <v>2400</v>
      </c>
      <c r="K38" s="17">
        <f t="shared" si="1"/>
        <v>160</v>
      </c>
      <c r="L38" s="365">
        <v>15</v>
      </c>
      <c r="M38" s="18">
        <f t="shared" si="28"/>
        <v>2370.0000000000014</v>
      </c>
      <c r="N38" s="17">
        <f t="shared" si="3"/>
        <v>158.00000000000009</v>
      </c>
      <c r="O38" s="19">
        <f t="shared" si="4"/>
        <v>0</v>
      </c>
      <c r="P38" s="20">
        <f t="shared" si="5"/>
        <v>-1.9999999999999147</v>
      </c>
      <c r="Q38" s="361">
        <f t="shared" si="6"/>
        <v>0.98750000000000049</v>
      </c>
      <c r="R38" s="489"/>
      <c r="S38" s="40">
        <v>0.30277777777777776</v>
      </c>
      <c r="T38" s="40">
        <v>0.3208333333333333</v>
      </c>
      <c r="U38" s="358">
        <f t="shared" si="30"/>
        <v>4.9999999999999822</v>
      </c>
      <c r="V38" s="366">
        <f t="shared" si="29"/>
        <v>25.999999999999986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-29.999999999998636</v>
      </c>
      <c r="AF38" s="361">
        <f t="shared" si="9"/>
        <v>0.9875000000000006</v>
      </c>
      <c r="AG38" s="489"/>
    </row>
    <row r="39" spans="1:33">
      <c r="A39" s="517" t="s">
        <v>2154</v>
      </c>
      <c r="B39" s="42" t="s">
        <v>80</v>
      </c>
      <c r="C39" s="490" t="s">
        <v>91</v>
      </c>
      <c r="D39" s="490"/>
      <c r="E39" s="42">
        <v>24.45</v>
      </c>
      <c r="F39" s="367">
        <v>1794</v>
      </c>
      <c r="G39" s="358">
        <f t="shared" si="27"/>
        <v>43863.299999999996</v>
      </c>
      <c r="H39" s="369" t="s">
        <v>79</v>
      </c>
      <c r="I39" s="365">
        <v>20</v>
      </c>
      <c r="J39" s="37">
        <v>2400</v>
      </c>
      <c r="K39" s="17">
        <f t="shared" si="1"/>
        <v>120</v>
      </c>
      <c r="L39" s="365">
        <v>20</v>
      </c>
      <c r="M39" s="18">
        <f t="shared" si="28"/>
        <v>2290.2127659574471</v>
      </c>
      <c r="N39" s="17">
        <f t="shared" si="3"/>
        <v>114.51063829787236</v>
      </c>
      <c r="O39" s="19">
        <f t="shared" si="4"/>
        <v>0</v>
      </c>
      <c r="P39" s="20">
        <f t="shared" si="5"/>
        <v>-5.4893617021276384</v>
      </c>
      <c r="Q39" s="361">
        <f t="shared" si="6"/>
        <v>0.95425531914893635</v>
      </c>
      <c r="R39" s="489"/>
      <c r="S39" s="40">
        <v>0.32638888888888884</v>
      </c>
      <c r="T39" s="40">
        <v>0.35902777777777772</v>
      </c>
      <c r="U39" s="358">
        <f t="shared" si="30"/>
        <v>7.9999999999999716</v>
      </c>
      <c r="V39" s="366">
        <f t="shared" si="29"/>
        <v>46.999999999999993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-109.78723404255288</v>
      </c>
      <c r="AF39" s="361">
        <f t="shared" si="9"/>
        <v>0.95425531914893635</v>
      </c>
      <c r="AG39" s="489"/>
    </row>
    <row r="40" spans="1:33">
      <c r="A40" s="517" t="s">
        <v>2154</v>
      </c>
      <c r="B40" s="42" t="s">
        <v>80</v>
      </c>
      <c r="C40" s="490" t="s">
        <v>1224</v>
      </c>
      <c r="D40" s="490"/>
      <c r="E40" s="42">
        <v>22.69</v>
      </c>
      <c r="F40" s="367">
        <v>6355</v>
      </c>
      <c r="G40" s="358">
        <f t="shared" si="27"/>
        <v>144194.95000000001</v>
      </c>
      <c r="H40" s="369" t="s">
        <v>79</v>
      </c>
      <c r="I40" s="365">
        <v>16</v>
      </c>
      <c r="J40" s="37">
        <v>2400</v>
      </c>
      <c r="K40" s="17">
        <f t="shared" si="1"/>
        <v>150</v>
      </c>
      <c r="L40" s="365">
        <v>16</v>
      </c>
      <c r="M40" s="18">
        <f t="shared" si="28"/>
        <v>2283.2335329341317</v>
      </c>
      <c r="N40" s="17">
        <f t="shared" si="3"/>
        <v>142.70209580838323</v>
      </c>
      <c r="O40" s="19">
        <f t="shared" si="4"/>
        <v>0</v>
      </c>
      <c r="P40" s="20">
        <f t="shared" si="5"/>
        <v>-7.297904191616766</v>
      </c>
      <c r="Q40" s="361">
        <f t="shared" si="6"/>
        <v>0.95134730538922152</v>
      </c>
      <c r="R40" s="489"/>
      <c r="S40" s="40">
        <v>0.36249999999999993</v>
      </c>
      <c r="T40" s="40">
        <v>0.47847222222222213</v>
      </c>
      <c r="U40" s="358">
        <f t="shared" si="30"/>
        <v>4.9999999999999822</v>
      </c>
      <c r="V40" s="366">
        <f t="shared" si="29"/>
        <v>166.99999999999997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-116.76646706586826</v>
      </c>
      <c r="AF40" s="361">
        <f t="shared" si="9"/>
        <v>0.95134730538922152</v>
      </c>
      <c r="AG40" s="489"/>
    </row>
    <row r="41" spans="1:33">
      <c r="A41" s="517" t="s">
        <v>2154</v>
      </c>
      <c r="B41" s="44" t="s">
        <v>2148</v>
      </c>
      <c r="C41" s="494"/>
      <c r="D41" s="494"/>
      <c r="E41" s="362"/>
      <c r="F41" s="44"/>
      <c r="G41" s="17"/>
      <c r="H41" s="367"/>
      <c r="I41" s="30">
        <v>17.833333333333332</v>
      </c>
      <c r="J41" s="37">
        <v>2400</v>
      </c>
      <c r="K41" s="17">
        <f t="shared" si="1"/>
        <v>134.57943925233647</v>
      </c>
      <c r="L41" s="30">
        <v>17.833333333333332</v>
      </c>
      <c r="M41" s="18">
        <f>AVERAGE(M35:M40)</f>
        <v>2307.155439614899</v>
      </c>
      <c r="N41" s="17">
        <f t="shared" si="3"/>
        <v>129.37320222139621</v>
      </c>
      <c r="O41" s="19">
        <f t="shared" si="4"/>
        <v>0</v>
      </c>
      <c r="P41" s="20">
        <f t="shared" si="5"/>
        <v>-5.2062370309402581</v>
      </c>
      <c r="Q41" s="361">
        <f t="shared" si="6"/>
        <v>0.96131476650620784</v>
      </c>
      <c r="R41" s="489"/>
      <c r="S41" s="40"/>
      <c r="T41" s="40"/>
      <c r="U41" s="17"/>
      <c r="V41" s="366"/>
      <c r="W41" s="17"/>
      <c r="X41" s="17"/>
      <c r="Y41" s="31">
        <f>SUM(Y35:Y40)</f>
        <v>0</v>
      </c>
      <c r="Z41" s="31">
        <f>SUM(Z35:Z40)</f>
        <v>0</v>
      </c>
      <c r="AA41" s="495"/>
      <c r="AB41" s="495"/>
      <c r="AC41" s="31">
        <v>6</v>
      </c>
      <c r="AD41" s="31">
        <f>SUM(AD35:AD40)</f>
        <v>0</v>
      </c>
      <c r="AE41" s="19">
        <f t="shared" si="8"/>
        <v>-92.844560385100976</v>
      </c>
      <c r="AF41" s="361">
        <f t="shared" si="9"/>
        <v>0.96131476650620795</v>
      </c>
      <c r="AG41" s="489"/>
    </row>
    <row r="42" spans="1:33" ht="15.75" customHeight="1">
      <c r="A42" s="512" t="s">
        <v>2155</v>
      </c>
      <c r="B42" s="42" t="s">
        <v>93</v>
      </c>
      <c r="C42" s="501" t="s">
        <v>94</v>
      </c>
      <c r="D42" s="502"/>
      <c r="E42" s="42">
        <v>21.13</v>
      </c>
      <c r="F42" s="367">
        <v>4517</v>
      </c>
      <c r="G42" s="358">
        <f t="shared" ref="G42:G48" si="31">E42*F42</f>
        <v>95444.209999999992</v>
      </c>
      <c r="H42" s="369" t="s">
        <v>79</v>
      </c>
      <c r="I42" s="365">
        <v>10</v>
      </c>
      <c r="J42" s="37">
        <v>3000</v>
      </c>
      <c r="K42" s="17">
        <f t="shared" si="1"/>
        <v>300</v>
      </c>
      <c r="L42" s="365">
        <v>10</v>
      </c>
      <c r="M42" s="18">
        <f t="shared" ref="M42:M48" si="32">F42/V42*60</f>
        <v>2852.8421052631575</v>
      </c>
      <c r="N42" s="18">
        <f t="shared" si="3"/>
        <v>285.28421052631575</v>
      </c>
      <c r="O42" s="19">
        <f t="shared" si="4"/>
        <v>0</v>
      </c>
      <c r="P42" s="20">
        <f t="shared" si="5"/>
        <v>-14.715789473684254</v>
      </c>
      <c r="Q42" s="361">
        <f t="shared" si="6"/>
        <v>0.95094736842105254</v>
      </c>
      <c r="R42" s="509">
        <f>Q49</f>
        <v>0.95776955685028309</v>
      </c>
      <c r="S42" s="40">
        <v>8.3333333333333329E-2</v>
      </c>
      <c r="T42" s="40">
        <v>0.14930555555555555</v>
      </c>
      <c r="U42" s="28"/>
      <c r="V42" s="366">
        <f t="shared" ref="V42:V48" si="33">(T42-S42)*24*60</f>
        <v>95.000000000000014</v>
      </c>
      <c r="W42" s="23">
        <f>T42</f>
        <v>0.14930555555555555</v>
      </c>
      <c r="X42" s="23">
        <f>S43</f>
        <v>0.1673611111111111</v>
      </c>
      <c r="Y42" s="26"/>
      <c r="Z42" s="26"/>
      <c r="AA42" s="503"/>
      <c r="AB42" s="504"/>
      <c r="AC42" s="154" t="s">
        <v>79</v>
      </c>
      <c r="AD42" s="25"/>
      <c r="AE42" s="19">
        <f t="shared" si="8"/>
        <v>-147.15789473684254</v>
      </c>
      <c r="AF42" s="361">
        <f t="shared" si="9"/>
        <v>0.95094736842105254</v>
      </c>
      <c r="AG42" s="509">
        <f>AF49</f>
        <v>0.95776955685028298</v>
      </c>
    </row>
    <row r="43" spans="1:33" ht="15.75" customHeight="1">
      <c r="A43" s="513" t="s">
        <v>317</v>
      </c>
      <c r="B43" s="42" t="s">
        <v>93</v>
      </c>
      <c r="C43" s="501" t="s">
        <v>95</v>
      </c>
      <c r="D43" s="502"/>
      <c r="E43" s="42">
        <v>27.17</v>
      </c>
      <c r="F43" s="367">
        <v>5885</v>
      </c>
      <c r="G43" s="358">
        <f t="shared" si="31"/>
        <v>159895.45000000001</v>
      </c>
      <c r="H43" s="369" t="s">
        <v>79</v>
      </c>
      <c r="I43" s="365">
        <v>10</v>
      </c>
      <c r="J43" s="37">
        <v>3000</v>
      </c>
      <c r="K43" s="17">
        <f t="shared" si="1"/>
        <v>300</v>
      </c>
      <c r="L43" s="365">
        <v>10</v>
      </c>
      <c r="M43" s="18">
        <f t="shared" si="32"/>
        <v>2870.7317073170734</v>
      </c>
      <c r="N43" s="18">
        <f t="shared" si="3"/>
        <v>287.07317073170736</v>
      </c>
      <c r="O43" s="19">
        <f t="shared" si="4"/>
        <v>0</v>
      </c>
      <c r="P43" s="20">
        <f t="shared" si="5"/>
        <v>-12.926829268292636</v>
      </c>
      <c r="Q43" s="361">
        <f t="shared" si="6"/>
        <v>0.95691056910569117</v>
      </c>
      <c r="R43" s="510"/>
      <c r="S43" s="40">
        <v>0.1673611111111111</v>
      </c>
      <c r="T43" s="40">
        <v>0.25277777777777777</v>
      </c>
      <c r="U43" s="358">
        <f t="shared" ref="U43:U48" si="34">(S43-T42)*24*60</f>
        <v>25.999999999999986</v>
      </c>
      <c r="V43" s="366">
        <f t="shared" si="33"/>
        <v>122.99999999999999</v>
      </c>
      <c r="W43" s="23"/>
      <c r="X43" s="23"/>
      <c r="Y43" s="26"/>
      <c r="Z43" s="26"/>
      <c r="AA43" s="503"/>
      <c r="AB43" s="504"/>
      <c r="AC43" s="154">
        <v>1</v>
      </c>
      <c r="AD43" s="25"/>
      <c r="AE43" s="19">
        <f t="shared" si="8"/>
        <v>-129.26829268292659</v>
      </c>
      <c r="AF43" s="361">
        <f t="shared" si="9"/>
        <v>0.95691056910569117</v>
      </c>
      <c r="AG43" s="510"/>
    </row>
    <row r="44" spans="1:33" ht="15.75" customHeight="1">
      <c r="A44" s="513" t="s">
        <v>2156</v>
      </c>
      <c r="B44" s="42" t="s">
        <v>93</v>
      </c>
      <c r="C44" s="501" t="s">
        <v>96</v>
      </c>
      <c r="D44" s="502"/>
      <c r="E44" s="42">
        <v>35.119999999999997</v>
      </c>
      <c r="F44" s="367">
        <v>4508</v>
      </c>
      <c r="G44" s="358">
        <f t="shared" si="31"/>
        <v>158320.95999999999</v>
      </c>
      <c r="H44" s="369" t="s">
        <v>79</v>
      </c>
      <c r="I44" s="365">
        <v>10</v>
      </c>
      <c r="J44" s="37">
        <v>3000</v>
      </c>
      <c r="K44" s="17">
        <f t="shared" si="1"/>
        <v>300</v>
      </c>
      <c r="L44" s="365">
        <v>10</v>
      </c>
      <c r="M44" s="18">
        <f t="shared" si="32"/>
        <v>2877.4468085106387</v>
      </c>
      <c r="N44" s="18">
        <f t="shared" si="3"/>
        <v>287.74468085106389</v>
      </c>
      <c r="O44" s="19">
        <f t="shared" si="4"/>
        <v>0</v>
      </c>
      <c r="P44" s="20">
        <f t="shared" si="5"/>
        <v>-12.25531914893611</v>
      </c>
      <c r="Q44" s="361">
        <f t="shared" si="6"/>
        <v>0.95914893617021302</v>
      </c>
      <c r="R44" s="510"/>
      <c r="S44" s="40">
        <v>0.2583333333333333</v>
      </c>
      <c r="T44" s="40">
        <v>0.32361111111111107</v>
      </c>
      <c r="U44" s="358">
        <f t="shared" si="34"/>
        <v>7.9999999999999716</v>
      </c>
      <c r="V44" s="366">
        <f t="shared" si="33"/>
        <v>93.999999999999986</v>
      </c>
      <c r="W44" s="23"/>
      <c r="X44" s="23"/>
      <c r="Y44" s="26"/>
      <c r="Z44" s="26"/>
      <c r="AA44" s="503"/>
      <c r="AB44" s="504"/>
      <c r="AC44" s="154" t="s">
        <v>79</v>
      </c>
      <c r="AD44" s="25"/>
      <c r="AE44" s="19">
        <f t="shared" si="8"/>
        <v>-122.55319148936132</v>
      </c>
      <c r="AF44" s="361">
        <f t="shared" si="9"/>
        <v>0.95914893617021291</v>
      </c>
      <c r="AG44" s="510"/>
    </row>
    <row r="45" spans="1:33" ht="15.75" customHeight="1">
      <c r="A45" s="513" t="s">
        <v>2157</v>
      </c>
      <c r="B45" s="42" t="s">
        <v>93</v>
      </c>
      <c r="C45" s="501" t="s">
        <v>110</v>
      </c>
      <c r="D45" s="502"/>
      <c r="E45" s="42">
        <v>26.78</v>
      </c>
      <c r="F45" s="367">
        <v>2320</v>
      </c>
      <c r="G45" s="358">
        <f t="shared" si="31"/>
        <v>62129.600000000006</v>
      </c>
      <c r="H45" s="369" t="s">
        <v>79</v>
      </c>
      <c r="I45" s="365">
        <v>10</v>
      </c>
      <c r="J45" s="37">
        <v>3000</v>
      </c>
      <c r="K45" s="17">
        <f t="shared" si="1"/>
        <v>300</v>
      </c>
      <c r="L45" s="365">
        <v>10</v>
      </c>
      <c r="M45" s="18">
        <f t="shared" si="32"/>
        <v>2900.0000000000009</v>
      </c>
      <c r="N45" s="18">
        <f t="shared" si="3"/>
        <v>290.00000000000011</v>
      </c>
      <c r="O45" s="19">
        <f t="shared" si="4"/>
        <v>0</v>
      </c>
      <c r="P45" s="20">
        <f t="shared" si="5"/>
        <v>-9.9999999999998863</v>
      </c>
      <c r="Q45" s="361">
        <f t="shared" si="6"/>
        <v>0.96666666666666701</v>
      </c>
      <c r="R45" s="510"/>
      <c r="S45" s="40">
        <v>0.32708333333333328</v>
      </c>
      <c r="T45" s="40">
        <v>0.36041666666666661</v>
      </c>
      <c r="U45" s="358">
        <f t="shared" si="34"/>
        <v>4.9999999999999822</v>
      </c>
      <c r="V45" s="366">
        <f t="shared" si="33"/>
        <v>47.999999999999986</v>
      </c>
      <c r="W45" s="23"/>
      <c r="X45" s="23"/>
      <c r="Y45" s="26"/>
      <c r="Z45" s="26"/>
      <c r="AA45" s="503"/>
      <c r="AB45" s="504"/>
      <c r="AC45" s="154" t="s">
        <v>79</v>
      </c>
      <c r="AD45" s="25"/>
      <c r="AE45" s="19">
        <f t="shared" si="8"/>
        <v>-99.999999999999091</v>
      </c>
      <c r="AF45" s="361">
        <f t="shared" si="9"/>
        <v>0.96666666666666701</v>
      </c>
      <c r="AG45" s="510"/>
    </row>
    <row r="46" spans="1:33" ht="15.75" customHeight="1">
      <c r="A46" s="513" t="s">
        <v>2157</v>
      </c>
      <c r="B46" s="42" t="s">
        <v>93</v>
      </c>
      <c r="C46" s="501" t="s">
        <v>99</v>
      </c>
      <c r="D46" s="502"/>
      <c r="E46" s="42">
        <v>32.020000000000003</v>
      </c>
      <c r="F46" s="367">
        <v>1763</v>
      </c>
      <c r="G46" s="358">
        <f t="shared" si="31"/>
        <v>56451.26</v>
      </c>
      <c r="H46" s="369" t="s">
        <v>79</v>
      </c>
      <c r="I46" s="365">
        <v>11</v>
      </c>
      <c r="J46" s="37">
        <v>3000</v>
      </c>
      <c r="K46" s="17">
        <f t="shared" si="1"/>
        <v>272.72727272727275</v>
      </c>
      <c r="L46" s="365">
        <v>11</v>
      </c>
      <c r="M46" s="18">
        <f t="shared" si="32"/>
        <v>2858.9189189189165</v>
      </c>
      <c r="N46" s="18">
        <f t="shared" si="3"/>
        <v>259.90171990171967</v>
      </c>
      <c r="O46" s="19">
        <f t="shared" si="4"/>
        <v>0</v>
      </c>
      <c r="P46" s="20">
        <f t="shared" si="5"/>
        <v>-12.825552825553075</v>
      </c>
      <c r="Q46" s="361">
        <f t="shared" si="6"/>
        <v>0.95297297297297201</v>
      </c>
      <c r="R46" s="510"/>
      <c r="S46" s="40">
        <v>0.36597222222222214</v>
      </c>
      <c r="T46" s="40">
        <v>0.39166666666666661</v>
      </c>
      <c r="U46" s="358">
        <f t="shared" si="34"/>
        <v>7.9999999999999716</v>
      </c>
      <c r="V46" s="366">
        <f t="shared" si="33"/>
        <v>37.000000000000028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-141.08108108108354</v>
      </c>
      <c r="AF46" s="361">
        <f t="shared" si="9"/>
        <v>0.95297297297297212</v>
      </c>
      <c r="AG46" s="510"/>
    </row>
    <row r="47" spans="1:33" ht="15.75" customHeight="1">
      <c r="A47" s="513" t="s">
        <v>2157</v>
      </c>
      <c r="B47" s="42" t="s">
        <v>93</v>
      </c>
      <c r="C47" s="501" t="s">
        <v>112</v>
      </c>
      <c r="D47" s="502"/>
      <c r="E47" s="42">
        <v>35.869999999999997</v>
      </c>
      <c r="F47" s="367">
        <v>3050</v>
      </c>
      <c r="G47" s="358">
        <f t="shared" si="31"/>
        <v>109403.49999999999</v>
      </c>
      <c r="H47" s="369" t="s">
        <v>79</v>
      </c>
      <c r="I47" s="365">
        <v>9</v>
      </c>
      <c r="J47" s="37">
        <v>3000</v>
      </c>
      <c r="K47" s="17">
        <f t="shared" si="1"/>
        <v>333.33333333333331</v>
      </c>
      <c r="L47" s="365">
        <v>9</v>
      </c>
      <c r="M47" s="18">
        <f t="shared" si="32"/>
        <v>2859.3749999999995</v>
      </c>
      <c r="N47" s="18">
        <f t="shared" si="3"/>
        <v>317.70833333333326</v>
      </c>
      <c r="O47" s="19">
        <f t="shared" si="4"/>
        <v>0</v>
      </c>
      <c r="P47" s="20">
        <f t="shared" si="5"/>
        <v>-15.625000000000057</v>
      </c>
      <c r="Q47" s="361">
        <f t="shared" si="6"/>
        <v>0.95312499999999978</v>
      </c>
      <c r="R47" s="510"/>
      <c r="S47" s="40">
        <v>0.3965277777777777</v>
      </c>
      <c r="T47" s="40">
        <v>0.44097222222222215</v>
      </c>
      <c r="U47" s="358">
        <f t="shared" si="34"/>
        <v>6.9999999999999751</v>
      </c>
      <c r="V47" s="366">
        <f t="shared" si="33"/>
        <v>64.000000000000014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-140.62500000000045</v>
      </c>
      <c r="AF47" s="361">
        <f t="shared" si="9"/>
        <v>0.95312499999999989</v>
      </c>
      <c r="AG47" s="510"/>
    </row>
    <row r="48" spans="1:33" ht="15.75" customHeight="1">
      <c r="A48" s="513" t="s">
        <v>2157</v>
      </c>
      <c r="B48" s="42" t="s">
        <v>93</v>
      </c>
      <c r="C48" s="501" t="s">
        <v>1778</v>
      </c>
      <c r="D48" s="502"/>
      <c r="E48" s="42">
        <v>44.03</v>
      </c>
      <c r="F48" s="367">
        <v>2508</v>
      </c>
      <c r="G48" s="358">
        <f t="shared" si="31"/>
        <v>110427.24</v>
      </c>
      <c r="H48" s="369" t="s">
        <v>79</v>
      </c>
      <c r="I48" s="365">
        <v>10</v>
      </c>
      <c r="J48" s="37">
        <v>3000</v>
      </c>
      <c r="K48" s="17">
        <f t="shared" si="1"/>
        <v>300</v>
      </c>
      <c r="L48" s="365">
        <v>10</v>
      </c>
      <c r="M48" s="18">
        <f t="shared" si="32"/>
        <v>2893.8461538461552</v>
      </c>
      <c r="N48" s="18">
        <f t="shared" si="3"/>
        <v>289.38461538461553</v>
      </c>
      <c r="O48" s="19">
        <f t="shared" si="4"/>
        <v>0</v>
      </c>
      <c r="P48" s="20">
        <f t="shared" si="5"/>
        <v>-10.615384615384471</v>
      </c>
      <c r="Q48" s="361">
        <f t="shared" si="6"/>
        <v>0.9646153846153851</v>
      </c>
      <c r="R48" s="510"/>
      <c r="S48" s="40">
        <v>0.44513888888888881</v>
      </c>
      <c r="T48" s="40">
        <v>0.4812499999999999</v>
      </c>
      <c r="U48" s="358">
        <f t="shared" si="34"/>
        <v>5.9999999999999787</v>
      </c>
      <c r="V48" s="366">
        <f t="shared" si="33"/>
        <v>51.999999999999972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-106.15384615384482</v>
      </c>
      <c r="AF48" s="361">
        <f t="shared" si="9"/>
        <v>0.9646153846153851</v>
      </c>
      <c r="AG48" s="510"/>
    </row>
    <row r="49" spans="1:33" ht="15.75" customHeight="1">
      <c r="A49" s="514" t="s">
        <v>317</v>
      </c>
      <c r="B49" s="42" t="s">
        <v>2158</v>
      </c>
      <c r="C49" s="492"/>
      <c r="D49" s="493"/>
      <c r="E49" s="359"/>
      <c r="F49" s="367"/>
      <c r="G49" s="358"/>
      <c r="H49" s="367"/>
      <c r="I49" s="30">
        <v>10</v>
      </c>
      <c r="J49" s="37">
        <v>3000</v>
      </c>
      <c r="K49" s="17">
        <f t="shared" si="1"/>
        <v>300</v>
      </c>
      <c r="L49" s="30">
        <v>10</v>
      </c>
      <c r="M49" s="18">
        <f>AVERAGE(M42:M48)</f>
        <v>2873.308670550849</v>
      </c>
      <c r="N49" s="17">
        <f t="shared" si="3"/>
        <v>287.33086705508492</v>
      </c>
      <c r="O49" s="19">
        <f t="shared" si="4"/>
        <v>0</v>
      </c>
      <c r="P49" s="20">
        <f t="shared" si="5"/>
        <v>-12.669132944915077</v>
      </c>
      <c r="Q49" s="361">
        <f t="shared" si="6"/>
        <v>0.95776955685028309</v>
      </c>
      <c r="R49" s="511"/>
      <c r="S49" s="40"/>
      <c r="T49" s="40"/>
      <c r="U49" s="358"/>
      <c r="V49" s="366"/>
      <c r="W49" s="23"/>
      <c r="X49" s="23"/>
      <c r="Y49" s="31">
        <f>SUM(Y42:Y48)</f>
        <v>0</v>
      </c>
      <c r="Z49" s="31">
        <f>SUM(Z42:Z48)</f>
        <v>0</v>
      </c>
      <c r="AA49" s="505"/>
      <c r="AB49" s="506"/>
      <c r="AC49" s="31">
        <v>1</v>
      </c>
      <c r="AD49" s="31">
        <f>SUM(AD42:AD48)</f>
        <v>0</v>
      </c>
      <c r="AE49" s="19">
        <f t="shared" si="8"/>
        <v>-126.691329449151</v>
      </c>
      <c r="AF49" s="361">
        <f t="shared" si="9"/>
        <v>0.95776955685028298</v>
      </c>
      <c r="AG49" s="511"/>
    </row>
    <row r="50" spans="1:33" ht="15.75" customHeight="1">
      <c r="A50" s="507" t="s">
        <v>2159</v>
      </c>
      <c r="B50" s="42" t="s">
        <v>100</v>
      </c>
      <c r="C50" s="490" t="s">
        <v>101</v>
      </c>
      <c r="D50" s="490"/>
      <c r="E50" s="42">
        <v>46</v>
      </c>
      <c r="F50" s="46">
        <v>1357</v>
      </c>
      <c r="G50" s="358">
        <f t="shared" ref="G50:G58" si="35">E50*F50</f>
        <v>62422</v>
      </c>
      <c r="H50" s="369" t="s">
        <v>79</v>
      </c>
      <c r="I50" s="365">
        <v>17</v>
      </c>
      <c r="J50" s="37">
        <v>2000</v>
      </c>
      <c r="K50" s="17">
        <f t="shared" si="1"/>
        <v>117.64705882352941</v>
      </c>
      <c r="L50" s="365">
        <v>17</v>
      </c>
      <c r="M50" s="18">
        <f t="shared" ref="M50:M58" si="36">F50/V50*60</f>
        <v>1938.5714285714278</v>
      </c>
      <c r="N50" s="18">
        <f t="shared" si="3"/>
        <v>114.03361344537811</v>
      </c>
      <c r="O50" s="19">
        <f t="shared" si="4"/>
        <v>0</v>
      </c>
      <c r="P50" s="20">
        <f t="shared" si="5"/>
        <v>-3.6134453781512974</v>
      </c>
      <c r="Q50" s="361">
        <f t="shared" si="6"/>
        <v>0.96928571428571397</v>
      </c>
      <c r="R50" s="489">
        <f>Q59</f>
        <v>0.93670004664057782</v>
      </c>
      <c r="S50" s="40">
        <v>0.20833333333333334</v>
      </c>
      <c r="T50" s="40">
        <v>0.23750000000000002</v>
      </c>
      <c r="U50" s="28"/>
      <c r="V50" s="366">
        <f t="shared" ref="V50:V58" si="37">(T50-S50)*24*60</f>
        <v>42.000000000000014</v>
      </c>
      <c r="W50" s="28"/>
      <c r="X50" s="28"/>
      <c r="Y50" s="28"/>
      <c r="Z50" s="28"/>
      <c r="AA50" s="491"/>
      <c r="AB50" s="491"/>
      <c r="AC50" s="154">
        <v>4</v>
      </c>
      <c r="AD50" s="25"/>
      <c r="AE50" s="19">
        <f t="shared" si="8"/>
        <v>-61.428571428572241</v>
      </c>
      <c r="AF50" s="361">
        <f t="shared" si="9"/>
        <v>0.96928571428571386</v>
      </c>
      <c r="AG50" s="489">
        <f>AF59</f>
        <v>0.93670004664057782</v>
      </c>
    </row>
    <row r="51" spans="1:33" ht="15.75" customHeight="1">
      <c r="A51" s="507" t="s">
        <v>2160</v>
      </c>
      <c r="B51" s="42" t="s">
        <v>100</v>
      </c>
      <c r="C51" s="490" t="s">
        <v>102</v>
      </c>
      <c r="D51" s="490"/>
      <c r="E51" s="42">
        <v>46</v>
      </c>
      <c r="F51" s="46">
        <v>1521</v>
      </c>
      <c r="G51" s="358">
        <f t="shared" si="35"/>
        <v>69966</v>
      </c>
      <c r="H51" s="369" t="s">
        <v>79</v>
      </c>
      <c r="I51" s="365">
        <v>17</v>
      </c>
      <c r="J51" s="37">
        <v>2000</v>
      </c>
      <c r="K51" s="17">
        <f t="shared" si="1"/>
        <v>117.64705882352941</v>
      </c>
      <c r="L51" s="365">
        <v>17</v>
      </c>
      <c r="M51" s="18">
        <f t="shared" si="36"/>
        <v>1901.2500000000007</v>
      </c>
      <c r="N51" s="18">
        <f t="shared" si="3"/>
        <v>111.83823529411768</v>
      </c>
      <c r="O51" s="19">
        <f t="shared" si="4"/>
        <v>0</v>
      </c>
      <c r="P51" s="20">
        <f t="shared" si="5"/>
        <v>-5.8088235294117254</v>
      </c>
      <c r="Q51" s="361">
        <f t="shared" si="6"/>
        <v>0.95062500000000039</v>
      </c>
      <c r="R51" s="489"/>
      <c r="S51" s="40">
        <v>0.2416666666666667</v>
      </c>
      <c r="T51" s="40">
        <v>0.27500000000000002</v>
      </c>
      <c r="U51" s="358">
        <f t="shared" ref="U51:U58" si="38">IF(S51=TIME(17,0,0),"",(S51-T50)*24*60)</f>
        <v>6.0000000000000187</v>
      </c>
      <c r="V51" s="366">
        <f t="shared" si="37"/>
        <v>47.999999999999986</v>
      </c>
      <c r="W51" s="23"/>
      <c r="X51" s="23"/>
      <c r="Y51" s="23"/>
      <c r="Z51" s="23"/>
      <c r="AA51" s="491"/>
      <c r="AB51" s="491"/>
      <c r="AC51" s="154"/>
      <c r="AD51" s="25"/>
      <c r="AE51" s="19">
        <f t="shared" si="8"/>
        <v>-98.749999999999318</v>
      </c>
      <c r="AF51" s="361">
        <f t="shared" si="9"/>
        <v>0.95062500000000039</v>
      </c>
      <c r="AG51" s="489"/>
    </row>
    <row r="52" spans="1:33" ht="15.75" customHeight="1">
      <c r="A52" s="507" t="s">
        <v>2160</v>
      </c>
      <c r="B52" s="42" t="s">
        <v>103</v>
      </c>
      <c r="C52" s="501" t="s">
        <v>105</v>
      </c>
      <c r="D52" s="502"/>
      <c r="E52" s="42">
        <v>56.43</v>
      </c>
      <c r="F52" s="46">
        <v>1706</v>
      </c>
      <c r="G52" s="358">
        <f t="shared" si="35"/>
        <v>96269.58</v>
      </c>
      <c r="H52" s="369" t="s">
        <v>79</v>
      </c>
      <c r="I52" s="365">
        <v>22</v>
      </c>
      <c r="J52" s="37">
        <v>2000</v>
      </c>
      <c r="K52" s="17">
        <f t="shared" si="1"/>
        <v>90.909090909090907</v>
      </c>
      <c r="L52" s="365">
        <v>22</v>
      </c>
      <c r="M52" s="18">
        <f t="shared" si="36"/>
        <v>1764.8275862068954</v>
      </c>
      <c r="N52" s="18">
        <f t="shared" si="3"/>
        <v>80.219435736677056</v>
      </c>
      <c r="O52" s="19">
        <f t="shared" si="4"/>
        <v>0</v>
      </c>
      <c r="P52" s="20">
        <f t="shared" si="5"/>
        <v>-10.68965517241385</v>
      </c>
      <c r="Q52" s="361">
        <f t="shared" si="6"/>
        <v>0.8824137931034477</v>
      </c>
      <c r="R52" s="489"/>
      <c r="S52" s="40">
        <v>0.27986111111111112</v>
      </c>
      <c r="T52" s="40">
        <v>0.32013888888888892</v>
      </c>
      <c r="U52" s="358">
        <f t="shared" si="38"/>
        <v>6.9999999999999751</v>
      </c>
      <c r="V52" s="366">
        <f t="shared" si="37"/>
        <v>58.000000000000036</v>
      </c>
      <c r="W52" s="23"/>
      <c r="X52" s="23"/>
      <c r="Y52" s="26"/>
      <c r="Z52" s="26"/>
      <c r="AA52" s="491"/>
      <c r="AB52" s="491"/>
      <c r="AC52" s="154"/>
      <c r="AD52" s="25"/>
      <c r="AE52" s="19">
        <f t="shared" si="8"/>
        <v>-235.17241379310462</v>
      </c>
      <c r="AF52" s="361">
        <f t="shared" si="9"/>
        <v>0.8824137931034477</v>
      </c>
      <c r="AG52" s="489"/>
    </row>
    <row r="53" spans="1:33" ht="15.75" customHeight="1">
      <c r="A53" s="507" t="s">
        <v>67</v>
      </c>
      <c r="B53" s="42" t="s">
        <v>103</v>
      </c>
      <c r="C53" s="363" t="s">
        <v>518</v>
      </c>
      <c r="D53" s="364"/>
      <c r="E53" s="42">
        <v>51.75</v>
      </c>
      <c r="F53" s="46">
        <v>1687</v>
      </c>
      <c r="G53" s="358">
        <f t="shared" si="35"/>
        <v>87302.25</v>
      </c>
      <c r="H53" s="369" t="s">
        <v>79</v>
      </c>
      <c r="I53" s="365">
        <v>25</v>
      </c>
      <c r="J53" s="37">
        <v>2000</v>
      </c>
      <c r="K53" s="17">
        <f t="shared" si="1"/>
        <v>80</v>
      </c>
      <c r="L53" s="365">
        <v>25</v>
      </c>
      <c r="M53" s="18">
        <f t="shared" si="36"/>
        <v>1686.9999999999991</v>
      </c>
      <c r="N53" s="18">
        <f t="shared" si="3"/>
        <v>67.479999999999961</v>
      </c>
      <c r="O53" s="19">
        <f t="shared" si="4"/>
        <v>0</v>
      </c>
      <c r="P53" s="20">
        <f t="shared" si="5"/>
        <v>-12.520000000000039</v>
      </c>
      <c r="Q53" s="361">
        <f t="shared" si="6"/>
        <v>0.84349999999999947</v>
      </c>
      <c r="R53" s="489"/>
      <c r="S53" s="40">
        <v>0.32361111111111113</v>
      </c>
      <c r="T53" s="40">
        <v>0.36527777777777781</v>
      </c>
      <c r="U53" s="358">
        <f t="shared" si="38"/>
        <v>4.9999999999999822</v>
      </c>
      <c r="V53" s="366">
        <f t="shared" si="37"/>
        <v>60.000000000000028</v>
      </c>
      <c r="W53" s="23"/>
      <c r="X53" s="23"/>
      <c r="Y53" s="26"/>
      <c r="Z53" s="26"/>
      <c r="AA53" s="491"/>
      <c r="AB53" s="491"/>
      <c r="AC53" s="154"/>
      <c r="AD53" s="25"/>
      <c r="AE53" s="19">
        <f t="shared" si="8"/>
        <v>-313.00000000000091</v>
      </c>
      <c r="AF53" s="361">
        <f t="shared" si="9"/>
        <v>0.84349999999999958</v>
      </c>
      <c r="AG53" s="489"/>
    </row>
    <row r="54" spans="1:33" ht="15.75" customHeight="1">
      <c r="A54" s="507" t="s">
        <v>67</v>
      </c>
      <c r="B54" s="42" t="s">
        <v>103</v>
      </c>
      <c r="C54" s="363" t="s">
        <v>1781</v>
      </c>
      <c r="D54" s="364"/>
      <c r="E54" s="42">
        <v>54.09</v>
      </c>
      <c r="F54" s="46">
        <v>1887</v>
      </c>
      <c r="G54" s="358">
        <f t="shared" si="35"/>
        <v>102067.83</v>
      </c>
      <c r="H54" s="369" t="s">
        <v>79</v>
      </c>
      <c r="I54" s="365">
        <v>19</v>
      </c>
      <c r="J54" s="37">
        <v>1700</v>
      </c>
      <c r="K54" s="17">
        <f t="shared" si="1"/>
        <v>89.473684210526315</v>
      </c>
      <c r="L54" s="365">
        <v>19</v>
      </c>
      <c r="M54" s="18">
        <f t="shared" si="36"/>
        <v>1640.8695652173915</v>
      </c>
      <c r="N54" s="18">
        <f t="shared" si="3"/>
        <v>86.361556064073241</v>
      </c>
      <c r="O54" s="19">
        <f t="shared" si="4"/>
        <v>0</v>
      </c>
      <c r="P54" s="20">
        <f t="shared" si="5"/>
        <v>-3.1121281464530739</v>
      </c>
      <c r="Q54" s="361">
        <f t="shared" si="6"/>
        <v>0.96521739130434803</v>
      </c>
      <c r="R54" s="489"/>
      <c r="S54" s="40">
        <v>0.37013888888888891</v>
      </c>
      <c r="T54" s="40">
        <v>0.41805555555555557</v>
      </c>
      <c r="U54" s="358">
        <f t="shared" si="38"/>
        <v>6.9999999999999751</v>
      </c>
      <c r="V54" s="366">
        <f t="shared" si="37"/>
        <v>69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-59.130434782608518</v>
      </c>
      <c r="AF54" s="361">
        <f t="shared" si="9"/>
        <v>0.96521739130434792</v>
      </c>
      <c r="AG54" s="489"/>
    </row>
    <row r="55" spans="1:33" ht="15.75" customHeight="1">
      <c r="A55" s="507" t="s">
        <v>67</v>
      </c>
      <c r="B55" s="42" t="s">
        <v>103</v>
      </c>
      <c r="C55" s="501" t="s">
        <v>106</v>
      </c>
      <c r="D55" s="502"/>
      <c r="E55" s="42">
        <v>55.56</v>
      </c>
      <c r="F55" s="46">
        <v>1715</v>
      </c>
      <c r="G55" s="358">
        <f t="shared" si="35"/>
        <v>95285.400000000009</v>
      </c>
      <c r="H55" s="369" t="s">
        <v>79</v>
      </c>
      <c r="I55" s="365">
        <v>17</v>
      </c>
      <c r="J55" s="37">
        <v>2000</v>
      </c>
      <c r="K55" s="17">
        <f t="shared" si="1"/>
        <v>117.64705882352941</v>
      </c>
      <c r="L55" s="365">
        <v>17</v>
      </c>
      <c r="M55" s="18">
        <f t="shared" si="36"/>
        <v>1905.5555555555566</v>
      </c>
      <c r="N55" s="18">
        <f t="shared" si="3"/>
        <v>112.09150326797392</v>
      </c>
      <c r="O55" s="19">
        <f t="shared" si="4"/>
        <v>0</v>
      </c>
      <c r="P55" s="20">
        <f t="shared" si="5"/>
        <v>-5.5555555555554861</v>
      </c>
      <c r="Q55" s="361">
        <f t="shared" si="6"/>
        <v>0.95277777777777839</v>
      </c>
      <c r="R55" s="489"/>
      <c r="S55" s="40">
        <v>0.70833333333333337</v>
      </c>
      <c r="T55" s="40">
        <v>0.74583333333333335</v>
      </c>
      <c r="U55" s="358" t="str">
        <f t="shared" si="38"/>
        <v/>
      </c>
      <c r="V55" s="366">
        <f t="shared" si="37"/>
        <v>53.999999999999972</v>
      </c>
      <c r="W55" s="23"/>
      <c r="X55" s="23"/>
      <c r="Y55" s="26"/>
      <c r="Z55" s="26"/>
      <c r="AA55" s="503"/>
      <c r="AB55" s="504"/>
      <c r="AC55" s="154"/>
      <c r="AD55" s="25"/>
      <c r="AE55" s="19">
        <f t="shared" si="8"/>
        <v>-94.444444444443434</v>
      </c>
      <c r="AF55" s="361">
        <f t="shared" si="9"/>
        <v>0.95277777777777828</v>
      </c>
      <c r="AG55" s="489"/>
    </row>
    <row r="56" spans="1:33" ht="15.75" customHeight="1">
      <c r="A56" s="507" t="s">
        <v>2161</v>
      </c>
      <c r="B56" s="42" t="s">
        <v>103</v>
      </c>
      <c r="C56" s="501" t="s">
        <v>107</v>
      </c>
      <c r="D56" s="502"/>
      <c r="E56" s="42">
        <v>55.32</v>
      </c>
      <c r="F56" s="46">
        <v>1147</v>
      </c>
      <c r="G56" s="358">
        <f t="shared" si="35"/>
        <v>63452.04</v>
      </c>
      <c r="H56" s="369" t="s">
        <v>79</v>
      </c>
      <c r="I56" s="365">
        <v>15</v>
      </c>
      <c r="J56" s="37">
        <v>2000</v>
      </c>
      <c r="K56" s="17">
        <f t="shared" si="1"/>
        <v>133.33333333333334</v>
      </c>
      <c r="L56" s="365">
        <v>15</v>
      </c>
      <c r="M56" s="18">
        <f t="shared" si="36"/>
        <v>1911.6666666666652</v>
      </c>
      <c r="N56" s="18">
        <f t="shared" si="3"/>
        <v>127.44444444444434</v>
      </c>
      <c r="O56" s="19">
        <f t="shared" si="4"/>
        <v>0</v>
      </c>
      <c r="P56" s="20">
        <f t="shared" si="5"/>
        <v>-5.8888888888889994</v>
      </c>
      <c r="Q56" s="361">
        <f t="shared" si="6"/>
        <v>0.95583333333333254</v>
      </c>
      <c r="R56" s="489"/>
      <c r="S56" s="40">
        <v>0.75069444444444444</v>
      </c>
      <c r="T56" s="40">
        <v>0.77569444444444446</v>
      </c>
      <c r="U56" s="358">
        <f t="shared" si="38"/>
        <v>6.9999999999999751</v>
      </c>
      <c r="V56" s="366">
        <f t="shared" si="37"/>
        <v>36.000000000000028</v>
      </c>
      <c r="W56" s="23"/>
      <c r="X56" s="23"/>
      <c r="Y56" s="26"/>
      <c r="Z56" s="26"/>
      <c r="AA56" s="503"/>
      <c r="AB56" s="504"/>
      <c r="AC56" s="154"/>
      <c r="AD56" s="25"/>
      <c r="AE56" s="19">
        <f t="shared" si="8"/>
        <v>-88.333333333334849</v>
      </c>
      <c r="AF56" s="361">
        <f t="shared" si="9"/>
        <v>0.95583333333333254</v>
      </c>
      <c r="AG56" s="489"/>
    </row>
    <row r="57" spans="1:33" ht="15.75" customHeight="1">
      <c r="A57" s="507" t="s">
        <v>2161</v>
      </c>
      <c r="B57" s="42" t="s">
        <v>103</v>
      </c>
      <c r="C57" s="501" t="s">
        <v>108</v>
      </c>
      <c r="D57" s="502"/>
      <c r="E57" s="42">
        <v>54.29</v>
      </c>
      <c r="F57" s="46">
        <v>2067</v>
      </c>
      <c r="G57" s="358">
        <f t="shared" si="35"/>
        <v>112217.43</v>
      </c>
      <c r="H57" s="369" t="s">
        <v>79</v>
      </c>
      <c r="I57" s="365">
        <v>20</v>
      </c>
      <c r="J57" s="37">
        <v>2000</v>
      </c>
      <c r="K57" s="17">
        <f t="shared" si="1"/>
        <v>100</v>
      </c>
      <c r="L57" s="365">
        <v>20</v>
      </c>
      <c r="M57" s="18">
        <f t="shared" si="36"/>
        <v>1908.0000000000023</v>
      </c>
      <c r="N57" s="18">
        <f t="shared" si="3"/>
        <v>95.400000000000119</v>
      </c>
      <c r="O57" s="19">
        <f t="shared" si="4"/>
        <v>0</v>
      </c>
      <c r="P57" s="20">
        <f t="shared" si="5"/>
        <v>-4.5999999999998806</v>
      </c>
      <c r="Q57" s="361">
        <f t="shared" si="6"/>
        <v>0.95400000000000118</v>
      </c>
      <c r="R57" s="489"/>
      <c r="S57" s="40">
        <v>0.78125</v>
      </c>
      <c r="T57" s="40">
        <v>0.82638888888888884</v>
      </c>
      <c r="U57" s="358">
        <f t="shared" si="38"/>
        <v>7.9999999999999716</v>
      </c>
      <c r="V57" s="366">
        <f t="shared" si="37"/>
        <v>64.999999999999929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-91.999999999997726</v>
      </c>
      <c r="AF57" s="361">
        <f t="shared" si="9"/>
        <v>0.95400000000000118</v>
      </c>
      <c r="AG57" s="489"/>
    </row>
    <row r="58" spans="1:33">
      <c r="A58" s="507" t="s">
        <v>67</v>
      </c>
      <c r="B58" s="42" t="s">
        <v>103</v>
      </c>
      <c r="C58" s="501" t="s">
        <v>141</v>
      </c>
      <c r="D58" s="502"/>
      <c r="E58" s="42">
        <v>57.73</v>
      </c>
      <c r="F58" s="46">
        <v>969</v>
      </c>
      <c r="G58" s="358">
        <f t="shared" si="35"/>
        <v>55940.369999999995</v>
      </c>
      <c r="H58" s="369" t="s">
        <v>79</v>
      </c>
      <c r="I58" s="365">
        <v>16</v>
      </c>
      <c r="J58" s="37">
        <v>1500</v>
      </c>
      <c r="K58" s="17">
        <f t="shared" si="1"/>
        <v>93.75</v>
      </c>
      <c r="L58" s="365">
        <v>16</v>
      </c>
      <c r="M58" s="18">
        <f t="shared" si="36"/>
        <v>1453.4999999999995</v>
      </c>
      <c r="N58" s="18">
        <f t="shared" si="3"/>
        <v>90.843749999999972</v>
      </c>
      <c r="O58" s="19">
        <f t="shared" si="4"/>
        <v>0</v>
      </c>
      <c r="P58" s="20">
        <f t="shared" si="5"/>
        <v>-2.9062500000000284</v>
      </c>
      <c r="Q58" s="361">
        <f t="shared" si="6"/>
        <v>0.96899999999999975</v>
      </c>
      <c r="R58" s="489"/>
      <c r="S58" s="40">
        <v>0.83055555555555549</v>
      </c>
      <c r="T58" s="40">
        <v>0.85833333333333328</v>
      </c>
      <c r="U58" s="358">
        <f t="shared" si="38"/>
        <v>5.9999999999999787</v>
      </c>
      <c r="V58" s="366">
        <f t="shared" si="37"/>
        <v>40.000000000000014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-46.500000000000455</v>
      </c>
      <c r="AF58" s="361">
        <f t="shared" si="9"/>
        <v>0.96899999999999975</v>
      </c>
      <c r="AG58" s="489"/>
    </row>
    <row r="59" spans="1:33">
      <c r="A59" s="508" t="s">
        <v>2161</v>
      </c>
      <c r="B59" s="42" t="s">
        <v>299</v>
      </c>
      <c r="C59" s="494"/>
      <c r="D59" s="494"/>
      <c r="E59" s="362"/>
      <c r="F59" s="44"/>
      <c r="G59" s="17"/>
      <c r="H59" s="367"/>
      <c r="I59" s="30">
        <v>18.666666666666668</v>
      </c>
      <c r="J59" s="37">
        <v>1911.1111111111111</v>
      </c>
      <c r="K59" s="17">
        <f t="shared" si="1"/>
        <v>102.38095238095238</v>
      </c>
      <c r="L59" s="30">
        <v>18.666666666666668</v>
      </c>
      <c r="M59" s="18">
        <f>AVERAGE(M50:M58)</f>
        <v>1790.1378669131043</v>
      </c>
      <c r="N59" s="17">
        <f t="shared" si="3"/>
        <v>95.900242870344869</v>
      </c>
      <c r="O59" s="19">
        <f t="shared" si="4"/>
        <v>0</v>
      </c>
      <c r="P59" s="20">
        <f t="shared" si="5"/>
        <v>-6.480709510607511</v>
      </c>
      <c r="Q59" s="361">
        <f t="shared" si="6"/>
        <v>0.93670004664057782</v>
      </c>
      <c r="R59" s="489"/>
      <c r="S59" s="41"/>
      <c r="T59" s="40"/>
      <c r="U59" s="17"/>
      <c r="V59" s="366"/>
      <c r="W59" s="17"/>
      <c r="X59" s="17"/>
      <c r="Y59" s="31">
        <f>SUM(Y50:Y58)</f>
        <v>0</v>
      </c>
      <c r="Z59" s="31">
        <f>SUM(Z50:Z58)</f>
        <v>0</v>
      </c>
      <c r="AA59" s="495"/>
      <c r="AB59" s="495"/>
      <c r="AC59" s="31">
        <v>4</v>
      </c>
      <c r="AD59" s="31">
        <f>SUM(AD50:AD58)</f>
        <v>0</v>
      </c>
      <c r="AE59" s="19">
        <f t="shared" si="8"/>
        <v>-120.9732441980068</v>
      </c>
      <c r="AF59" s="361">
        <f t="shared" si="9"/>
        <v>0.93670004664057782</v>
      </c>
      <c r="AG59" s="489"/>
    </row>
    <row r="60" spans="1:33" ht="15.75" customHeight="1">
      <c r="A60" s="499" t="s">
        <v>320</v>
      </c>
      <c r="B60" s="367" t="s">
        <v>100</v>
      </c>
      <c r="C60" s="490" t="s">
        <v>109</v>
      </c>
      <c r="D60" s="490"/>
      <c r="E60" s="42">
        <v>26.97</v>
      </c>
      <c r="F60" s="46">
        <v>2193</v>
      </c>
      <c r="G60" s="358">
        <f t="shared" ref="G60:G64" si="39">E60*F60</f>
        <v>59145.21</v>
      </c>
      <c r="H60" s="369" t="s">
        <v>79</v>
      </c>
      <c r="I60" s="365">
        <v>8</v>
      </c>
      <c r="J60" s="37">
        <v>1500</v>
      </c>
      <c r="K60" s="17">
        <f t="shared" si="1"/>
        <v>187.5</v>
      </c>
      <c r="L60" s="365">
        <v>8</v>
      </c>
      <c r="M60" s="18">
        <f t="shared" ref="M60:M64" si="40">F60/V60*60</f>
        <v>1430.2173913043473</v>
      </c>
      <c r="N60" s="17">
        <f t="shared" si="3"/>
        <v>178.77717391304341</v>
      </c>
      <c r="O60" s="19">
        <f t="shared" si="4"/>
        <v>0</v>
      </c>
      <c r="P60" s="20">
        <f t="shared" si="5"/>
        <v>-8.7228260869565872</v>
      </c>
      <c r="Q60" s="361">
        <f t="shared" si="6"/>
        <v>0.95347826086956489</v>
      </c>
      <c r="R60" s="489">
        <f>Q65</f>
        <v>0.95982280519318386</v>
      </c>
      <c r="S60" s="40">
        <v>0.20833333333333334</v>
      </c>
      <c r="T60" s="40">
        <v>0.27222222222222225</v>
      </c>
      <c r="U60" s="358"/>
      <c r="V60" s="366">
        <f t="shared" ref="V60:V64" si="41">(T60-S60)*24*60</f>
        <v>92.000000000000028</v>
      </c>
      <c r="W60" s="28"/>
      <c r="X60" s="28"/>
      <c r="Y60" s="28"/>
      <c r="Z60" s="28"/>
      <c r="AA60" s="491"/>
      <c r="AB60" s="491"/>
      <c r="AC60" s="154">
        <v>1</v>
      </c>
      <c r="AD60" s="25"/>
      <c r="AE60" s="19">
        <f t="shared" si="8"/>
        <v>-69.782608695652698</v>
      </c>
      <c r="AF60" s="361">
        <f t="shared" si="9"/>
        <v>0.95347826086956489</v>
      </c>
      <c r="AG60" s="489">
        <f>AF65</f>
        <v>0.95982280519318375</v>
      </c>
    </row>
    <row r="61" spans="1:33" ht="15.75" customHeight="1">
      <c r="A61" s="499" t="s">
        <v>2162</v>
      </c>
      <c r="B61" s="367" t="s">
        <v>100</v>
      </c>
      <c r="C61" s="490" t="s">
        <v>519</v>
      </c>
      <c r="D61" s="490"/>
      <c r="E61" s="42">
        <v>27.4</v>
      </c>
      <c r="F61" s="46">
        <v>1742</v>
      </c>
      <c r="G61" s="358">
        <f t="shared" si="39"/>
        <v>47730.799999999996</v>
      </c>
      <c r="H61" s="369" t="s">
        <v>79</v>
      </c>
      <c r="I61" s="365">
        <v>10</v>
      </c>
      <c r="J61" s="37">
        <v>1500</v>
      </c>
      <c r="K61" s="17">
        <f t="shared" si="1"/>
        <v>150</v>
      </c>
      <c r="L61" s="365">
        <v>10</v>
      </c>
      <c r="M61" s="18">
        <f t="shared" si="40"/>
        <v>1431.7808219178085</v>
      </c>
      <c r="N61" s="17">
        <f t="shared" si="3"/>
        <v>143.17808219178085</v>
      </c>
      <c r="O61" s="19">
        <f t="shared" si="4"/>
        <v>0</v>
      </c>
      <c r="P61" s="20">
        <f t="shared" si="5"/>
        <v>-6.8219178082191547</v>
      </c>
      <c r="Q61" s="361">
        <f t="shared" si="6"/>
        <v>0.95452054794520569</v>
      </c>
      <c r="R61" s="489"/>
      <c r="S61" s="40">
        <v>0.27638888888888891</v>
      </c>
      <c r="T61" s="40">
        <v>0.32708333333333334</v>
      </c>
      <c r="U61" s="358">
        <f t="shared" ref="U61:U64" si="42">(S61-T60)*24*60</f>
        <v>5.9999999999999787</v>
      </c>
      <c r="V61" s="366">
        <f t="shared" si="41"/>
        <v>72.999999999999986</v>
      </c>
      <c r="W61" s="358"/>
      <c r="X61" s="358"/>
      <c r="Y61" s="358"/>
      <c r="Z61" s="358"/>
      <c r="AA61" s="491"/>
      <c r="AB61" s="491"/>
      <c r="AC61" s="154"/>
      <c r="AD61" s="25"/>
      <c r="AE61" s="19">
        <f t="shared" si="8"/>
        <v>-68.219178082191547</v>
      </c>
      <c r="AF61" s="361">
        <f t="shared" si="9"/>
        <v>0.95452054794520569</v>
      </c>
      <c r="AG61" s="489"/>
    </row>
    <row r="62" spans="1:33" ht="15.75" customHeight="1">
      <c r="A62" s="499" t="s">
        <v>2163</v>
      </c>
      <c r="B62" s="367" t="s">
        <v>93</v>
      </c>
      <c r="C62" s="490" t="s">
        <v>97</v>
      </c>
      <c r="D62" s="490"/>
      <c r="E62" s="42">
        <v>31</v>
      </c>
      <c r="F62" s="46">
        <v>983</v>
      </c>
      <c r="G62" s="358">
        <f t="shared" si="39"/>
        <v>30473</v>
      </c>
      <c r="H62" s="369" t="s">
        <v>79</v>
      </c>
      <c r="I62" s="365">
        <v>13</v>
      </c>
      <c r="J62" s="37">
        <v>2000</v>
      </c>
      <c r="K62" s="17">
        <f t="shared" si="1"/>
        <v>153.84615384615384</v>
      </c>
      <c r="L62" s="365">
        <v>13</v>
      </c>
      <c r="M62" s="18">
        <f t="shared" si="40"/>
        <v>1902.5806451612921</v>
      </c>
      <c r="N62" s="17">
        <f t="shared" si="3"/>
        <v>146.3523573200994</v>
      </c>
      <c r="O62" s="19">
        <f t="shared" si="4"/>
        <v>0</v>
      </c>
      <c r="P62" s="20">
        <f t="shared" si="5"/>
        <v>-7.4937965260544388</v>
      </c>
      <c r="Q62" s="361">
        <f t="shared" si="6"/>
        <v>0.95129032258064616</v>
      </c>
      <c r="R62" s="489"/>
      <c r="S62" s="40">
        <v>0.33263888888888887</v>
      </c>
      <c r="T62" s="40">
        <v>0.35416666666666663</v>
      </c>
      <c r="U62" s="358">
        <f t="shared" si="42"/>
        <v>7.9999999999999716</v>
      </c>
      <c r="V62" s="366">
        <f t="shared" si="41"/>
        <v>30.999999999999972</v>
      </c>
      <c r="W62" s="358"/>
      <c r="X62" s="358"/>
      <c r="Y62" s="358"/>
      <c r="Z62" s="358"/>
      <c r="AA62" s="491"/>
      <c r="AB62" s="491"/>
      <c r="AC62" s="154" t="s">
        <v>79</v>
      </c>
      <c r="AD62" s="25"/>
      <c r="AE62" s="19">
        <f t="shared" si="8"/>
        <v>-97.419354838707932</v>
      </c>
      <c r="AF62" s="361">
        <f t="shared" si="9"/>
        <v>0.95129032258064605</v>
      </c>
      <c r="AG62" s="489"/>
    </row>
    <row r="63" spans="1:33" ht="15.75" customHeight="1">
      <c r="A63" s="499" t="s">
        <v>2162</v>
      </c>
      <c r="B63" s="367" t="s">
        <v>93</v>
      </c>
      <c r="C63" s="490" t="s">
        <v>1235</v>
      </c>
      <c r="D63" s="490"/>
      <c r="E63" s="42">
        <v>37.85</v>
      </c>
      <c r="F63" s="46">
        <v>3067</v>
      </c>
      <c r="G63" s="358">
        <f t="shared" si="39"/>
        <v>116085.95</v>
      </c>
      <c r="H63" s="369" t="s">
        <v>79</v>
      </c>
      <c r="I63" s="365">
        <v>12</v>
      </c>
      <c r="J63" s="37">
        <v>2000</v>
      </c>
      <c r="K63" s="17">
        <f t="shared" si="1"/>
        <v>166.66666666666666</v>
      </c>
      <c r="L63" s="365">
        <v>12</v>
      </c>
      <c r="M63" s="18">
        <f t="shared" si="40"/>
        <v>1916.8750000000005</v>
      </c>
      <c r="N63" s="17">
        <f t="shared" si="3"/>
        <v>159.73958333333337</v>
      </c>
      <c r="O63" s="19">
        <f t="shared" si="4"/>
        <v>0</v>
      </c>
      <c r="P63" s="20">
        <f t="shared" si="5"/>
        <v>-6.927083333333286</v>
      </c>
      <c r="Q63" s="361">
        <f t="shared" si="6"/>
        <v>0.95843750000000028</v>
      </c>
      <c r="R63" s="489"/>
      <c r="S63" s="40">
        <v>0.35972222222222217</v>
      </c>
      <c r="T63" s="40">
        <v>0.42638888888888882</v>
      </c>
      <c r="U63" s="358">
        <f t="shared" si="42"/>
        <v>7.9999999999999716</v>
      </c>
      <c r="V63" s="366">
        <f t="shared" si="41"/>
        <v>95.999999999999972</v>
      </c>
      <c r="W63" s="358"/>
      <c r="X63" s="358"/>
      <c r="Y63" s="358"/>
      <c r="Z63" s="358"/>
      <c r="AA63" s="491"/>
      <c r="AB63" s="491"/>
      <c r="AC63" s="154" t="s">
        <v>79</v>
      </c>
      <c r="AD63" s="25"/>
      <c r="AE63" s="19">
        <f t="shared" si="8"/>
        <v>-83.124999999999545</v>
      </c>
      <c r="AF63" s="361">
        <f t="shared" si="9"/>
        <v>0.95843750000000028</v>
      </c>
      <c r="AG63" s="489"/>
    </row>
    <row r="64" spans="1:33">
      <c r="A64" s="500" t="s">
        <v>2162</v>
      </c>
      <c r="B64" s="367" t="s">
        <v>93</v>
      </c>
      <c r="C64" s="490" t="s">
        <v>113</v>
      </c>
      <c r="D64" s="490"/>
      <c r="E64" s="42">
        <v>34.36</v>
      </c>
      <c r="F64" s="46">
        <v>1507</v>
      </c>
      <c r="G64" s="358">
        <f t="shared" si="39"/>
        <v>51780.52</v>
      </c>
      <c r="H64" s="369" t="s">
        <v>79</v>
      </c>
      <c r="I64" s="365">
        <v>10</v>
      </c>
      <c r="J64" s="37">
        <v>3000</v>
      </c>
      <c r="K64" s="17">
        <f t="shared" si="1"/>
        <v>300</v>
      </c>
      <c r="L64" s="365">
        <v>10</v>
      </c>
      <c r="M64" s="18">
        <f t="shared" si="40"/>
        <v>2916.77419354839</v>
      </c>
      <c r="N64" s="17">
        <f t="shared" si="3"/>
        <v>291.677419354839</v>
      </c>
      <c r="O64" s="19">
        <f t="shared" si="4"/>
        <v>0</v>
      </c>
      <c r="P64" s="20">
        <f t="shared" si="5"/>
        <v>-8.3225806451609969</v>
      </c>
      <c r="Q64" s="361">
        <f t="shared" si="6"/>
        <v>0.97225806451613006</v>
      </c>
      <c r="R64" s="489"/>
      <c r="S64" s="40">
        <v>0.42986111111111103</v>
      </c>
      <c r="T64" s="40">
        <v>0.45138888888888878</v>
      </c>
      <c r="U64" s="358">
        <f t="shared" si="42"/>
        <v>4.9999999999999822</v>
      </c>
      <c r="V64" s="366">
        <f t="shared" si="41"/>
        <v>30.999999999999972</v>
      </c>
      <c r="W64" s="23"/>
      <c r="X64" s="23"/>
      <c r="Y64" s="23"/>
      <c r="Z64" s="23"/>
      <c r="AA64" s="491"/>
      <c r="AB64" s="491"/>
      <c r="AC64" s="154" t="s">
        <v>79</v>
      </c>
      <c r="AD64" s="25"/>
      <c r="AE64" s="19">
        <f t="shared" si="8"/>
        <v>-83.225806451609969</v>
      </c>
      <c r="AF64" s="361">
        <f t="shared" si="9"/>
        <v>0.97225806451613006</v>
      </c>
      <c r="AG64" s="489"/>
    </row>
    <row r="65" spans="1:33">
      <c r="A65" s="500" t="s">
        <v>2164</v>
      </c>
      <c r="B65" s="42" t="s">
        <v>2165</v>
      </c>
      <c r="C65" s="494"/>
      <c r="D65" s="494"/>
      <c r="E65" s="362"/>
      <c r="F65" s="44"/>
      <c r="G65" s="17"/>
      <c r="H65" s="367"/>
      <c r="I65" s="30">
        <v>10.6</v>
      </c>
      <c r="J65" s="37">
        <v>2000</v>
      </c>
      <c r="K65" s="17">
        <f t="shared" si="1"/>
        <v>188.67924528301887</v>
      </c>
      <c r="L65" s="30">
        <v>10.6</v>
      </c>
      <c r="M65" s="18">
        <f>AVERAGE(M60:M64)</f>
        <v>1919.6456103863675</v>
      </c>
      <c r="N65" s="17">
        <f t="shared" si="3"/>
        <v>181.09864248927997</v>
      </c>
      <c r="O65" s="19">
        <f t="shared" si="4"/>
        <v>0</v>
      </c>
      <c r="P65" s="20">
        <f t="shared" si="5"/>
        <v>-7.5806027937389047</v>
      </c>
      <c r="Q65" s="361">
        <f t="shared" si="6"/>
        <v>0.95982280519318386</v>
      </c>
      <c r="R65" s="489"/>
      <c r="S65" s="40"/>
      <c r="T65" s="40"/>
      <c r="U65" s="17"/>
      <c r="V65" s="366"/>
      <c r="W65" s="17"/>
      <c r="X65" s="17"/>
      <c r="Y65" s="31">
        <f>SUM(Y60:Y64)</f>
        <v>0</v>
      </c>
      <c r="Z65" s="31">
        <f>SUM(Z60:Z64)</f>
        <v>0</v>
      </c>
      <c r="AA65" s="495"/>
      <c r="AB65" s="495"/>
      <c r="AC65" s="31">
        <v>1</v>
      </c>
      <c r="AD65" s="31">
        <f>SUM(AD60:AD64)</f>
        <v>0</v>
      </c>
      <c r="AE65" s="19">
        <f t="shared" si="8"/>
        <v>-80.35438961363252</v>
      </c>
      <c r="AF65" s="361">
        <f t="shared" si="9"/>
        <v>0.95982280519318375</v>
      </c>
      <c r="AG65" s="489"/>
    </row>
    <row r="66" spans="1:33" ht="15.75" customHeight="1">
      <c r="A66" s="496" t="s">
        <v>2166</v>
      </c>
      <c r="B66" s="367" t="s">
        <v>80</v>
      </c>
      <c r="C66" s="490" t="s">
        <v>115</v>
      </c>
      <c r="D66" s="490"/>
      <c r="E66" s="42">
        <v>20.2</v>
      </c>
      <c r="F66" s="367">
        <v>1398</v>
      </c>
      <c r="G66" s="358">
        <f t="shared" ref="G66:G70" si="43">E66*F66</f>
        <v>28239.599999999999</v>
      </c>
      <c r="H66" s="369" t="s">
        <v>79</v>
      </c>
      <c r="I66" s="365">
        <v>19</v>
      </c>
      <c r="J66" s="37">
        <v>2400</v>
      </c>
      <c r="K66" s="17">
        <f t="shared" si="1"/>
        <v>126.31578947368421</v>
      </c>
      <c r="L66" s="365">
        <v>19</v>
      </c>
      <c r="M66" s="18">
        <f t="shared" ref="M66:M70" si="44">F66/V66*60</f>
        <v>2330.0000000000005</v>
      </c>
      <c r="N66" s="17">
        <f t="shared" si="3"/>
        <v>122.63157894736844</v>
      </c>
      <c r="O66" s="19">
        <f t="shared" si="4"/>
        <v>0</v>
      </c>
      <c r="P66" s="20">
        <f t="shared" si="5"/>
        <v>-3.6842105263157663</v>
      </c>
      <c r="Q66" s="361">
        <f t="shared" si="6"/>
        <v>0.97083333333333355</v>
      </c>
      <c r="R66" s="489">
        <f>Q71</f>
        <v>0.95885123036206998</v>
      </c>
      <c r="S66" s="40">
        <v>8.3333333333333329E-2</v>
      </c>
      <c r="T66" s="40">
        <v>0.10833333333333332</v>
      </c>
      <c r="U66" s="28"/>
      <c r="V66" s="366">
        <f t="shared" ref="V66:V70" si="45">(T66-S66)*24*60</f>
        <v>35.999999999999993</v>
      </c>
      <c r="W66" s="23">
        <f>T66</f>
        <v>0.10833333333333332</v>
      </c>
      <c r="X66" s="23">
        <f>S67</f>
        <v>0.12708333333333333</v>
      </c>
      <c r="Y66" s="23"/>
      <c r="Z66" s="23"/>
      <c r="AA66" s="491"/>
      <c r="AB66" s="491"/>
      <c r="AC66" s="154">
        <v>6</v>
      </c>
      <c r="AD66" s="25"/>
      <c r="AE66" s="19">
        <f t="shared" si="8"/>
        <v>-69.999999999999545</v>
      </c>
      <c r="AF66" s="361">
        <f t="shared" si="9"/>
        <v>0.97083333333333355</v>
      </c>
      <c r="AG66" s="489">
        <f>AF71</f>
        <v>0.95885123036206987</v>
      </c>
    </row>
    <row r="67" spans="1:33" ht="15.75" customHeight="1">
      <c r="A67" s="497" t="s">
        <v>2167</v>
      </c>
      <c r="B67" s="367" t="s">
        <v>80</v>
      </c>
      <c r="C67" s="490" t="s">
        <v>116</v>
      </c>
      <c r="D67" s="490"/>
      <c r="E67" s="42">
        <v>20.52</v>
      </c>
      <c r="F67" s="367">
        <v>2268</v>
      </c>
      <c r="G67" s="358">
        <f t="shared" si="43"/>
        <v>46539.360000000001</v>
      </c>
      <c r="H67" s="369" t="s">
        <v>79</v>
      </c>
      <c r="I67" s="365">
        <v>18</v>
      </c>
      <c r="J67" s="37">
        <v>2400</v>
      </c>
      <c r="K67" s="17">
        <f t="shared" si="1"/>
        <v>133.33333333333334</v>
      </c>
      <c r="L67" s="365">
        <v>18</v>
      </c>
      <c r="M67" s="18">
        <f t="shared" si="44"/>
        <v>2306.4406779661022</v>
      </c>
      <c r="N67" s="17">
        <f t="shared" si="3"/>
        <v>128.13559322033902</v>
      </c>
      <c r="O67" s="19">
        <f t="shared" si="4"/>
        <v>0</v>
      </c>
      <c r="P67" s="20">
        <f t="shared" si="5"/>
        <v>-5.1977401129943246</v>
      </c>
      <c r="Q67" s="361">
        <f t="shared" si="6"/>
        <v>0.96101694915254254</v>
      </c>
      <c r="R67" s="489"/>
      <c r="S67" s="40">
        <v>0.12708333333333333</v>
      </c>
      <c r="T67" s="40">
        <v>0.16805555555555554</v>
      </c>
      <c r="U67" s="358">
        <f t="shared" ref="U67:U70" si="46">(S67-T66)*24*60</f>
        <v>27.000000000000004</v>
      </c>
      <c r="V67" s="366">
        <f t="shared" si="45"/>
        <v>58.999999999999993</v>
      </c>
      <c r="W67" s="23"/>
      <c r="X67" s="23"/>
      <c r="Y67" s="23"/>
      <c r="Z67" s="23"/>
      <c r="AA67" s="491"/>
      <c r="AB67" s="491"/>
      <c r="AC67" s="154"/>
      <c r="AD67" s="25"/>
      <c r="AE67" s="19">
        <f t="shared" si="8"/>
        <v>-93.559322033897843</v>
      </c>
      <c r="AF67" s="361">
        <f t="shared" si="9"/>
        <v>0.96101694915254254</v>
      </c>
      <c r="AG67" s="489"/>
    </row>
    <row r="68" spans="1:33" ht="15.75" customHeight="1">
      <c r="A68" s="497" t="s">
        <v>2166</v>
      </c>
      <c r="B68" s="367" t="s">
        <v>80</v>
      </c>
      <c r="C68" s="490" t="s">
        <v>119</v>
      </c>
      <c r="D68" s="490"/>
      <c r="E68" s="42">
        <v>19.02</v>
      </c>
      <c r="F68" s="367">
        <v>7209</v>
      </c>
      <c r="G68" s="358">
        <f t="shared" si="43"/>
        <v>137115.18</v>
      </c>
      <c r="H68" s="369" t="s">
        <v>79</v>
      </c>
      <c r="I68" s="365">
        <v>15</v>
      </c>
      <c r="J68" s="37">
        <v>2400</v>
      </c>
      <c r="K68" s="17">
        <f t="shared" si="1"/>
        <v>160</v>
      </c>
      <c r="L68" s="365">
        <v>15</v>
      </c>
      <c r="M68" s="18">
        <f t="shared" si="44"/>
        <v>2288.571428571428</v>
      </c>
      <c r="N68" s="17">
        <f t="shared" si="3"/>
        <v>152.57142857142853</v>
      </c>
      <c r="O68" s="19">
        <f t="shared" si="4"/>
        <v>0</v>
      </c>
      <c r="P68" s="20">
        <f t="shared" si="5"/>
        <v>-7.4285714285714732</v>
      </c>
      <c r="Q68" s="361">
        <f t="shared" si="6"/>
        <v>0.95357142857142829</v>
      </c>
      <c r="R68" s="489"/>
      <c r="S68" s="40">
        <v>0.1736111111111111</v>
      </c>
      <c r="T68" s="40">
        <v>0.30486111111111114</v>
      </c>
      <c r="U68" s="358">
        <f t="shared" si="46"/>
        <v>8.0000000000000107</v>
      </c>
      <c r="V68" s="366">
        <f t="shared" si="45"/>
        <v>189.00000000000006</v>
      </c>
      <c r="W68" s="23"/>
      <c r="X68" s="23"/>
      <c r="Y68" s="23"/>
      <c r="Z68" s="23"/>
      <c r="AA68" s="491"/>
      <c r="AB68" s="491"/>
      <c r="AC68" s="154"/>
      <c r="AD68" s="25"/>
      <c r="AE68" s="19">
        <f t="shared" si="8"/>
        <v>-111.42857142857201</v>
      </c>
      <c r="AF68" s="361">
        <f t="shared" si="9"/>
        <v>0.95357142857142829</v>
      </c>
      <c r="AG68" s="489"/>
    </row>
    <row r="69" spans="1:33" ht="15.75" customHeight="1">
      <c r="A69" s="497" t="s">
        <v>2166</v>
      </c>
      <c r="B69" s="367" t="s">
        <v>80</v>
      </c>
      <c r="C69" s="490" t="s">
        <v>117</v>
      </c>
      <c r="D69" s="490"/>
      <c r="E69" s="42">
        <v>24.43</v>
      </c>
      <c r="F69" s="367">
        <v>4931</v>
      </c>
      <c r="G69" s="358">
        <f t="shared" si="43"/>
        <v>120464.33</v>
      </c>
      <c r="H69" s="369" t="s">
        <v>79</v>
      </c>
      <c r="I69" s="365">
        <v>14</v>
      </c>
      <c r="J69" s="37">
        <v>2400</v>
      </c>
      <c r="K69" s="17">
        <f t="shared" ref="K69:K71" si="47">J69/I69</f>
        <v>171.42857142857142</v>
      </c>
      <c r="L69" s="365">
        <v>14</v>
      </c>
      <c r="M69" s="18">
        <f t="shared" si="44"/>
        <v>2293.4883720930229</v>
      </c>
      <c r="N69" s="17">
        <f t="shared" ref="N69:N71" si="48">M69/L69</f>
        <v>163.8205980066445</v>
      </c>
      <c r="O69" s="19">
        <f t="shared" ref="O69:O71" si="49">L69-I69</f>
        <v>0</v>
      </c>
      <c r="P69" s="20">
        <f t="shared" ref="P69:P71" si="50">N69-K69</f>
        <v>-7.6079734219269142</v>
      </c>
      <c r="Q69" s="361">
        <f t="shared" ref="Q69:Q71" si="51">N69/K69</f>
        <v>0.95562015503875963</v>
      </c>
      <c r="R69" s="489"/>
      <c r="S69" s="40">
        <v>0.30833333333333335</v>
      </c>
      <c r="T69" s="40">
        <v>0.3979166666666667</v>
      </c>
      <c r="U69" s="358">
        <f t="shared" si="46"/>
        <v>4.9999999999999822</v>
      </c>
      <c r="V69" s="366">
        <f t="shared" si="45"/>
        <v>129.00000000000003</v>
      </c>
      <c r="W69" s="23"/>
      <c r="X69" s="23"/>
      <c r="Y69" s="23"/>
      <c r="Z69" s="23"/>
      <c r="AA69" s="491"/>
      <c r="AB69" s="491"/>
      <c r="AC69" s="154"/>
      <c r="AD69" s="25"/>
      <c r="AE69" s="19">
        <f t="shared" ref="AE69:AE71" si="52">M69-J69</f>
        <v>-106.51162790697708</v>
      </c>
      <c r="AF69" s="361">
        <f t="shared" ref="AF69:AF71" si="53">M69/J69</f>
        <v>0.95562015503875952</v>
      </c>
      <c r="AG69" s="489"/>
    </row>
    <row r="70" spans="1:33" ht="15.75" customHeight="1">
      <c r="A70" s="497" t="s">
        <v>2166</v>
      </c>
      <c r="B70" s="367" t="s">
        <v>80</v>
      </c>
      <c r="C70" s="490" t="s">
        <v>118</v>
      </c>
      <c r="D70" s="490"/>
      <c r="E70" s="42">
        <v>20.21</v>
      </c>
      <c r="F70" s="367">
        <v>2669</v>
      </c>
      <c r="G70" s="358">
        <f t="shared" si="43"/>
        <v>53940.490000000005</v>
      </c>
      <c r="H70" s="369" t="s">
        <v>79</v>
      </c>
      <c r="I70" s="365">
        <v>16</v>
      </c>
      <c r="J70" s="37">
        <v>2400</v>
      </c>
      <c r="K70" s="17">
        <f t="shared" si="47"/>
        <v>150</v>
      </c>
      <c r="L70" s="365">
        <v>16</v>
      </c>
      <c r="M70" s="18">
        <f t="shared" si="44"/>
        <v>2287.7142857142862</v>
      </c>
      <c r="N70" s="17">
        <f t="shared" si="48"/>
        <v>142.98214285714289</v>
      </c>
      <c r="O70" s="19">
        <f t="shared" si="49"/>
        <v>0</v>
      </c>
      <c r="P70" s="20">
        <f t="shared" si="50"/>
        <v>-7.0178571428571104</v>
      </c>
      <c r="Q70" s="361">
        <f t="shared" si="51"/>
        <v>0.9532142857142859</v>
      </c>
      <c r="R70" s="489"/>
      <c r="S70" s="40">
        <v>0.40277777777777779</v>
      </c>
      <c r="T70" s="40">
        <v>0.4513888888888889</v>
      </c>
      <c r="U70" s="358">
        <f t="shared" si="46"/>
        <v>6.9999999999999751</v>
      </c>
      <c r="V70" s="366">
        <f t="shared" si="45"/>
        <v>69.999999999999986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52"/>
        <v>-112.28571428571377</v>
      </c>
      <c r="AF70" s="361">
        <f t="shared" si="53"/>
        <v>0.9532142857142859</v>
      </c>
      <c r="AG70" s="489"/>
    </row>
    <row r="71" spans="1:33" ht="16.5" customHeight="1">
      <c r="A71" s="498" t="s">
        <v>76</v>
      </c>
      <c r="B71" s="42" t="s">
        <v>2168</v>
      </c>
      <c r="C71" s="492"/>
      <c r="D71" s="493"/>
      <c r="E71" s="362"/>
      <c r="F71" s="44"/>
      <c r="G71" s="17"/>
      <c r="H71" s="367"/>
      <c r="I71" s="30">
        <v>16.399999999999999</v>
      </c>
      <c r="J71" s="37">
        <v>2400</v>
      </c>
      <c r="K71" s="17">
        <f t="shared" si="47"/>
        <v>146.34146341463415</v>
      </c>
      <c r="L71" s="30">
        <v>16.399999999999999</v>
      </c>
      <c r="M71" s="18">
        <f>AVERAGE(M66:M70)</f>
        <v>2301.2429528689677</v>
      </c>
      <c r="N71" s="17">
        <f t="shared" si="48"/>
        <v>140.3196922481078</v>
      </c>
      <c r="O71" s="19">
        <f t="shared" si="49"/>
        <v>0</v>
      </c>
      <c r="P71" s="20">
        <f t="shared" si="50"/>
        <v>-6.0217711665263494</v>
      </c>
      <c r="Q71" s="361">
        <f t="shared" si="51"/>
        <v>0.95885123036206998</v>
      </c>
      <c r="R71" s="489"/>
      <c r="S71" s="40"/>
      <c r="T71" s="40"/>
      <c r="U71" s="17"/>
      <c r="V71" s="366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v>6</v>
      </c>
      <c r="AD71" s="31">
        <f>SUM(AD66:AD70)</f>
        <v>0</v>
      </c>
      <c r="AE71" s="19">
        <f t="shared" si="52"/>
        <v>-98.757047131032323</v>
      </c>
      <c r="AF71" s="361">
        <f t="shared" si="53"/>
        <v>0.95885123036206987</v>
      </c>
      <c r="AG71" s="489"/>
    </row>
    <row r="72" spans="1:33">
      <c r="D72" s="33"/>
      <c r="E72" s="33"/>
    </row>
  </sheetData>
  <mergeCells count="19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4:A20"/>
    <mergeCell ref="C14:D14"/>
    <mergeCell ref="R14:R20"/>
    <mergeCell ref="AA14:AB14"/>
    <mergeCell ref="AG14:AG20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G21:AG28"/>
    <mergeCell ref="C22:D22"/>
    <mergeCell ref="AA22:AB22"/>
    <mergeCell ref="C23:D23"/>
    <mergeCell ref="AA23:AB23"/>
    <mergeCell ref="C24:D24"/>
    <mergeCell ref="C18:D18"/>
    <mergeCell ref="AA18:AB18"/>
    <mergeCell ref="C19:D19"/>
    <mergeCell ref="AA19:AB19"/>
    <mergeCell ref="C20:D20"/>
    <mergeCell ref="AA20:AB20"/>
    <mergeCell ref="C28:D28"/>
    <mergeCell ref="AA28:AB28"/>
    <mergeCell ref="A29:A34"/>
    <mergeCell ref="C29:D29"/>
    <mergeCell ref="R29:R34"/>
    <mergeCell ref="AA29:AB29"/>
    <mergeCell ref="AA34:AB34"/>
    <mergeCell ref="AA24:AB24"/>
    <mergeCell ref="C25:D25"/>
    <mergeCell ref="AA25:AB25"/>
    <mergeCell ref="C26:D26"/>
    <mergeCell ref="AA26:AB26"/>
    <mergeCell ref="C27:D27"/>
    <mergeCell ref="AA27:AB27"/>
    <mergeCell ref="A21:A28"/>
    <mergeCell ref="C21:D21"/>
    <mergeCell ref="R21:R28"/>
    <mergeCell ref="AA21:AB21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G42:AG49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C47:D47"/>
    <mergeCell ref="AA47:AB47"/>
    <mergeCell ref="C48:D48"/>
    <mergeCell ref="AA48:AB48"/>
    <mergeCell ref="C62:D62"/>
    <mergeCell ref="AA62:AB62"/>
    <mergeCell ref="C63:D63"/>
    <mergeCell ref="AA63:AB63"/>
    <mergeCell ref="C64:D64"/>
    <mergeCell ref="AA64:AB64"/>
    <mergeCell ref="A42:A49"/>
    <mergeCell ref="C42:D42"/>
    <mergeCell ref="R42:R49"/>
    <mergeCell ref="AA42:AB42"/>
    <mergeCell ref="C49:D49"/>
    <mergeCell ref="AA49:AB49"/>
    <mergeCell ref="A50:A59"/>
    <mergeCell ref="C50:D50"/>
    <mergeCell ref="R50:R59"/>
    <mergeCell ref="AA50:AB50"/>
    <mergeCell ref="AA56:AB56"/>
    <mergeCell ref="C57:D57"/>
    <mergeCell ref="AA57:AB57"/>
    <mergeCell ref="C58:D58"/>
    <mergeCell ref="AA58:AB58"/>
    <mergeCell ref="C59:D59"/>
    <mergeCell ref="AA59:AB59"/>
    <mergeCell ref="AG50:AG59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C65:D65"/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60:A65"/>
    <mergeCell ref="C60:D60"/>
    <mergeCell ref="R60:R65"/>
    <mergeCell ref="AA60:AB60"/>
    <mergeCell ref="AA65:AB65"/>
    <mergeCell ref="AG60:AG65"/>
    <mergeCell ref="C61:D61"/>
    <mergeCell ref="AA61:AB61"/>
  </mergeCells>
  <phoneticPr fontId="3" type="noConversion"/>
  <conditionalFormatting sqref="O59:O60 O63:O71 O5:O11 O13:O15 O49:O55 O20:O47">
    <cfRule type="cellIs" dxfId="1975" priority="59" operator="greaterThan">
      <formula>0</formula>
    </cfRule>
  </conditionalFormatting>
  <conditionalFormatting sqref="P5:P9 P63:P64 AE63:AE64 P66:P70 P29:P33 P60 P11 P13:P15 P21:P27 P50:P55 P35:P47 AE5:AE60 AE66:AE71">
    <cfRule type="cellIs" dxfId="1974" priority="63" operator="lessThan">
      <formula>0</formula>
    </cfRule>
  </conditionalFormatting>
  <conditionalFormatting sqref="AF63:AF64 Q59:Q60 Q63:Q71 Q5:Q11 Q13:Q15 Q49:Q55 Q20:Q47 AF5:AF60 AF66:AF71">
    <cfRule type="cellIs" dxfId="1973" priority="60" operator="greaterThan">
      <formula>1</formula>
    </cfRule>
    <cfRule type="cellIs" dxfId="1972" priority="61" operator="lessThan">
      <formula>0.8</formula>
    </cfRule>
  </conditionalFormatting>
  <conditionalFormatting sqref="AG14:AG15 R14:R15 AG63 R20:R26 AG20:AG26 AG59:AG60 R59:R60 R63:R71 AG5:AG11 R5:R11 R28:R47 AG28:AG47 AG49:AG55 R49:R55">
    <cfRule type="cellIs" dxfId="1971" priority="65" operator="lessThan">
      <formula>0.8</formula>
    </cfRule>
  </conditionalFormatting>
  <conditionalFormatting sqref="AG42">
    <cfRule type="cellIs" dxfId="1970" priority="67" operator="lessThan">
      <formula>0.8</formula>
    </cfRule>
  </conditionalFormatting>
  <conditionalFormatting sqref="AG21:AG26">
    <cfRule type="cellIs" dxfId="1969" priority="64" operator="lessThan">
      <formula>0.8</formula>
    </cfRule>
  </conditionalFormatting>
  <conditionalFormatting sqref="AG29">
    <cfRule type="cellIs" dxfId="1968" priority="66" operator="lessThan">
      <formula>0.8</formula>
    </cfRule>
  </conditionalFormatting>
  <conditionalFormatting sqref="AG35:AG40">
    <cfRule type="cellIs" dxfId="1967" priority="62" operator="lessThan">
      <formula>0.8</formula>
    </cfRule>
  </conditionalFormatting>
  <conditionalFormatting sqref="AE65">
    <cfRule type="cellIs" dxfId="1966" priority="58" operator="lessThan">
      <formula>0</formula>
    </cfRule>
  </conditionalFormatting>
  <conditionalFormatting sqref="AF65">
    <cfRule type="cellIs" dxfId="1965" priority="56" operator="greaterThan">
      <formula>1</formula>
    </cfRule>
    <cfRule type="cellIs" dxfId="1964" priority="57" operator="lessThan">
      <formula>0.8</formula>
    </cfRule>
  </conditionalFormatting>
  <conditionalFormatting sqref="O16:O17">
    <cfRule type="cellIs" dxfId="1963" priority="51" operator="greaterThan">
      <formula>0</formula>
    </cfRule>
  </conditionalFormatting>
  <conditionalFormatting sqref="P16:P17">
    <cfRule type="cellIs" dxfId="1962" priority="54" operator="lessThan">
      <formula>0</formula>
    </cfRule>
  </conditionalFormatting>
  <conditionalFormatting sqref="Q16:Q17">
    <cfRule type="cellIs" dxfId="1961" priority="52" operator="greaterThan">
      <formula>1</formula>
    </cfRule>
    <cfRule type="cellIs" dxfId="1960" priority="53" operator="lessThan">
      <formula>0.8</formula>
    </cfRule>
  </conditionalFormatting>
  <conditionalFormatting sqref="R16:R17 AG16:AG17">
    <cfRule type="cellIs" dxfId="1959" priority="55" operator="lessThan">
      <formula>0.8</formula>
    </cfRule>
  </conditionalFormatting>
  <conditionalFormatting sqref="O12">
    <cfRule type="cellIs" dxfId="1958" priority="47" operator="greaterThan">
      <formula>0</formula>
    </cfRule>
  </conditionalFormatting>
  <conditionalFormatting sqref="P12">
    <cfRule type="cellIs" dxfId="1957" priority="50" operator="lessThan">
      <formula>0</formula>
    </cfRule>
  </conditionalFormatting>
  <conditionalFormatting sqref="Q12">
    <cfRule type="cellIs" dxfId="1956" priority="48" operator="greaterThan">
      <formula>1</formula>
    </cfRule>
    <cfRule type="cellIs" dxfId="1955" priority="49" operator="lessThan">
      <formula>0.8</formula>
    </cfRule>
  </conditionalFormatting>
  <conditionalFormatting sqref="O56">
    <cfRule type="cellIs" dxfId="1954" priority="42" operator="greaterThan">
      <formula>0</formula>
    </cfRule>
  </conditionalFormatting>
  <conditionalFormatting sqref="P56">
    <cfRule type="cellIs" dxfId="1953" priority="45" operator="lessThan">
      <formula>0</formula>
    </cfRule>
  </conditionalFormatting>
  <conditionalFormatting sqref="Q56">
    <cfRule type="cellIs" dxfId="1952" priority="43" operator="greaterThan">
      <formula>1</formula>
    </cfRule>
    <cfRule type="cellIs" dxfId="1951" priority="44" operator="lessThan">
      <formula>0.8</formula>
    </cfRule>
  </conditionalFormatting>
  <conditionalFormatting sqref="R56 AG56">
    <cfRule type="cellIs" dxfId="1950" priority="46" operator="lessThan">
      <formula>0.8</formula>
    </cfRule>
  </conditionalFormatting>
  <conditionalFormatting sqref="O62">
    <cfRule type="cellIs" dxfId="1949" priority="37" operator="greaterThan">
      <formula>0</formula>
    </cfRule>
  </conditionalFormatting>
  <conditionalFormatting sqref="P62 AE62">
    <cfRule type="cellIs" dxfId="1948" priority="40" operator="lessThan">
      <formula>0</formula>
    </cfRule>
  </conditionalFormatting>
  <conditionalFormatting sqref="Q62 AF62">
    <cfRule type="cellIs" dxfId="1947" priority="38" operator="greaterThan">
      <formula>1</formula>
    </cfRule>
    <cfRule type="cellIs" dxfId="1946" priority="39" operator="lessThan">
      <formula>0.8</formula>
    </cfRule>
  </conditionalFormatting>
  <conditionalFormatting sqref="R62 AG62">
    <cfRule type="cellIs" dxfId="1945" priority="41" operator="lessThan">
      <formula>0.8</formula>
    </cfRule>
  </conditionalFormatting>
  <conditionalFormatting sqref="O18:O19">
    <cfRule type="cellIs" dxfId="1944" priority="32" operator="greaterThan">
      <formula>0</formula>
    </cfRule>
  </conditionalFormatting>
  <conditionalFormatting sqref="P18:P19">
    <cfRule type="cellIs" dxfId="1943" priority="35" operator="lessThan">
      <formula>0</formula>
    </cfRule>
  </conditionalFormatting>
  <conditionalFormatting sqref="Q18:Q19">
    <cfRule type="cellIs" dxfId="1942" priority="33" operator="greaterThan">
      <formula>1</formula>
    </cfRule>
    <cfRule type="cellIs" dxfId="1941" priority="34" operator="lessThan">
      <formula>0.8</formula>
    </cfRule>
  </conditionalFormatting>
  <conditionalFormatting sqref="R18:R19 AG18:AG19">
    <cfRule type="cellIs" dxfId="1940" priority="36" operator="lessThan">
      <formula>0.8</formula>
    </cfRule>
  </conditionalFormatting>
  <conditionalFormatting sqref="O48">
    <cfRule type="cellIs" dxfId="1939" priority="26" operator="greaterThan">
      <formula>0</formula>
    </cfRule>
  </conditionalFormatting>
  <conditionalFormatting sqref="P48">
    <cfRule type="cellIs" dxfId="1938" priority="30" operator="lessThan">
      <formula>0</formula>
    </cfRule>
  </conditionalFormatting>
  <conditionalFormatting sqref="Q48">
    <cfRule type="cellIs" dxfId="1937" priority="27" operator="greaterThan">
      <formula>1</formula>
    </cfRule>
    <cfRule type="cellIs" dxfId="1936" priority="28" operator="lessThan">
      <formula>0.8</formula>
    </cfRule>
  </conditionalFormatting>
  <conditionalFormatting sqref="R48 AG48">
    <cfRule type="cellIs" dxfId="1935" priority="31" operator="lessThan">
      <formula>0.8</formula>
    </cfRule>
  </conditionalFormatting>
  <conditionalFormatting sqref="AG48">
    <cfRule type="cellIs" dxfId="1934" priority="29" operator="lessThan">
      <formula>0.8</formula>
    </cfRule>
  </conditionalFormatting>
  <conditionalFormatting sqref="O57">
    <cfRule type="cellIs" dxfId="1933" priority="21" operator="greaterThan">
      <formula>0</formula>
    </cfRule>
  </conditionalFormatting>
  <conditionalFormatting sqref="P57">
    <cfRule type="cellIs" dxfId="1932" priority="24" operator="lessThan">
      <formula>0</formula>
    </cfRule>
  </conditionalFormatting>
  <conditionalFormatting sqref="Q57">
    <cfRule type="cellIs" dxfId="1931" priority="22" operator="greaterThan">
      <formula>1</formula>
    </cfRule>
    <cfRule type="cellIs" dxfId="1930" priority="23" operator="lessThan">
      <formula>0.8</formula>
    </cfRule>
  </conditionalFormatting>
  <conditionalFormatting sqref="AG57 R57">
    <cfRule type="cellIs" dxfId="1929" priority="25" operator="lessThan">
      <formula>0.8</formula>
    </cfRule>
  </conditionalFormatting>
  <conditionalFormatting sqref="R27 AG27">
    <cfRule type="cellIs" dxfId="1928" priority="20" operator="lessThan">
      <formula>0.8</formula>
    </cfRule>
  </conditionalFormatting>
  <conditionalFormatting sqref="AG27">
    <cfRule type="cellIs" dxfId="1927" priority="19" operator="lessThan">
      <formula>0.8</formula>
    </cfRule>
  </conditionalFormatting>
  <conditionalFormatting sqref="O61">
    <cfRule type="cellIs" dxfId="1926" priority="14" operator="greaterThan">
      <formula>0</formula>
    </cfRule>
  </conditionalFormatting>
  <conditionalFormatting sqref="P61 AE61">
    <cfRule type="cellIs" dxfId="1925" priority="17" operator="lessThan">
      <formula>0</formula>
    </cfRule>
  </conditionalFormatting>
  <conditionalFormatting sqref="Q61 AF61">
    <cfRule type="cellIs" dxfId="1924" priority="15" operator="greaterThan">
      <formula>1</formula>
    </cfRule>
    <cfRule type="cellIs" dxfId="1923" priority="16" operator="lessThan">
      <formula>0.8</formula>
    </cfRule>
  </conditionalFormatting>
  <conditionalFormatting sqref="R61 AG61">
    <cfRule type="cellIs" dxfId="1922" priority="18" operator="lessThan">
      <formula>0.8</formula>
    </cfRule>
  </conditionalFormatting>
  <conditionalFormatting sqref="P10">
    <cfRule type="cellIs" dxfId="1921" priority="13" operator="lessThan">
      <formula>0</formula>
    </cfRule>
  </conditionalFormatting>
  <conditionalFormatting sqref="P20">
    <cfRule type="cellIs" dxfId="1920" priority="12" operator="lessThan">
      <formula>0</formula>
    </cfRule>
  </conditionalFormatting>
  <conditionalFormatting sqref="P28">
    <cfRule type="cellIs" dxfId="1919" priority="11" operator="lessThan">
      <formula>0</formula>
    </cfRule>
  </conditionalFormatting>
  <conditionalFormatting sqref="P34">
    <cfRule type="cellIs" dxfId="1918" priority="10" operator="lessThan">
      <formula>0</formula>
    </cfRule>
  </conditionalFormatting>
  <conditionalFormatting sqref="P49">
    <cfRule type="cellIs" dxfId="1917" priority="9" operator="lessThan">
      <formula>0</formula>
    </cfRule>
  </conditionalFormatting>
  <conditionalFormatting sqref="P59">
    <cfRule type="cellIs" dxfId="1916" priority="8" operator="lessThan">
      <formula>0</formula>
    </cfRule>
  </conditionalFormatting>
  <conditionalFormatting sqref="P65">
    <cfRule type="cellIs" dxfId="1915" priority="7" operator="lessThan">
      <formula>0</formula>
    </cfRule>
  </conditionalFormatting>
  <conditionalFormatting sqref="P71">
    <cfRule type="cellIs" dxfId="1914" priority="6" operator="lessThan">
      <formula>0</formula>
    </cfRule>
  </conditionalFormatting>
  <conditionalFormatting sqref="O58">
    <cfRule type="cellIs" dxfId="1913" priority="1" operator="greaterThan">
      <formula>0</formula>
    </cfRule>
  </conditionalFormatting>
  <conditionalFormatting sqref="P58">
    <cfRule type="cellIs" dxfId="1912" priority="4" operator="lessThan">
      <formula>0</formula>
    </cfRule>
  </conditionalFormatting>
  <conditionalFormatting sqref="Q58">
    <cfRule type="cellIs" dxfId="1911" priority="2" operator="greaterThan">
      <formula>1</formula>
    </cfRule>
    <cfRule type="cellIs" dxfId="1910" priority="3" operator="lessThan">
      <formula>0.8</formula>
    </cfRule>
  </conditionalFormatting>
  <conditionalFormatting sqref="AG58 R58">
    <cfRule type="cellIs" dxfId="1909" priority="5" operator="lessThan">
      <formula>0.8</formula>
    </cfRule>
  </conditionalFormatting>
  <dataValidations count="1">
    <dataValidation type="list" allowBlank="1" showInputMessage="1" showErrorMessage="1" sqref="AB10 AA5:AB9 AB64 AA10:AA64 AB12:AB60 AA65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1972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1973</v>
      </c>
      <c r="C3" s="478" t="str">
        <f>TEXT('0123 4度C'!A2,"yyyy.mm.ddaaaa")</f>
        <v>2026.01.23星期五</v>
      </c>
      <c r="D3" s="479"/>
      <c r="E3" s="56" t="s">
        <v>1974</v>
      </c>
      <c r="F3" s="480">
        <f>'0123 4度C'!D1</f>
        <v>129326</v>
      </c>
      <c r="G3" s="481"/>
      <c r="H3" s="56" t="s">
        <v>1975</v>
      </c>
      <c r="I3" s="482">
        <f>'0123 4度C'!F1</f>
        <v>4461761.99</v>
      </c>
      <c r="J3" s="483"/>
      <c r="K3" s="57"/>
      <c r="L3" s="58"/>
      <c r="M3" s="59"/>
      <c r="N3" s="59"/>
    </row>
    <row r="4" spans="2:17" ht="28.5" customHeight="1">
      <c r="B4" s="484" t="s">
        <v>1976</v>
      </c>
      <c r="C4" s="470" t="s">
        <v>1977</v>
      </c>
      <c r="D4" s="471"/>
      <c r="E4" s="487" t="s">
        <v>1978</v>
      </c>
      <c r="F4" s="488"/>
      <c r="G4" s="487" t="s">
        <v>1979</v>
      </c>
      <c r="H4" s="488"/>
      <c r="I4" s="487" t="s">
        <v>1980</v>
      </c>
      <c r="J4" s="488"/>
      <c r="K4" s="468" t="s">
        <v>976</v>
      </c>
      <c r="L4" s="469"/>
      <c r="M4" s="469" t="s">
        <v>1981</v>
      </c>
      <c r="N4" s="469"/>
    </row>
    <row r="5" spans="2:17" ht="28.5" customHeight="1">
      <c r="B5" s="485"/>
      <c r="C5" s="470" t="s">
        <v>1982</v>
      </c>
      <c r="D5" s="471"/>
      <c r="E5" s="470" t="s">
        <v>1983</v>
      </c>
      <c r="F5" s="471"/>
      <c r="G5" s="472" t="s">
        <v>1984</v>
      </c>
      <c r="H5" s="473"/>
      <c r="I5" s="474" t="s">
        <v>1985</v>
      </c>
      <c r="J5" s="475"/>
      <c r="K5" s="60" t="s">
        <v>1986</v>
      </c>
      <c r="L5" s="61" t="s">
        <v>1987</v>
      </c>
      <c r="M5" s="60" t="s">
        <v>1988</v>
      </c>
      <c r="N5" s="61" t="s">
        <v>1989</v>
      </c>
    </row>
    <row r="6" spans="2:17" ht="28.5" customHeight="1">
      <c r="B6" s="485"/>
      <c r="C6" s="470" t="s">
        <v>144</v>
      </c>
      <c r="D6" s="471"/>
      <c r="E6" s="462">
        <f>AVERAGE(D13:M13)</f>
        <v>143.03423184008977</v>
      </c>
      <c r="F6" s="463">
        <f>AVERAGE(D31:O31,D13:J13)</f>
        <v>145.36475483797076</v>
      </c>
      <c r="G6" s="464">
        <f>AVERAGE(D13:J13)</f>
        <v>145.36475483797076</v>
      </c>
      <c r="H6" s="465"/>
      <c r="I6" s="464">
        <f>AVERAGE(K13:M13)</f>
        <v>137.59634484503417</v>
      </c>
      <c r="J6" s="465"/>
      <c r="K6" s="466">
        <f>'0123 4度C'!Y2</f>
        <v>0</v>
      </c>
      <c r="L6" s="451">
        <f>'0123 4度C'!Z2</f>
        <v>0</v>
      </c>
      <c r="M6" s="467">
        <f>'0123 4度C'!AC2</f>
        <v>31</v>
      </c>
      <c r="N6" s="451">
        <f>'0123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137.13774485521799</v>
      </c>
      <c r="F7" s="455">
        <f>AVERAGE(D32:O32,D14:J14)</f>
        <v>139.48757699596652</v>
      </c>
      <c r="G7" s="456">
        <f>AVERAGE(D14:J14)</f>
        <v>139.48757699596652</v>
      </c>
      <c r="H7" s="457"/>
      <c r="I7" s="456">
        <f>AVERAGE(K14:M14)</f>
        <v>131.65480319347148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0.9580441427891131</v>
      </c>
      <c r="F8" s="459">
        <f>AVERAGE(D15:J15,D33:O33)</f>
        <v>0.95856719340435403</v>
      </c>
      <c r="G8" s="460">
        <f>AVERAGE(D15:J15)</f>
        <v>0.95856719340435403</v>
      </c>
      <c r="H8" s="461"/>
      <c r="I8" s="460">
        <f>AVERAGE(K15:M15)</f>
        <v>0.95682369135355128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1990</v>
      </c>
      <c r="N9" s="59"/>
      <c r="O9" s="59"/>
      <c r="P9" s="59"/>
      <c r="Q9" s="59"/>
    </row>
    <row r="10" spans="2:17" ht="30" customHeight="1">
      <c r="B10" s="434" t="s">
        <v>1991</v>
      </c>
      <c r="C10" s="435"/>
      <c r="D10" s="436" t="s">
        <v>1992</v>
      </c>
      <c r="E10" s="437"/>
      <c r="F10" s="437"/>
      <c r="G10" s="437"/>
      <c r="H10" s="437"/>
      <c r="I10" s="437"/>
      <c r="J10" s="438"/>
      <c r="K10" s="439" t="s">
        <v>1993</v>
      </c>
      <c r="L10" s="440"/>
      <c r="M10" s="441"/>
      <c r="P10" s="65"/>
      <c r="Q10" s="65"/>
    </row>
    <row r="11" spans="2:17" ht="17.25" customHeight="1">
      <c r="B11" s="442" t="s">
        <v>1994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1995</v>
      </c>
      <c r="C13" s="72" t="s">
        <v>1996</v>
      </c>
      <c r="D13" s="73">
        <f>SUMIFS('0123 4度C'!$K:$K,'0123 4度C'!$A:$A,"新豐6線",'0123 4度C'!$B:$B,"平均")</f>
        <v>113.63636363636363</v>
      </c>
      <c r="E13" s="74">
        <f>SUMIFS('0123 4度C'!$K:$K,'0123 4度C'!$A:$A,"新豐2線",'0123 4度C'!$B:$B,"平均")</f>
        <v>83.333333333333329</v>
      </c>
      <c r="F13" s="75">
        <f>SUMIFS('0123 4度C'!$K:$K,'0123 4度C'!$A:$A,"新豐5線",'0123 4度C'!$B:$B,"平均")</f>
        <v>106.79611650485435</v>
      </c>
      <c r="G13" s="75">
        <f>SUMIFS('0123 4度C'!$K:$K,'0123 4度C'!$A:$A,"新豐7線",'0123 4度C'!$B:$B,"平均")</f>
        <v>122.72727272727273</v>
      </c>
      <c r="H13" s="75">
        <f>SUMIFS('0123 4度C'!$K:$K,'0123 4度C'!$A:$A,"新豐3線",'0123 4度C'!$B:$B,"平均")</f>
        <v>300</v>
      </c>
      <c r="I13" s="75">
        <f>SUMIFS('0123 4度C'!$K:$K,'0123 4度C'!$A:$A,"新豐1線",'0123 4度C'!$B:$B,"平均")</f>
        <v>102.38095238095238</v>
      </c>
      <c r="J13" s="76">
        <f>SUMIFS('0123 4度C'!$K:$K,'0123 4度C'!$A:$A,"新豐10線",'0123 4度C'!$B:$B,"平均")</f>
        <v>188.67924528301887</v>
      </c>
      <c r="K13" s="77">
        <f>SUMIFS('0123 4度C'!$K:$K,'0123 4度C'!$A:$A,"新豐8線",'0123 4度C'!$B:$B,"平均")</f>
        <v>131.86813186813188</v>
      </c>
      <c r="L13" s="78">
        <f>SUMIFS('0123 4度C'!$K:$K,'0123 4度C'!$A:$A,"新豐9線",'0123 4度C'!$B:$B,"平均")</f>
        <v>134.57943925233647</v>
      </c>
      <c r="M13" s="76">
        <f>SUMIFS('0123 4度C'!$K:$K,'0123 4度C'!$A:$A,"新豐4線",'0123 4度C'!$B:$B,"平均")</f>
        <v>146.34146341463415</v>
      </c>
    </row>
    <row r="14" spans="2:17" ht="39.6" customHeight="1">
      <c r="B14" s="447"/>
      <c r="C14" s="79" t="s">
        <v>1997</v>
      </c>
      <c r="D14" s="80">
        <f>SUMIFS('0123 4度C'!$N:$N,'0123 4度C'!$A:$A,"新豐6線",'0123 4度C'!$B:$B,"平均")</f>
        <v>109.21546106223514</v>
      </c>
      <c r="E14" s="81">
        <f>SUMIFS('0123 4度C'!$N:$N,'0123 4度C'!$A:$A,"新豐2線",'0123 4度C'!$B:$B,"平均")</f>
        <v>79.70334490071329</v>
      </c>
      <c r="F14" s="81">
        <f>SUMIFS('0123 4度C'!$N:$N,'0123 4度C'!$A:$A,"新豐5線",'0123 4度C'!$B:$B,"平均")</f>
        <v>102.6885167024374</v>
      </c>
      <c r="G14" s="81">
        <f>SUMIFS('0123 4度C'!$N:$N,'0123 4度C'!$A:$A,"新豐7線",'0123 4度C'!$B:$B,"平均")</f>
        <v>118.5420674163439</v>
      </c>
      <c r="H14" s="81">
        <f>SUMIFS('0123 4度C'!$N:$N,'0123 4度C'!$A:$A,"新豐3線",'0123 4度C'!$B:$B,"平均")</f>
        <v>287.87986930013517</v>
      </c>
      <c r="I14" s="81">
        <f>SUMIFS('0123 4度C'!$N:$N,'0123 4度C'!$A:$A,"新豐1線",'0123 4度C'!$B:$B,"平均")</f>
        <v>96.243962143083877</v>
      </c>
      <c r="J14" s="82">
        <f>SUMIFS('0123 4度C'!$N:$N,'0123 4度C'!$A:$A,"新豐10線",'0123 4度C'!$B:$B,"平均")</f>
        <v>182.13981744681675</v>
      </c>
      <c r="K14" s="83">
        <f>SUMIFS('0123 4度C'!$N:$N,'0123 4度C'!$A:$A,"新豐8線",'0123 4度C'!$B:$B,"平均")</f>
        <v>126.23849040634531</v>
      </c>
      <c r="L14" s="84">
        <f>SUMIFS('0123 4度C'!$N:$N,'0123 4度C'!$A:$A,"新豐9線",'0123 4度C'!$B:$B,"平均")</f>
        <v>128.71044969443147</v>
      </c>
      <c r="M14" s="82">
        <f>SUMIFS('0123 4度C'!$N:$N,'0123 4度C'!$A:$A,"新豐4線",'0123 4度C'!$B:$B,"平均")</f>
        <v>140.01546947963763</v>
      </c>
    </row>
    <row r="15" spans="2:17" ht="40.15" customHeight="1">
      <c r="B15" s="448"/>
      <c r="C15" s="85" t="s">
        <v>1998</v>
      </c>
      <c r="D15" s="86">
        <f t="shared" ref="D15:M15" si="0">D14/D13</f>
        <v>0.96109605734766923</v>
      </c>
      <c r="E15" s="87">
        <f t="shared" si="0"/>
        <v>0.95644013880855949</v>
      </c>
      <c r="F15" s="87">
        <f t="shared" si="0"/>
        <v>0.96153792912282299</v>
      </c>
      <c r="G15" s="87">
        <f t="shared" si="0"/>
        <v>0.96589832709613543</v>
      </c>
      <c r="H15" s="87">
        <f t="shared" si="0"/>
        <v>0.95959956433378391</v>
      </c>
      <c r="I15" s="87">
        <f t="shared" si="0"/>
        <v>0.94005730465337745</v>
      </c>
      <c r="J15" s="88">
        <f t="shared" si="0"/>
        <v>0.96534103246812875</v>
      </c>
      <c r="K15" s="86">
        <f t="shared" si="0"/>
        <v>0.95730855224811851</v>
      </c>
      <c r="L15" s="87">
        <f t="shared" si="0"/>
        <v>0.95639014703501146</v>
      </c>
      <c r="M15" s="88">
        <f t="shared" si="0"/>
        <v>0.95677237477752375</v>
      </c>
    </row>
    <row r="16" spans="2:17" ht="17.25" customHeight="1">
      <c r="B16" s="449" t="s">
        <v>1999</v>
      </c>
      <c r="C16" s="89" t="s">
        <v>2000</v>
      </c>
      <c r="D16" s="90">
        <f>VLOOKUP("新豐6線",'0123 4度C'!$A:$T,19,0)</f>
        <v>0.70833333333333337</v>
      </c>
      <c r="E16" s="91">
        <f>VLOOKUP("新豐2線",'0123 4度C'!$A:$T,19,0)</f>
        <v>0.20833333333333334</v>
      </c>
      <c r="F16" s="91">
        <f>VLOOKUP("新豐5線",'0123 4度C'!$A:$T,19,0)</f>
        <v>0.20833333333333334</v>
      </c>
      <c r="G16" s="91">
        <f>VLOOKUP("新豐7線",'0123 4度C'!$A:$T,19,0)</f>
        <v>0.20833333333333334</v>
      </c>
      <c r="H16" s="91">
        <f>VLOOKUP("新豐3線",'0123 4度C'!$A:$T,19,0)</f>
        <v>8.3333333333333329E-2</v>
      </c>
      <c r="I16" s="91">
        <f>VLOOKUP("新豐1線",'0123 4度C'!$A:$T,19,0)</f>
        <v>0.20833333333333334</v>
      </c>
      <c r="J16" s="92">
        <f>VLOOKUP("新豐10線",'0123 4度C'!$A:$T,19,0)</f>
        <v>0.20833333333333334</v>
      </c>
      <c r="K16" s="93">
        <f>VLOOKUP("新豐8線",'0123 4度C'!$A:$T,19,0)</f>
        <v>8.3333333333333329E-2</v>
      </c>
      <c r="L16" s="94">
        <f>VLOOKUP("新豐9線",'0123 4度C'!$A:$T,19,0)</f>
        <v>8.3333333333333329E-2</v>
      </c>
      <c r="M16" s="95">
        <f>VLOOKUP("新豐4線",'0123 4度C'!$A:$T,19,0)</f>
        <v>8.3333333333333329E-2</v>
      </c>
    </row>
    <row r="17" spans="2:13" ht="17.25" customHeight="1">
      <c r="B17" s="450"/>
      <c r="C17" s="89" t="s">
        <v>2001</v>
      </c>
      <c r="D17" s="93">
        <f>LOOKUP(2,1/(('0123 4度C'!$A:$A="新豐6線")*('0123 4度C'!$T:$T&lt;&gt;"")),'0123 4度C'!$T:$T)</f>
        <v>0.84305555555555567</v>
      </c>
      <c r="E17" s="91">
        <f>LOOKUP(2,1/(('0123 4度C'!$A:$A="新豐2線")*('0123 4度C'!$T:$T&lt;&gt;"")),'0123 4度C'!$T:$T)</f>
        <v>0.38055555555555559</v>
      </c>
      <c r="F17" s="91">
        <f>LOOKUP(2,1/(('0123 4度C'!$A:$A="新豐5線")*('0123 4度C'!$T:$T&lt;&gt;"")),'0123 4度C'!$T:$T)</f>
        <v>0.84791666666666665</v>
      </c>
      <c r="G17" s="91">
        <f>LOOKUP(2,1/(('0123 4度C'!$A:$A="新豐7線")*('0123 4度C'!$T:$T&lt;&gt;"")),'0123 4度C'!$T:$T)</f>
        <v>0.84930555555555565</v>
      </c>
      <c r="H17" s="91">
        <f>LOOKUP(2,1/(('0123 4度C'!$A:$A="新豐3線")*('0123 4度C'!$T:$T&lt;&gt;"")),'0123 4度C'!$T:$T)</f>
        <v>0.4624999999999998</v>
      </c>
      <c r="I17" s="91">
        <f>LOOKUP(2,1/(('0123 4度C'!$A:$A="新豐1線")*('0123 4度C'!$T:$T&lt;&gt;"")),'0123 4度C'!$T:$T)</f>
        <v>0.85069444444444442</v>
      </c>
      <c r="J17" s="92">
        <f>LOOKUP(2,1/(('0123 4度C'!$A:$A="新豐10線")*('0123 4度C'!$T:$T&lt;&gt;"")),'0123 4度C'!$T:$T)</f>
        <v>0.43124999999999991</v>
      </c>
      <c r="K17" s="90">
        <f>LOOKUP(2,1/(('0123 4度C'!$A:$A="新豐8線")*('0123 4度C'!$T:$T&lt;&gt;"")),'0123 4度C'!$T:$T)</f>
        <v>0.45347222222222222</v>
      </c>
      <c r="L17" s="91">
        <f>LOOKUP(2,1/(('0123 4度C'!$A:$A="新豐9線")*('0123 4度C'!$T:$T&lt;&gt;"")),'0123 4度C'!$T:$T)</f>
        <v>0.47430555555555554</v>
      </c>
      <c r="M17" s="92">
        <f>LOOKUP(2,1/(('0123 4度C'!$A:$A="新豐4線")*('0123 4度C'!$T:$T&lt;&gt;"")),'0123 4度C'!$T:$T)</f>
        <v>0.44513888888888886</v>
      </c>
    </row>
    <row r="18" spans="2:13" ht="17.25" customHeight="1">
      <c r="B18" s="428" t="s">
        <v>2002</v>
      </c>
      <c r="C18" s="96" t="s">
        <v>2003</v>
      </c>
      <c r="D18" s="97">
        <f>SUMIFS('0123 4度C'!$Y:$Y,'0123 4度C'!$A:$A,"新豐6線",'0123 4度C'!$B:$B,"平均")</f>
        <v>0</v>
      </c>
      <c r="E18" s="98">
        <f>SUMIFS('0123 4度C'!$Y:$Y,'0123 4度C'!$A:$A,"新豐2線",'0123 4度C'!$B:$B,"平均")</f>
        <v>0</v>
      </c>
      <c r="F18" s="98">
        <f>SUMIFS('0123 4度C'!$Y:$Y,'0123 4度C'!$A:$A,"新豐5線",'0123 4度C'!$B:$B,"平均")</f>
        <v>0</v>
      </c>
      <c r="G18" s="98">
        <f>SUMIFS('0123 4度C'!$Y:$Y,'0123 4度C'!$A:$A,"新豐7線",'0123 4度C'!$B:$B,"平均")</f>
        <v>0</v>
      </c>
      <c r="H18" s="98">
        <f>SUMIFS('0123 4度C'!$Y:$Y,'0123 4度C'!$A:$A,"新豐3線",'0123 4度C'!$B:$B,"平均")</f>
        <v>0</v>
      </c>
      <c r="I18" s="98">
        <f>SUMIFS('0123 4度C'!$Y:$Y,'0123 4度C'!$A:$A,"新豐1線",'0123 4度C'!$B:$B,"平均")</f>
        <v>0</v>
      </c>
      <c r="J18" s="99">
        <f>SUMIFS('0123 4度C'!$Y:$Y,'0123 4度C'!$A:$A,"新豐10線",'0123 4度C'!$B:$B,"平均")</f>
        <v>0</v>
      </c>
      <c r="K18" s="100">
        <f>SUMIFS('0123 4度C'!$Y:$Y,'0123 4度C'!$A:$A,"新豐8線",'0123 4度C'!$B:$B,"平均")</f>
        <v>0</v>
      </c>
      <c r="L18" s="98">
        <f>SUMIFS('0123 4度C'!$Y:$Y,'0123 4度C'!$A:$A,"新豐9線",'0123 4度C'!$B:$B,"平均")</f>
        <v>0</v>
      </c>
      <c r="M18" s="99">
        <f>SUMIFS('0123 4度C'!$Y:$Y,'0123 4度C'!$A:$A,"新豐4線",'0123 4度C'!$B:$B,"平均")</f>
        <v>0</v>
      </c>
    </row>
    <row r="19" spans="2:13" ht="17.25" customHeight="1">
      <c r="B19" s="429"/>
      <c r="C19" s="96" t="s">
        <v>2004</v>
      </c>
      <c r="D19" s="97">
        <f>SUMIFS('0123 4度C'!$Z:$Z,'0123 4度C'!$A:$A,"新豐6線",'0123 4度C'!$B:$B,"平均")</f>
        <v>0</v>
      </c>
      <c r="E19" s="98">
        <f>SUMIFS('0123 4度C'!$Z:$Z,'0123 4度C'!$A:$A,"新豐2線",'0123 4度C'!$B:$B,"平均")</f>
        <v>0</v>
      </c>
      <c r="F19" s="98">
        <f>SUMIFS('0123 4度C'!$Z:$Z,'0123 4度C'!$A:$A,"新豐5線",'0123 4度C'!$B:$B,"平均")</f>
        <v>0</v>
      </c>
      <c r="G19" s="98">
        <f>SUMIFS('0123 4度C'!$Z:$Z,'0123 4度C'!$A:$A,"新豐7線",'0123 4度C'!$B:$B,"平均")</f>
        <v>0</v>
      </c>
      <c r="H19" s="98">
        <f>SUMIFS('0123 4度C'!$Z:$Z,'0123 4度C'!$A:$A,"新豐3線",'0123 4度C'!$B:$B,"平均")</f>
        <v>0</v>
      </c>
      <c r="I19" s="98">
        <f>SUMIFS('0123 4度C'!$Z:$Z,'0123 4度C'!$A:$A,"新豐1線",'0123 4度C'!$B:$B,"平均")</f>
        <v>0</v>
      </c>
      <c r="J19" s="99">
        <f>SUMIFS('0123 4度C'!$Z:$Z,'0123 4度C'!$A:$A,"新豐10線",'0123 4度C'!$B:$B,"平均")</f>
        <v>0</v>
      </c>
      <c r="K19" s="100">
        <f>SUMIFS('0123 4度C'!$Z:$Z,'0123 4度C'!$A:$A,"新豐8線",'0123 4度C'!$B:$B,"平均")</f>
        <v>0</v>
      </c>
      <c r="L19" s="98">
        <f>SUMIFS('0123 4度C'!$Z:$Z,'0123 4度C'!$A:$A,"新豐9線",'0123 4度C'!$B:$B,"平均")</f>
        <v>0</v>
      </c>
      <c r="M19" s="99">
        <f>SUMIFS('0123 4度C'!$Z:$Z,'0123 4度C'!$A:$A,"新豐4線",'0123 4度C'!$B:$B,"平均")</f>
        <v>0</v>
      </c>
    </row>
    <row r="20" spans="2:13" ht="17.25" customHeight="1">
      <c r="B20" s="428" t="s">
        <v>2005</v>
      </c>
      <c r="C20" s="96" t="s">
        <v>2006</v>
      </c>
      <c r="D20" s="97">
        <f>SUMIFS('0123 4度C'!$AC:$AC,'0123 4度C'!$A:$A,"新豐6線",'0123 4度C'!$B:$B,"平均")</f>
        <v>1</v>
      </c>
      <c r="E20" s="98">
        <f>SUMIFS('0123 4度C'!$AC:$AC,'0123 4度C'!$A:$A,"新豐2線",'0123 4度C'!$B:$B,"平均")</f>
        <v>1</v>
      </c>
      <c r="F20" s="98">
        <f>SUMIFS('0123 4度C'!$AC:$AC,'0123 4度C'!$A:$A,"新豐5線",'0123 4度C'!$B:$B,"平均")</f>
        <v>2</v>
      </c>
      <c r="G20" s="98">
        <f>SUMIFS('0123 4度C'!$AC:$AC,'0123 4度C'!$A:$A,"新豐7線",'0123 4度C'!$B:$B,"平均")</f>
        <v>3</v>
      </c>
      <c r="H20" s="98">
        <f>SUMIFS('0123 4度C'!$AC:$AC,'0123 4度C'!$A:$A,"新豐3線",'0123 4度C'!$B:$B,"平均")</f>
        <v>1</v>
      </c>
      <c r="I20" s="98">
        <f>SUMIFS('0123 4度C'!$AC:$AC,'0123 4度C'!$A:$A,"新豐1線",'0123 4度C'!$B:$B,"平均")</f>
        <v>4</v>
      </c>
      <c r="J20" s="99">
        <f>SUMIFS('0123 4度C'!$AC:$AC,'0123 4度C'!$A:$A,"新豐10線",'0123 4度C'!$B:$B,"平均")</f>
        <v>1</v>
      </c>
      <c r="K20" s="100">
        <f>SUMIFS('0123 4度C'!$AC:$AC,'0123 4度C'!$A:$A,"新豐8線",'0123 4度C'!$B:$B,"平均")</f>
        <v>6</v>
      </c>
      <c r="L20" s="98">
        <f>SUMIFS('0123 4度C'!$AC:$AC,'0123 4度C'!$A:$A,"新豐9線",'0123 4度C'!$B:$B,"平均")</f>
        <v>6</v>
      </c>
      <c r="M20" s="99">
        <f>SUMIFS('0123 4度C'!$AC:$AC,'0123 4度C'!$A:$A,"新豐4線",'0123 4度C'!$B:$B,"平均")</f>
        <v>6</v>
      </c>
    </row>
    <row r="21" spans="2:13" ht="17.25" customHeight="1">
      <c r="B21" s="429"/>
      <c r="C21" s="96" t="s">
        <v>2007</v>
      </c>
      <c r="D21" s="97">
        <f>SUMIFS('0123 4度C'!$AD:$AD,'0123 4度C'!$A:$A,"新豐6線",'0123 4度C'!$B:$B,"平均")</f>
        <v>0</v>
      </c>
      <c r="E21" s="98">
        <f>SUMIFS('0123 4度C'!$AD:$AD,'0123 4度C'!$A:$A,"新豐2線",'0123 4度C'!$B:$B,"平均")</f>
        <v>0</v>
      </c>
      <c r="F21" s="98">
        <f>SUMIFS('0123 4度C'!$AD:$AD,'0123 4度C'!$A:$A,"新豐5線",'0123 4度C'!$B:$B,"平均")</f>
        <v>0</v>
      </c>
      <c r="G21" s="98">
        <f>SUMIFS('0123 4度C'!$AD:$AD,'0123 4度C'!$A:$A,"新豐7線",'0123 4度C'!$B:$B,"平均")</f>
        <v>0</v>
      </c>
      <c r="H21" s="98">
        <f>SUMIFS('0123 4度C'!$AD:$AD,'0123 4度C'!$A:$A,"新豐3線",'0123 4度C'!$B:$B,"平均")</f>
        <v>0</v>
      </c>
      <c r="I21" s="98">
        <f>SUMIFS('0123 4度C'!$AD:$AD,'0123 4度C'!$A:$A,"新豐1線",'0123 4度C'!$B:$B,"平均")</f>
        <v>0</v>
      </c>
      <c r="J21" s="99">
        <f>SUMIFS('0123 4度C'!$AD:$AD,'0123 4度C'!$A:$A,"新豐10線",'0123 4度C'!$B:$B,"平均")</f>
        <v>0</v>
      </c>
      <c r="K21" s="100">
        <f>SUMIFS('0123 4度C'!$AD:$AD,'0123 4度C'!$A:$A,"新豐8線",'0123 4度C'!$B:$B,"平均")</f>
        <v>0</v>
      </c>
      <c r="L21" s="98">
        <f>SUMIFS('0123 4度C'!$AD:$AD,'0123 4度C'!$A:$A,"新豐9線",'0123 4度C'!$B:$B,"平均")</f>
        <v>0</v>
      </c>
      <c r="M21" s="99">
        <f>SUMIFS('0123 4度C'!$AD:$AD,'0123 4度C'!$A:$A,"新豐4線",'0123 4度C'!$B:$B,"平均")</f>
        <v>0</v>
      </c>
    </row>
    <row r="22" spans="2:13" ht="17.25" customHeight="1">
      <c r="B22" s="430" t="s">
        <v>2008</v>
      </c>
      <c r="C22" s="431"/>
      <c r="D22" s="101">
        <f>SUMIFS('0123 4度C'!$I:$I,'0123 4度C'!$A:$A,"新豐6線",'0123 4度C'!$B:$B,"平均")</f>
        <v>17.600000000000001</v>
      </c>
      <c r="E22" s="102">
        <f>SUMIFS('0123 4度C'!$I:$I,'0123 4度C'!$A:$A,"新豐2線",'0123 4度C'!$B:$B,"平均")</f>
        <v>18</v>
      </c>
      <c r="F22" s="102">
        <f>SUMIFS('0123 4度C'!$I:$I,'0123 4度C'!$A:$A,"新豐5線",'0123 4度C'!$B:$B,"平均")</f>
        <v>17.166666666666668</v>
      </c>
      <c r="G22" s="102">
        <f>SUMIFS('0123 4度C'!$I:$I,'0123 4度C'!$A:$A,"新豐7線",'0123 4度C'!$B:$B,"平均")</f>
        <v>15.714285714285714</v>
      </c>
      <c r="H22" s="102">
        <f>SUMIFS('0123 4度C'!$I:$I,'0123 4度C'!$A:$A,"新豐3線",'0123 4度C'!$B:$B,"平均")</f>
        <v>10</v>
      </c>
      <c r="I22" s="102">
        <f>SUMIFS('0123 4度C'!$I:$I,'0123 4度C'!$A:$A,"新豐1線",'0123 4度C'!$B:$B,"平均")</f>
        <v>18.666666666666668</v>
      </c>
      <c r="J22" s="103">
        <f>SUMIFS('0123 4度C'!$I:$I,'0123 4度C'!$A:$A,"新豐10線",'0123 4度C'!$B:$B,"平均")</f>
        <v>10.6</v>
      </c>
      <c r="K22" s="101">
        <f>SUMIFS('0123 4度C'!$I:$I,'0123 4度C'!$A:$A,"新豐8線",'0123 4度C'!$B:$B,"平均")</f>
        <v>18.2</v>
      </c>
      <c r="L22" s="102">
        <f>SUMIFS('0123 4度C'!$I:$I,'0123 4度C'!$A:$A,"新豐9線",'0123 4度C'!$B:$B,"平均")</f>
        <v>17.833333333333332</v>
      </c>
      <c r="M22" s="103">
        <f>SUMIFS('0123 4度C'!$I:$I,'0123 4度C'!$A:$A,"新豐4線",'0123 4度C'!$B:$B,"平均")</f>
        <v>16.399999999999999</v>
      </c>
    </row>
    <row r="23" spans="2:13" ht="17.25" customHeight="1">
      <c r="B23" s="430" t="s">
        <v>2009</v>
      </c>
      <c r="C23" s="431"/>
      <c r="D23" s="104" t="s">
        <v>157</v>
      </c>
      <c r="E23" s="105" t="s">
        <v>158</v>
      </c>
      <c r="F23" s="105" t="s">
        <v>2010</v>
      </c>
      <c r="G23" s="105" t="s">
        <v>2010</v>
      </c>
      <c r="H23" s="105" t="s">
        <v>159</v>
      </c>
      <c r="I23" s="105" t="s">
        <v>157</v>
      </c>
      <c r="J23" s="106" t="s">
        <v>159</v>
      </c>
      <c r="K23" s="104" t="s">
        <v>2011</v>
      </c>
      <c r="L23" s="105" t="s">
        <v>2011</v>
      </c>
      <c r="M23" s="106" t="s">
        <v>2011</v>
      </c>
    </row>
    <row r="24" spans="2:13" ht="17.25" customHeight="1">
      <c r="B24" s="430" t="s">
        <v>2012</v>
      </c>
      <c r="C24" s="431"/>
      <c r="D24" s="104"/>
      <c r="E24" s="105"/>
      <c r="F24" s="105" t="s">
        <v>2013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2014</v>
      </c>
      <c r="C25" s="433"/>
      <c r="D25" s="107"/>
      <c r="E25" s="108" t="s">
        <v>2015</v>
      </c>
      <c r="F25" s="426" t="s">
        <v>2016</v>
      </c>
      <c r="G25" s="427"/>
      <c r="H25" s="108" t="s">
        <v>2017</v>
      </c>
      <c r="I25" s="108" t="s">
        <v>2018</v>
      </c>
      <c r="J25" s="109" t="s">
        <v>2017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90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zoomScale="80" zoomScaleNormal="80" workbookViewId="0">
      <pane ySplit="4" topLeftCell="A23" activePane="bottomLeft" state="frozen"/>
      <selection activeCell="J13" sqref="J13"/>
      <selection pane="bottomLeft" activeCell="J10" sqref="J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2019</v>
      </c>
      <c r="B1" s="1"/>
      <c r="C1" s="2" t="s">
        <v>1</v>
      </c>
      <c r="D1" s="3">
        <f>SUM(F5:F71)</f>
        <v>129326</v>
      </c>
      <c r="E1" s="348" t="s">
        <v>2</v>
      </c>
      <c r="F1" s="1">
        <f>SUM(G5:G71)</f>
        <v>4461761.99</v>
      </c>
      <c r="G1" s="1" t="s">
        <v>2020</v>
      </c>
      <c r="H1" s="5">
        <f>L10+L13+L49+L59+L20+L65+L34+L41+L28+L71</f>
        <v>160.18095238095239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12</v>
      </c>
      <c r="AF1" s="544"/>
      <c r="AG1" s="544"/>
    </row>
    <row r="2" spans="1:33" ht="26.25" customHeight="1">
      <c r="A2" s="49">
        <v>46045</v>
      </c>
      <c r="B2" s="50" t="s">
        <v>269</v>
      </c>
      <c r="C2" s="2" t="s">
        <v>13</v>
      </c>
      <c r="D2" s="10">
        <f>AVERAGE(N10,N13,N49,N59,N20,N65,N28,N34,N41,N71)</f>
        <v>137.13774485521799</v>
      </c>
      <c r="E2" s="11" t="s">
        <v>14</v>
      </c>
      <c r="F2" s="12">
        <f>F1/D1</f>
        <v>34.500115908633994</v>
      </c>
      <c r="G2" s="1" t="s">
        <v>2021</v>
      </c>
      <c r="H2" s="356">
        <f>COUNT(H5:H71)</f>
        <v>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SUM(Y10+Y13+Y20+Y28+Y34+Y41+Y49+Y59+Y65+Y71)</f>
        <v>0</v>
      </c>
      <c r="Z2" s="14">
        <f>SUM(Z10+Z13+Z20+Z28+Z34+Z41+Z49+Z59+Z65+Z71)</f>
        <v>0</v>
      </c>
      <c r="AA2" s="543"/>
      <c r="AB2" s="543"/>
      <c r="AC2" s="157">
        <v>31</v>
      </c>
      <c r="AD2" s="14">
        <f>SUM(AD10+AD13+AD20+AD28+AD34+AD41+AD49+AD59+AD65+AD71)</f>
        <v>0</v>
      </c>
      <c r="AE2" s="544"/>
      <c r="AF2" s="544"/>
      <c r="AG2" s="544"/>
    </row>
    <row r="3" spans="1:33" ht="40.5" customHeight="1">
      <c r="A3" s="491" t="s">
        <v>2022</v>
      </c>
      <c r="B3" s="491" t="s">
        <v>2023</v>
      </c>
      <c r="C3" s="491" t="s">
        <v>2024</v>
      </c>
      <c r="D3" s="491"/>
      <c r="E3" s="540" t="s">
        <v>2025</v>
      </c>
      <c r="F3" s="491" t="s">
        <v>2026</v>
      </c>
      <c r="G3" s="540" t="s">
        <v>2027</v>
      </c>
      <c r="H3" s="533" t="s">
        <v>2028</v>
      </c>
      <c r="I3" s="531" t="s">
        <v>2029</v>
      </c>
      <c r="J3" s="528" t="s">
        <v>2030</v>
      </c>
      <c r="K3" s="538" t="s">
        <v>2031</v>
      </c>
      <c r="L3" s="531" t="s">
        <v>2029</v>
      </c>
      <c r="M3" s="528" t="s">
        <v>2030</v>
      </c>
      <c r="N3" s="538" t="s">
        <v>2031</v>
      </c>
      <c r="O3" s="531" t="s">
        <v>2029</v>
      </c>
      <c r="P3" s="538" t="s">
        <v>2031</v>
      </c>
      <c r="Q3" s="529" t="s">
        <v>2032</v>
      </c>
      <c r="R3" s="507" t="s">
        <v>2033</v>
      </c>
      <c r="S3" s="539" t="s">
        <v>27</v>
      </c>
      <c r="T3" s="539"/>
      <c r="U3" s="533" t="s">
        <v>28</v>
      </c>
      <c r="V3" s="533" t="s">
        <v>2034</v>
      </c>
      <c r="W3" s="491" t="s">
        <v>2035</v>
      </c>
      <c r="X3" s="491"/>
      <c r="Y3" s="534" t="s">
        <v>2036</v>
      </c>
      <c r="Z3" s="495"/>
      <c r="AA3" s="535" t="s">
        <v>2037</v>
      </c>
      <c r="AB3" s="536"/>
      <c r="AC3" s="534" t="s">
        <v>2038</v>
      </c>
      <c r="AD3" s="495"/>
      <c r="AE3" s="528" t="s">
        <v>2039</v>
      </c>
      <c r="AF3" s="529" t="s">
        <v>2040</v>
      </c>
      <c r="AG3" s="507" t="s">
        <v>2041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55" t="s">
        <v>37</v>
      </c>
      <c r="T4" s="355" t="s">
        <v>38</v>
      </c>
      <c r="U4" s="533"/>
      <c r="V4" s="533"/>
      <c r="W4" s="348" t="s">
        <v>2042</v>
      </c>
      <c r="X4" s="348" t="s">
        <v>2043</v>
      </c>
      <c r="Y4" s="347" t="s">
        <v>2044</v>
      </c>
      <c r="Z4" s="347" t="s">
        <v>2045</v>
      </c>
      <c r="AA4" s="537"/>
      <c r="AB4" s="536"/>
      <c r="AC4" s="347" t="s">
        <v>2046</v>
      </c>
      <c r="AD4" s="347" t="s">
        <v>2047</v>
      </c>
      <c r="AE4" s="528"/>
      <c r="AF4" s="529"/>
      <c r="AG4" s="507"/>
    </row>
    <row r="5" spans="1:33">
      <c r="A5" s="530" t="s">
        <v>2048</v>
      </c>
      <c r="B5" s="42" t="s">
        <v>103</v>
      </c>
      <c r="C5" s="532" t="s">
        <v>120</v>
      </c>
      <c r="D5" s="532"/>
      <c r="E5" s="42">
        <v>50.67</v>
      </c>
      <c r="F5" s="355">
        <v>1102</v>
      </c>
      <c r="G5" s="348">
        <f t="shared" ref="G5:G9" si="0">E5*F5</f>
        <v>55838.340000000004</v>
      </c>
      <c r="H5" s="357" t="s">
        <v>79</v>
      </c>
      <c r="I5" s="353">
        <v>17</v>
      </c>
      <c r="J5" s="37">
        <v>2000</v>
      </c>
      <c r="K5" s="17">
        <f t="shared" ref="K5:K68" si="1">J5/I5</f>
        <v>117.64705882352941</v>
      </c>
      <c r="L5" s="353">
        <v>17</v>
      </c>
      <c r="M5" s="18">
        <f t="shared" ref="M5:M9" si="2">F5/V5*60</f>
        <v>1944.7058823529387</v>
      </c>
      <c r="N5" s="17">
        <f t="shared" ref="N5:N68" si="3">M5/L5</f>
        <v>114.39446366781992</v>
      </c>
      <c r="O5" s="19">
        <f t="shared" ref="O5:O68" si="4">L5-I5</f>
        <v>0</v>
      </c>
      <c r="P5" s="20">
        <f t="shared" ref="P5:P68" si="5">N5-K5</f>
        <v>-3.2525951557094857</v>
      </c>
      <c r="Q5" s="349">
        <f t="shared" ref="Q5:Q68" si="6">N5/K5</f>
        <v>0.97235294117646942</v>
      </c>
      <c r="R5" s="489">
        <f>Q10</f>
        <v>0.96109605734766923</v>
      </c>
      <c r="S5" s="40">
        <v>0.70833333333333337</v>
      </c>
      <c r="T5" s="40">
        <v>0.73194444444444451</v>
      </c>
      <c r="U5" s="348"/>
      <c r="V5" s="354">
        <f t="shared" ref="V5:V9" si="7">(T5-S5)*24*60</f>
        <v>34.000000000000043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-55.294117647061285</v>
      </c>
      <c r="AF5" s="349">
        <f t="shared" ref="AF5:AF68" si="9">M5/J5</f>
        <v>0.97235294117646931</v>
      </c>
      <c r="AG5" s="489">
        <f>AF10</f>
        <v>0.96109605734766923</v>
      </c>
    </row>
    <row r="6" spans="1:33">
      <c r="A6" s="531" t="s">
        <v>2049</v>
      </c>
      <c r="B6" s="42" t="s">
        <v>103</v>
      </c>
      <c r="C6" s="532" t="s">
        <v>121</v>
      </c>
      <c r="D6" s="532"/>
      <c r="E6" s="42">
        <v>54.09</v>
      </c>
      <c r="F6" s="355">
        <v>1091</v>
      </c>
      <c r="G6" s="348">
        <f t="shared" si="0"/>
        <v>59012.19</v>
      </c>
      <c r="H6" s="357" t="s">
        <v>79</v>
      </c>
      <c r="I6" s="353">
        <v>19</v>
      </c>
      <c r="J6" s="37">
        <v>2000</v>
      </c>
      <c r="K6" s="17">
        <f t="shared" si="1"/>
        <v>105.26315789473684</v>
      </c>
      <c r="L6" s="353">
        <v>19</v>
      </c>
      <c r="M6" s="18">
        <f t="shared" si="2"/>
        <v>1925.2941176470565</v>
      </c>
      <c r="N6" s="17">
        <f t="shared" si="3"/>
        <v>101.33126934984507</v>
      </c>
      <c r="O6" s="19">
        <f t="shared" si="4"/>
        <v>0</v>
      </c>
      <c r="P6" s="20">
        <f t="shared" si="5"/>
        <v>-3.9318885448917626</v>
      </c>
      <c r="Q6" s="349">
        <f t="shared" si="6"/>
        <v>0.9626470588235283</v>
      </c>
      <c r="R6" s="489"/>
      <c r="S6" s="40">
        <v>0.73541666666666672</v>
      </c>
      <c r="T6" s="40">
        <v>0.75902777777777786</v>
      </c>
      <c r="U6" s="348">
        <f t="shared" ref="U6:U9" si="10">IF(S6=TIME(17,0,0),"",(S6-T5)*24*60)</f>
        <v>4.9999999999999822</v>
      </c>
      <c r="V6" s="354">
        <f t="shared" si="7"/>
        <v>34.000000000000043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-74.70588235294349</v>
      </c>
      <c r="AF6" s="349">
        <f t="shared" si="9"/>
        <v>0.9626470588235283</v>
      </c>
      <c r="AG6" s="489"/>
    </row>
    <row r="7" spans="1:33">
      <c r="A7" s="531" t="s">
        <v>2050</v>
      </c>
      <c r="B7" s="42" t="s">
        <v>103</v>
      </c>
      <c r="C7" s="523" t="s">
        <v>122</v>
      </c>
      <c r="D7" s="524"/>
      <c r="E7" s="42">
        <v>50.29</v>
      </c>
      <c r="F7" s="355">
        <v>869</v>
      </c>
      <c r="G7" s="348">
        <f t="shared" si="0"/>
        <v>43702.01</v>
      </c>
      <c r="H7" s="357" t="s">
        <v>79</v>
      </c>
      <c r="I7" s="353">
        <v>16</v>
      </c>
      <c r="J7" s="37">
        <v>2000</v>
      </c>
      <c r="K7" s="17">
        <f t="shared" si="1"/>
        <v>125</v>
      </c>
      <c r="L7" s="353">
        <v>16</v>
      </c>
      <c r="M7" s="18">
        <f t="shared" si="2"/>
        <v>1931.1111111111068</v>
      </c>
      <c r="N7" s="17">
        <f t="shared" si="3"/>
        <v>120.69444444444417</v>
      </c>
      <c r="O7" s="19">
        <f t="shared" si="4"/>
        <v>0</v>
      </c>
      <c r="P7" s="20">
        <f t="shared" si="5"/>
        <v>-4.3055555555558271</v>
      </c>
      <c r="Q7" s="349">
        <f t="shared" si="6"/>
        <v>0.96555555555555339</v>
      </c>
      <c r="R7" s="489"/>
      <c r="S7" s="40">
        <v>0.76319444444444451</v>
      </c>
      <c r="T7" s="40">
        <v>0.78194444444444455</v>
      </c>
      <c r="U7" s="348">
        <f t="shared" si="10"/>
        <v>5.9999999999999787</v>
      </c>
      <c r="V7" s="354">
        <f t="shared" si="7"/>
        <v>27.000000000000064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-68.888888888893234</v>
      </c>
      <c r="AF7" s="349">
        <f t="shared" si="9"/>
        <v>0.96555555555555339</v>
      </c>
      <c r="AG7" s="489"/>
    </row>
    <row r="8" spans="1:33">
      <c r="A8" s="531" t="s">
        <v>2050</v>
      </c>
      <c r="B8" s="42" t="s">
        <v>103</v>
      </c>
      <c r="C8" s="523" t="s">
        <v>1708</v>
      </c>
      <c r="D8" s="524"/>
      <c r="E8" s="42">
        <v>57.3</v>
      </c>
      <c r="F8" s="355">
        <v>1429</v>
      </c>
      <c r="G8" s="348">
        <f t="shared" si="0"/>
        <v>81881.7</v>
      </c>
      <c r="H8" s="357" t="s">
        <v>79</v>
      </c>
      <c r="I8" s="353">
        <v>15</v>
      </c>
      <c r="J8" s="37">
        <v>2000</v>
      </c>
      <c r="K8" s="17">
        <f t="shared" si="1"/>
        <v>133.33333333333334</v>
      </c>
      <c r="L8" s="353">
        <v>15</v>
      </c>
      <c r="M8" s="18">
        <f t="shared" si="2"/>
        <v>1905.3333333333335</v>
      </c>
      <c r="N8" s="17">
        <f t="shared" si="3"/>
        <v>127.02222222222223</v>
      </c>
      <c r="O8" s="19">
        <f t="shared" si="4"/>
        <v>0</v>
      </c>
      <c r="P8" s="20">
        <f t="shared" si="5"/>
        <v>-6.3111111111111171</v>
      </c>
      <c r="Q8" s="349">
        <f t="shared" si="6"/>
        <v>0.95266666666666666</v>
      </c>
      <c r="R8" s="489"/>
      <c r="S8" s="40">
        <v>0.7861111111111112</v>
      </c>
      <c r="T8" s="40">
        <v>0.8173611111111112</v>
      </c>
      <c r="U8" s="348">
        <f t="shared" si="10"/>
        <v>5.9999999999999787</v>
      </c>
      <c r="V8" s="354">
        <f t="shared" si="7"/>
        <v>45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-94.666666666666515</v>
      </c>
      <c r="AF8" s="349">
        <f t="shared" si="9"/>
        <v>0.95266666666666677</v>
      </c>
      <c r="AG8" s="489"/>
    </row>
    <row r="9" spans="1:33">
      <c r="A9" s="531" t="s">
        <v>46</v>
      </c>
      <c r="B9" s="42" t="s">
        <v>103</v>
      </c>
      <c r="C9" s="523" t="s">
        <v>515</v>
      </c>
      <c r="D9" s="524"/>
      <c r="E9" s="42">
        <v>50.67</v>
      </c>
      <c r="F9" s="355">
        <v>984</v>
      </c>
      <c r="G9" s="348">
        <f t="shared" si="0"/>
        <v>49859.28</v>
      </c>
      <c r="H9" s="357" t="s">
        <v>79</v>
      </c>
      <c r="I9" s="353">
        <v>21</v>
      </c>
      <c r="J9" s="37">
        <v>2000</v>
      </c>
      <c r="K9" s="17">
        <f t="shared" si="1"/>
        <v>95.238095238095241</v>
      </c>
      <c r="L9" s="353">
        <v>21</v>
      </c>
      <c r="M9" s="18">
        <f t="shared" si="2"/>
        <v>1904.5161290322551</v>
      </c>
      <c r="N9" s="17">
        <f t="shared" si="3"/>
        <v>90.691244239631189</v>
      </c>
      <c r="O9" s="19">
        <f t="shared" si="4"/>
        <v>0</v>
      </c>
      <c r="P9" s="20">
        <f t="shared" si="5"/>
        <v>-4.5468509984640519</v>
      </c>
      <c r="Q9" s="349">
        <f t="shared" si="6"/>
        <v>0.95225806451612749</v>
      </c>
      <c r="R9" s="489"/>
      <c r="S9" s="40">
        <v>0.82152777777777786</v>
      </c>
      <c r="T9" s="40">
        <v>0.84305555555555567</v>
      </c>
      <c r="U9" s="348">
        <f t="shared" si="10"/>
        <v>5.9999999999999787</v>
      </c>
      <c r="V9" s="354">
        <f t="shared" si="7"/>
        <v>31.00000000000005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-95.483870967744906</v>
      </c>
      <c r="AF9" s="349">
        <f t="shared" si="9"/>
        <v>0.9522580645161276</v>
      </c>
      <c r="AG9" s="489"/>
    </row>
    <row r="10" spans="1:33">
      <c r="A10" s="531" t="s">
        <v>2051</v>
      </c>
      <c r="B10" s="42" t="s">
        <v>2052</v>
      </c>
      <c r="C10" s="494"/>
      <c r="D10" s="494"/>
      <c r="E10" s="350"/>
      <c r="F10" s="44"/>
      <c r="G10" s="17"/>
      <c r="H10" s="355"/>
      <c r="I10" s="30">
        <v>17.600000000000001</v>
      </c>
      <c r="J10" s="37">
        <v>2000</v>
      </c>
      <c r="K10" s="17">
        <f t="shared" si="1"/>
        <v>113.63636363636363</v>
      </c>
      <c r="L10" s="30">
        <v>17.600000000000001</v>
      </c>
      <c r="M10" s="18">
        <f>AVERAGE(M5:M9)</f>
        <v>1922.1921146953384</v>
      </c>
      <c r="N10" s="17">
        <f t="shared" si="3"/>
        <v>109.21546106223514</v>
      </c>
      <c r="O10" s="19">
        <f t="shared" si="4"/>
        <v>0</v>
      </c>
      <c r="P10" s="20">
        <f t="shared" si="5"/>
        <v>-4.4209025741284904</v>
      </c>
      <c r="Q10" s="349">
        <f t="shared" si="6"/>
        <v>0.96109605734766923</v>
      </c>
      <c r="R10" s="489"/>
      <c r="S10" s="40"/>
      <c r="T10" s="40"/>
      <c r="U10" s="348"/>
      <c r="V10" s="354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-77.807885304661568</v>
      </c>
      <c r="AF10" s="349">
        <f t="shared" si="9"/>
        <v>0.96109605734766923</v>
      </c>
      <c r="AG10" s="489"/>
    </row>
    <row r="11" spans="1:33" ht="15.75" customHeight="1">
      <c r="A11" s="527" t="s">
        <v>2053</v>
      </c>
      <c r="B11" s="42" t="s">
        <v>100</v>
      </c>
      <c r="C11" s="523" t="s">
        <v>124</v>
      </c>
      <c r="D11" s="524"/>
      <c r="E11" s="42">
        <v>39.619999999999997</v>
      </c>
      <c r="F11" s="355">
        <v>2169</v>
      </c>
      <c r="G11" s="348">
        <f t="shared" ref="G11:G12" si="11">E11*F11</f>
        <v>85935.78</v>
      </c>
      <c r="H11" s="357" t="s">
        <v>79</v>
      </c>
      <c r="I11" s="353">
        <v>19</v>
      </c>
      <c r="J11" s="37">
        <v>1500</v>
      </c>
      <c r="K11" s="17">
        <f t="shared" si="1"/>
        <v>78.94736842105263</v>
      </c>
      <c r="L11" s="353">
        <v>19</v>
      </c>
      <c r="M11" s="18">
        <f t="shared" ref="M11:M12" si="12">F11/V11*60</f>
        <v>1430.1098901098894</v>
      </c>
      <c r="N11" s="17">
        <f t="shared" si="3"/>
        <v>75.268941584731024</v>
      </c>
      <c r="O11" s="19">
        <f t="shared" si="4"/>
        <v>0</v>
      </c>
      <c r="P11" s="20">
        <f t="shared" si="5"/>
        <v>-3.6784268363216057</v>
      </c>
      <c r="Q11" s="349">
        <f t="shared" si="6"/>
        <v>0.95340659340659295</v>
      </c>
      <c r="R11" s="489">
        <f>Q13</f>
        <v>0.95644013880855949</v>
      </c>
      <c r="S11" s="40">
        <v>0.20833333333333334</v>
      </c>
      <c r="T11" s="40">
        <v>0.27152777777777781</v>
      </c>
      <c r="U11" s="348"/>
      <c r="V11" s="354">
        <f t="shared" ref="V11:V12" si="13">(T11-S11)*24*60</f>
        <v>91.000000000000043</v>
      </c>
      <c r="W11" s="23"/>
      <c r="X11" s="23"/>
      <c r="Y11" s="23"/>
      <c r="Z11" s="23"/>
      <c r="AA11" s="491"/>
      <c r="AB11" s="491"/>
      <c r="AC11" s="154">
        <v>1</v>
      </c>
      <c r="AD11" s="25"/>
      <c r="AE11" s="19">
        <f t="shared" si="8"/>
        <v>-69.89010989011058</v>
      </c>
      <c r="AF11" s="349">
        <f t="shared" si="9"/>
        <v>0.95340659340659295</v>
      </c>
      <c r="AG11" s="489">
        <f>AF13</f>
        <v>0.95644013880855949</v>
      </c>
    </row>
    <row r="12" spans="1:33" ht="15.75" customHeight="1">
      <c r="A12" s="527" t="s">
        <v>2054</v>
      </c>
      <c r="B12" s="42" t="s">
        <v>100</v>
      </c>
      <c r="C12" s="523" t="s">
        <v>125</v>
      </c>
      <c r="D12" s="524"/>
      <c r="E12" s="42">
        <v>39.799999999999997</v>
      </c>
      <c r="F12" s="355">
        <v>3646</v>
      </c>
      <c r="G12" s="348">
        <f t="shared" si="11"/>
        <v>145110.79999999999</v>
      </c>
      <c r="H12" s="357" t="s">
        <v>79</v>
      </c>
      <c r="I12" s="353">
        <v>17</v>
      </c>
      <c r="J12" s="37">
        <v>1500</v>
      </c>
      <c r="K12" s="17">
        <f t="shared" si="1"/>
        <v>88.235294117647058</v>
      </c>
      <c r="L12" s="353">
        <v>17</v>
      </c>
      <c r="M12" s="18">
        <f t="shared" si="12"/>
        <v>1439.2105263157891</v>
      </c>
      <c r="N12" s="17">
        <f t="shared" si="3"/>
        <v>84.659442724458188</v>
      </c>
      <c r="O12" s="19">
        <f t="shared" si="4"/>
        <v>0</v>
      </c>
      <c r="P12" s="20">
        <f t="shared" si="5"/>
        <v>-3.57585139318887</v>
      </c>
      <c r="Q12" s="349">
        <f t="shared" si="6"/>
        <v>0.95947368421052615</v>
      </c>
      <c r="R12" s="489"/>
      <c r="S12" s="40">
        <v>0.27500000000000002</v>
      </c>
      <c r="T12" s="40">
        <v>0.38055555555555559</v>
      </c>
      <c r="U12" s="348">
        <f t="shared" ref="U12" si="14">IF(S12=TIME(17,0,0),"",(S12-T11)*24*60)</f>
        <v>4.9999999999999822</v>
      </c>
      <c r="V12" s="354">
        <f t="shared" si="13"/>
        <v>152.00000000000003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-60.789473684210861</v>
      </c>
      <c r="AF12" s="349">
        <f t="shared" si="9"/>
        <v>0.95947368421052615</v>
      </c>
      <c r="AG12" s="489"/>
    </row>
    <row r="13" spans="1:33" ht="16.5" customHeight="1">
      <c r="A13" s="527" t="s">
        <v>2053</v>
      </c>
      <c r="B13" s="42" t="s">
        <v>2052</v>
      </c>
      <c r="C13" s="494"/>
      <c r="D13" s="494"/>
      <c r="E13" s="350"/>
      <c r="F13" s="37"/>
      <c r="G13" s="18"/>
      <c r="H13" s="355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1434.6602082128393</v>
      </c>
      <c r="N13" s="17">
        <f t="shared" si="3"/>
        <v>79.70334490071329</v>
      </c>
      <c r="O13" s="19">
        <f t="shared" si="4"/>
        <v>0</v>
      </c>
      <c r="P13" s="20">
        <f t="shared" si="5"/>
        <v>-3.6299884326200385</v>
      </c>
      <c r="Q13" s="349">
        <f t="shared" si="6"/>
        <v>0.95644013880855949</v>
      </c>
      <c r="R13" s="489"/>
      <c r="S13" s="40"/>
      <c r="T13" s="40"/>
      <c r="U13" s="17"/>
      <c r="V13" s="354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1</v>
      </c>
      <c r="AD13" s="31">
        <f>SUM(AD11:AD12)</f>
        <v>0</v>
      </c>
      <c r="AE13" s="19">
        <f t="shared" si="8"/>
        <v>-65.339791787160721</v>
      </c>
      <c r="AF13" s="349">
        <f t="shared" si="9"/>
        <v>0.95644013880855949</v>
      </c>
      <c r="AG13" s="489"/>
    </row>
    <row r="14" spans="1:33" ht="16.5" customHeight="1">
      <c r="A14" s="525" t="s">
        <v>2055</v>
      </c>
      <c r="B14" s="355" t="s">
        <v>126</v>
      </c>
      <c r="C14" s="515" t="s">
        <v>127</v>
      </c>
      <c r="D14" s="515"/>
      <c r="E14" s="42">
        <v>41</v>
      </c>
      <c r="F14" s="355">
        <v>1819</v>
      </c>
      <c r="G14" s="348">
        <f t="shared" ref="G14:G19" si="15">E14*F14</f>
        <v>74579</v>
      </c>
      <c r="H14" s="357" t="s">
        <v>79</v>
      </c>
      <c r="I14" s="353">
        <v>26</v>
      </c>
      <c r="J14" s="37">
        <v>1500</v>
      </c>
      <c r="K14" s="17">
        <f t="shared" si="1"/>
        <v>57.692307692307693</v>
      </c>
      <c r="L14" s="353">
        <v>26</v>
      </c>
      <c r="M14" s="18">
        <f t="shared" ref="M14:M19" si="16">F14/V14*60</f>
        <v>1436.0526315789471</v>
      </c>
      <c r="N14" s="17">
        <f t="shared" si="3"/>
        <v>55.232793522267194</v>
      </c>
      <c r="O14" s="19">
        <f t="shared" si="4"/>
        <v>0</v>
      </c>
      <c r="P14" s="20">
        <f t="shared" si="5"/>
        <v>-2.4595141700404994</v>
      </c>
      <c r="Q14" s="349">
        <f t="shared" si="6"/>
        <v>0.95736842105263131</v>
      </c>
      <c r="R14" s="489">
        <f>Q20</f>
        <v>0.96153792912282299</v>
      </c>
      <c r="S14" s="40">
        <v>0.20833333333333334</v>
      </c>
      <c r="T14" s="40">
        <v>0.26111111111111113</v>
      </c>
      <c r="U14" s="348"/>
      <c r="V14" s="354">
        <f t="shared" ref="V14:V19" si="17">(T14-S14)*24*60</f>
        <v>76.000000000000014</v>
      </c>
      <c r="W14" s="28"/>
      <c r="X14" s="28"/>
      <c r="Y14" s="28"/>
      <c r="Z14" s="28"/>
      <c r="AA14" s="491"/>
      <c r="AB14" s="491"/>
      <c r="AC14" s="154">
        <v>2</v>
      </c>
      <c r="AD14" s="25"/>
      <c r="AE14" s="19">
        <f t="shared" si="8"/>
        <v>-63.947368421052943</v>
      </c>
      <c r="AF14" s="349">
        <f t="shared" si="9"/>
        <v>0.95736842105263142</v>
      </c>
      <c r="AG14" s="489">
        <f>AF20</f>
        <v>0.96153792912282299</v>
      </c>
    </row>
    <row r="15" spans="1:33" ht="16.5" customHeight="1">
      <c r="A15" s="526" t="s">
        <v>52</v>
      </c>
      <c r="B15" s="355" t="s">
        <v>128</v>
      </c>
      <c r="C15" s="515" t="s">
        <v>129</v>
      </c>
      <c r="D15" s="515"/>
      <c r="E15" s="42">
        <v>72.400000000000006</v>
      </c>
      <c r="F15" s="355">
        <v>728</v>
      </c>
      <c r="G15" s="348">
        <f t="shared" si="15"/>
        <v>52707.200000000004</v>
      </c>
      <c r="H15" s="357" t="s">
        <v>79</v>
      </c>
      <c r="I15" s="353">
        <v>18</v>
      </c>
      <c r="J15" s="37">
        <v>1500</v>
      </c>
      <c r="K15" s="17">
        <f t="shared" si="1"/>
        <v>83.333333333333329</v>
      </c>
      <c r="L15" s="353">
        <v>18</v>
      </c>
      <c r="M15" s="18">
        <f t="shared" si="16"/>
        <v>1456.0000000000014</v>
      </c>
      <c r="N15" s="17">
        <f t="shared" si="3"/>
        <v>80.888888888888971</v>
      </c>
      <c r="O15" s="19">
        <f t="shared" si="4"/>
        <v>0</v>
      </c>
      <c r="P15" s="20">
        <f t="shared" si="5"/>
        <v>-2.4444444444443576</v>
      </c>
      <c r="Q15" s="349">
        <f t="shared" si="6"/>
        <v>0.97066666666666768</v>
      </c>
      <c r="R15" s="489"/>
      <c r="S15" s="40">
        <v>0.26458333333333334</v>
      </c>
      <c r="T15" s="40">
        <v>0.28541666666666665</v>
      </c>
      <c r="U15" s="348">
        <f t="shared" ref="U15:U19" si="18">IF(S15=TIME(17,0,0),"",(S15-T14)*24*60)</f>
        <v>4.9999999999999822</v>
      </c>
      <c r="V15" s="354">
        <f t="shared" si="17"/>
        <v>29.999999999999972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-43.999999999998636</v>
      </c>
      <c r="AF15" s="349">
        <f t="shared" si="9"/>
        <v>0.97066666666666757</v>
      </c>
      <c r="AG15" s="489"/>
    </row>
    <row r="16" spans="1:33" ht="16.5" customHeight="1">
      <c r="A16" s="526" t="s">
        <v>52</v>
      </c>
      <c r="B16" s="355" t="s">
        <v>103</v>
      </c>
      <c r="C16" s="515" t="s">
        <v>123</v>
      </c>
      <c r="D16" s="515"/>
      <c r="E16" s="42">
        <v>50.98</v>
      </c>
      <c r="F16" s="355">
        <v>1000</v>
      </c>
      <c r="G16" s="348">
        <f t="shared" si="15"/>
        <v>50980</v>
      </c>
      <c r="H16" s="357">
        <v>2</v>
      </c>
      <c r="I16" s="353">
        <v>16</v>
      </c>
      <c r="J16" s="37">
        <v>2000</v>
      </c>
      <c r="K16" s="17">
        <f t="shared" si="1"/>
        <v>125</v>
      </c>
      <c r="L16" s="353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349">
        <f t="shared" si="6"/>
        <v>0.96774193548386944</v>
      </c>
      <c r="R16" s="489"/>
      <c r="S16" s="40">
        <v>0.70833333333333337</v>
      </c>
      <c r="T16" s="40">
        <v>0.72986111111111118</v>
      </c>
      <c r="U16" s="348" t="str">
        <f t="shared" si="18"/>
        <v/>
      </c>
      <c r="V16" s="354">
        <f t="shared" si="17"/>
        <v>31.00000000000005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-64.516129032261006</v>
      </c>
      <c r="AF16" s="349">
        <f t="shared" si="9"/>
        <v>0.96774193548386944</v>
      </c>
      <c r="AG16" s="489"/>
    </row>
    <row r="17" spans="1:33" ht="16.5" customHeight="1">
      <c r="A17" s="526" t="s">
        <v>2055</v>
      </c>
      <c r="B17" s="355" t="s">
        <v>103</v>
      </c>
      <c r="C17" s="515" t="s">
        <v>132</v>
      </c>
      <c r="D17" s="515"/>
      <c r="E17" s="42">
        <v>50.92</v>
      </c>
      <c r="F17" s="355">
        <v>1841</v>
      </c>
      <c r="G17" s="348">
        <f t="shared" si="15"/>
        <v>93743.72</v>
      </c>
      <c r="H17" s="357" t="s">
        <v>79</v>
      </c>
      <c r="I17" s="353">
        <v>15</v>
      </c>
      <c r="J17" s="37">
        <v>2000</v>
      </c>
      <c r="K17" s="17">
        <f t="shared" si="1"/>
        <v>133.33333333333334</v>
      </c>
      <c r="L17" s="353">
        <v>15</v>
      </c>
      <c r="M17" s="18">
        <f t="shared" si="16"/>
        <v>1904.4827586206911</v>
      </c>
      <c r="N17" s="17">
        <f t="shared" si="3"/>
        <v>126.9655172413794</v>
      </c>
      <c r="O17" s="19">
        <f t="shared" si="4"/>
        <v>0</v>
      </c>
      <c r="P17" s="20">
        <f t="shared" si="5"/>
        <v>-6.3678160919539408</v>
      </c>
      <c r="Q17" s="349">
        <f t="shared" si="6"/>
        <v>0.95224137931034547</v>
      </c>
      <c r="R17" s="489"/>
      <c r="S17" s="40">
        <v>0.73472222222222228</v>
      </c>
      <c r="T17" s="40">
        <v>0.77500000000000002</v>
      </c>
      <c r="U17" s="348">
        <f t="shared" si="18"/>
        <v>6.9999999999999751</v>
      </c>
      <c r="V17" s="354">
        <f t="shared" si="17"/>
        <v>57.999999999999957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-95.517241379308871</v>
      </c>
      <c r="AF17" s="349">
        <f t="shared" si="9"/>
        <v>0.95224137931034558</v>
      </c>
      <c r="AG17" s="489"/>
    </row>
    <row r="18" spans="1:33" ht="16.5" customHeight="1">
      <c r="A18" s="526" t="s">
        <v>52</v>
      </c>
      <c r="B18" s="355" t="s">
        <v>103</v>
      </c>
      <c r="C18" s="515" t="s">
        <v>133</v>
      </c>
      <c r="D18" s="515"/>
      <c r="E18" s="42">
        <v>50.67</v>
      </c>
      <c r="F18" s="355">
        <v>1344</v>
      </c>
      <c r="G18" s="348">
        <f t="shared" si="15"/>
        <v>68100.479999999996</v>
      </c>
      <c r="H18" s="357" t="s">
        <v>79</v>
      </c>
      <c r="I18" s="353">
        <v>15</v>
      </c>
      <c r="J18" s="37">
        <v>2000</v>
      </c>
      <c r="K18" s="17">
        <f t="shared" si="1"/>
        <v>133.33333333333334</v>
      </c>
      <c r="L18" s="353">
        <v>15</v>
      </c>
      <c r="M18" s="18">
        <f t="shared" si="16"/>
        <v>1919.9999999999993</v>
      </c>
      <c r="N18" s="17">
        <f t="shared" si="3"/>
        <v>127.99999999999996</v>
      </c>
      <c r="O18" s="19">
        <f t="shared" si="4"/>
        <v>0</v>
      </c>
      <c r="P18" s="20">
        <f t="shared" si="5"/>
        <v>-5.3333333333333854</v>
      </c>
      <c r="Q18" s="349">
        <f t="shared" si="6"/>
        <v>0.95999999999999963</v>
      </c>
      <c r="R18" s="489"/>
      <c r="S18" s="40">
        <v>0.77916666666666667</v>
      </c>
      <c r="T18" s="40">
        <v>0.80833333333333335</v>
      </c>
      <c r="U18" s="348">
        <f t="shared" si="18"/>
        <v>5.9999999999999787</v>
      </c>
      <c r="V18" s="354">
        <f t="shared" si="17"/>
        <v>42.000000000000014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-80.000000000000682</v>
      </c>
      <c r="AF18" s="349">
        <f t="shared" si="9"/>
        <v>0.95999999999999963</v>
      </c>
      <c r="AG18" s="489"/>
    </row>
    <row r="19" spans="1:33" ht="16.5" customHeight="1">
      <c r="A19" s="526" t="s">
        <v>2056</v>
      </c>
      <c r="B19" s="355" t="s">
        <v>103</v>
      </c>
      <c r="C19" s="521" t="s">
        <v>134</v>
      </c>
      <c r="D19" s="522"/>
      <c r="E19" s="42">
        <v>57.3</v>
      </c>
      <c r="F19" s="355">
        <v>1572</v>
      </c>
      <c r="G19" s="348">
        <f t="shared" si="15"/>
        <v>90075.599999999991</v>
      </c>
      <c r="H19" s="357" t="s">
        <v>79</v>
      </c>
      <c r="I19" s="353">
        <v>13</v>
      </c>
      <c r="J19" s="37">
        <v>2000</v>
      </c>
      <c r="K19" s="17">
        <f t="shared" si="1"/>
        <v>153.84615384615384</v>
      </c>
      <c r="L19" s="353">
        <v>13</v>
      </c>
      <c r="M19" s="18">
        <f t="shared" si="16"/>
        <v>1924.8979591836742</v>
      </c>
      <c r="N19" s="17">
        <f t="shared" si="3"/>
        <v>148.06907378335956</v>
      </c>
      <c r="O19" s="19">
        <f t="shared" si="4"/>
        <v>0</v>
      </c>
      <c r="P19" s="20">
        <f t="shared" si="5"/>
        <v>-5.7770800627942833</v>
      </c>
      <c r="Q19" s="349">
        <f t="shared" si="6"/>
        <v>0.96244897959183717</v>
      </c>
      <c r="R19" s="489"/>
      <c r="S19" s="40">
        <v>0.81388888888888888</v>
      </c>
      <c r="T19" s="40">
        <v>0.84791666666666665</v>
      </c>
      <c r="U19" s="348">
        <f t="shared" si="18"/>
        <v>7.9999999999999716</v>
      </c>
      <c r="V19" s="354">
        <f t="shared" si="17"/>
        <v>48.999999999999986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-75.102040816325825</v>
      </c>
      <c r="AF19" s="349">
        <f t="shared" si="9"/>
        <v>0.96244897959183706</v>
      </c>
      <c r="AG19" s="489"/>
    </row>
    <row r="20" spans="1:33" ht="16.5" customHeight="1">
      <c r="A20" s="526" t="s">
        <v>2055</v>
      </c>
      <c r="B20" s="42" t="s">
        <v>2057</v>
      </c>
      <c r="C20" s="494"/>
      <c r="D20" s="494"/>
      <c r="E20" s="350"/>
      <c r="F20" s="44"/>
      <c r="G20" s="17"/>
      <c r="H20" s="355"/>
      <c r="I20" s="30">
        <v>17.166666666666668</v>
      </c>
      <c r="J20" s="37">
        <v>1833.3333333333333</v>
      </c>
      <c r="K20" s="17">
        <f t="shared" si="1"/>
        <v>106.79611650485435</v>
      </c>
      <c r="L20" s="30">
        <v>17.166666666666668</v>
      </c>
      <c r="M20" s="18">
        <f>AVERAGE(M14:M19)</f>
        <v>1762.8195367251753</v>
      </c>
      <c r="N20" s="17">
        <f t="shared" si="3"/>
        <v>102.6885167024374</v>
      </c>
      <c r="O20" s="19">
        <f t="shared" si="4"/>
        <v>0</v>
      </c>
      <c r="P20" s="20">
        <f t="shared" si="5"/>
        <v>-4.1075998024169564</v>
      </c>
      <c r="Q20" s="349">
        <f t="shared" si="6"/>
        <v>0.96153792912282299</v>
      </c>
      <c r="R20" s="489"/>
      <c r="S20" s="40"/>
      <c r="T20" s="40"/>
      <c r="U20" s="348"/>
      <c r="V20" s="354"/>
      <c r="W20" s="17"/>
      <c r="X20" s="17"/>
      <c r="Y20" s="31">
        <f>SUM(Y14:Y19)</f>
        <v>0</v>
      </c>
      <c r="Z20" s="31">
        <f>SUM(Z14:Z19)</f>
        <v>0</v>
      </c>
      <c r="AA20" s="495"/>
      <c r="AB20" s="495"/>
      <c r="AC20" s="31">
        <v>2</v>
      </c>
      <c r="AD20" s="31">
        <f>SUM(AD14:AD19)</f>
        <v>0</v>
      </c>
      <c r="AE20" s="19">
        <f t="shared" si="8"/>
        <v>-70.513796608157918</v>
      </c>
      <c r="AF20" s="349">
        <f t="shared" si="9"/>
        <v>0.96153792912282299</v>
      </c>
      <c r="AG20" s="489"/>
    </row>
    <row r="21" spans="1:33" ht="15.75" customHeight="1">
      <c r="A21" s="519" t="s">
        <v>2058</v>
      </c>
      <c r="B21" s="42" t="s">
        <v>126</v>
      </c>
      <c r="C21" s="515" t="s">
        <v>135</v>
      </c>
      <c r="D21" s="515"/>
      <c r="E21" s="42">
        <v>43.14</v>
      </c>
      <c r="F21" s="355">
        <v>687</v>
      </c>
      <c r="G21" s="348">
        <f t="shared" ref="G21:G27" si="19">E21*F21</f>
        <v>29637.18</v>
      </c>
      <c r="H21" s="357" t="s">
        <v>79</v>
      </c>
      <c r="I21" s="353">
        <v>17</v>
      </c>
      <c r="J21" s="37">
        <v>2000</v>
      </c>
      <c r="K21" s="17">
        <f t="shared" si="1"/>
        <v>117.64705882352941</v>
      </c>
      <c r="L21" s="353">
        <v>17</v>
      </c>
      <c r="M21" s="18">
        <f t="shared" ref="M21:M27" si="20">F21/V21*60</f>
        <v>1962.857142857142</v>
      </c>
      <c r="N21" s="17">
        <f t="shared" si="3"/>
        <v>115.46218487394952</v>
      </c>
      <c r="O21" s="19">
        <f t="shared" si="4"/>
        <v>0</v>
      </c>
      <c r="P21" s="20">
        <f t="shared" si="5"/>
        <v>-2.184873949579881</v>
      </c>
      <c r="Q21" s="349">
        <f t="shared" si="6"/>
        <v>0.98142857142857098</v>
      </c>
      <c r="R21" s="489">
        <f>Q28</f>
        <v>0.96589832709613543</v>
      </c>
      <c r="S21" s="40">
        <v>0.20833333333333334</v>
      </c>
      <c r="T21" s="40">
        <v>0.22291666666666668</v>
      </c>
      <c r="U21" s="348"/>
      <c r="V21" s="354">
        <f t="shared" ref="V21:V27" si="21">(T21-S21)*24*60</f>
        <v>21.000000000000007</v>
      </c>
      <c r="W21" s="28"/>
      <c r="X21" s="28"/>
      <c r="Y21" s="28"/>
      <c r="Z21" s="28"/>
      <c r="AA21" s="491"/>
      <c r="AB21" s="491"/>
      <c r="AC21" s="154">
        <v>3</v>
      </c>
      <c r="AD21" s="25"/>
      <c r="AE21" s="19">
        <f t="shared" si="8"/>
        <v>-37.14285714285802</v>
      </c>
      <c r="AF21" s="349">
        <f t="shared" si="9"/>
        <v>0.98142857142857098</v>
      </c>
      <c r="AG21" s="489">
        <f>AF28</f>
        <v>0.96589832709613532</v>
      </c>
    </row>
    <row r="22" spans="1:33" ht="15.75" customHeight="1">
      <c r="A22" s="520" t="s">
        <v>56</v>
      </c>
      <c r="B22" s="42" t="s">
        <v>103</v>
      </c>
      <c r="C22" s="515" t="s">
        <v>137</v>
      </c>
      <c r="D22" s="515"/>
      <c r="E22" s="42">
        <v>57.73</v>
      </c>
      <c r="F22" s="355">
        <v>2116</v>
      </c>
      <c r="G22" s="348">
        <f t="shared" si="19"/>
        <v>122156.68</v>
      </c>
      <c r="H22" s="357" t="s">
        <v>79</v>
      </c>
      <c r="I22" s="353">
        <v>14</v>
      </c>
      <c r="J22" s="37">
        <v>2000</v>
      </c>
      <c r="K22" s="17">
        <f t="shared" si="1"/>
        <v>142.85714285714286</v>
      </c>
      <c r="L22" s="353">
        <v>14</v>
      </c>
      <c r="M22" s="18">
        <f t="shared" si="20"/>
        <v>1923.6363636363637</v>
      </c>
      <c r="N22" s="17">
        <f t="shared" si="3"/>
        <v>137.40259740259742</v>
      </c>
      <c r="O22" s="19">
        <f t="shared" si="4"/>
        <v>0</v>
      </c>
      <c r="P22" s="20">
        <f t="shared" si="5"/>
        <v>-5.454545454545439</v>
      </c>
      <c r="Q22" s="349">
        <f t="shared" si="6"/>
        <v>0.96181818181818191</v>
      </c>
      <c r="R22" s="489"/>
      <c r="S22" s="40">
        <v>0.22708333333333336</v>
      </c>
      <c r="T22" s="40">
        <v>0.2729166666666667</v>
      </c>
      <c r="U22" s="348">
        <f t="shared" ref="U22:U27" si="22">IF(S22=TIME(17,0,0),"",(S22-T21)*24*60)</f>
        <v>6.0000000000000187</v>
      </c>
      <c r="V22" s="354">
        <f t="shared" si="21"/>
        <v>66</v>
      </c>
      <c r="W22" s="23"/>
      <c r="X22" s="348"/>
      <c r="Y22" s="348"/>
      <c r="Z22" s="348"/>
      <c r="AA22" s="491"/>
      <c r="AB22" s="491"/>
      <c r="AC22" s="154"/>
      <c r="AD22" s="25"/>
      <c r="AE22" s="19">
        <f t="shared" si="8"/>
        <v>-76.36363636363626</v>
      </c>
      <c r="AF22" s="349">
        <f t="shared" si="9"/>
        <v>0.96181818181818191</v>
      </c>
      <c r="AG22" s="489"/>
    </row>
    <row r="23" spans="1:33" ht="15.75" customHeight="1">
      <c r="A23" s="520" t="s">
        <v>56</v>
      </c>
      <c r="B23" s="42" t="s">
        <v>103</v>
      </c>
      <c r="C23" s="515" t="s">
        <v>138</v>
      </c>
      <c r="D23" s="515"/>
      <c r="E23" s="42">
        <v>53.68</v>
      </c>
      <c r="F23" s="355">
        <v>1140</v>
      </c>
      <c r="G23" s="348">
        <f t="shared" si="19"/>
        <v>61195.199999999997</v>
      </c>
      <c r="H23" s="357" t="s">
        <v>79</v>
      </c>
      <c r="I23" s="353">
        <v>16</v>
      </c>
      <c r="J23" s="37">
        <v>2000</v>
      </c>
      <c r="K23" s="17">
        <f t="shared" si="1"/>
        <v>125</v>
      </c>
      <c r="L23" s="353">
        <v>16</v>
      </c>
      <c r="M23" s="18">
        <f t="shared" si="20"/>
        <v>1899.9999999999986</v>
      </c>
      <c r="N23" s="17">
        <f t="shared" si="3"/>
        <v>118.74999999999991</v>
      </c>
      <c r="O23" s="19">
        <f t="shared" si="4"/>
        <v>0</v>
      </c>
      <c r="P23" s="20">
        <f t="shared" si="5"/>
        <v>-6.2500000000000853</v>
      </c>
      <c r="Q23" s="349">
        <f t="shared" si="6"/>
        <v>0.94999999999999929</v>
      </c>
      <c r="R23" s="489"/>
      <c r="S23" s="40">
        <v>0.27638888888888891</v>
      </c>
      <c r="T23" s="40">
        <v>0.30138888888888893</v>
      </c>
      <c r="U23" s="348">
        <f t="shared" si="22"/>
        <v>4.9999999999999822</v>
      </c>
      <c r="V23" s="354">
        <f t="shared" si="21"/>
        <v>36.000000000000028</v>
      </c>
      <c r="W23" s="23"/>
      <c r="X23" s="348"/>
      <c r="Y23" s="348"/>
      <c r="Z23" s="348"/>
      <c r="AA23" s="491"/>
      <c r="AB23" s="491"/>
      <c r="AC23" s="154"/>
      <c r="AD23" s="25"/>
      <c r="AE23" s="19">
        <f t="shared" si="8"/>
        <v>-100.00000000000136</v>
      </c>
      <c r="AF23" s="349">
        <f t="shared" si="9"/>
        <v>0.94999999999999929</v>
      </c>
      <c r="AG23" s="489"/>
    </row>
    <row r="24" spans="1:33" ht="15.75" customHeight="1">
      <c r="A24" s="520" t="s">
        <v>2058</v>
      </c>
      <c r="B24" s="42" t="s">
        <v>103</v>
      </c>
      <c r="C24" s="515" t="s">
        <v>140</v>
      </c>
      <c r="D24" s="515"/>
      <c r="E24" s="42">
        <v>50.49</v>
      </c>
      <c r="F24" s="355">
        <v>1706</v>
      </c>
      <c r="G24" s="348">
        <f t="shared" si="19"/>
        <v>86135.94</v>
      </c>
      <c r="H24" s="357" t="s">
        <v>79</v>
      </c>
      <c r="I24" s="353">
        <v>15</v>
      </c>
      <c r="J24" s="37">
        <v>2000</v>
      </c>
      <c r="K24" s="17">
        <f t="shared" si="1"/>
        <v>133.33333333333334</v>
      </c>
      <c r="L24" s="353">
        <v>15</v>
      </c>
      <c r="M24" s="18">
        <f t="shared" si="20"/>
        <v>1931.320754716982</v>
      </c>
      <c r="N24" s="17">
        <f t="shared" si="3"/>
        <v>128.75471698113213</v>
      </c>
      <c r="O24" s="19">
        <f t="shared" si="4"/>
        <v>0</v>
      </c>
      <c r="P24" s="20">
        <f t="shared" si="5"/>
        <v>-4.5786163522012089</v>
      </c>
      <c r="Q24" s="349">
        <f t="shared" si="6"/>
        <v>0.96566037735849097</v>
      </c>
      <c r="R24" s="489"/>
      <c r="S24" s="40">
        <v>0.70833333333333337</v>
      </c>
      <c r="T24" s="40">
        <v>0.74513888888888891</v>
      </c>
      <c r="U24" s="348" t="str">
        <f t="shared" si="22"/>
        <v/>
      </c>
      <c r="V24" s="354">
        <f t="shared" si="21"/>
        <v>52.999999999999972</v>
      </c>
      <c r="W24" s="23"/>
      <c r="X24" s="348"/>
      <c r="Y24" s="348"/>
      <c r="Z24" s="348"/>
      <c r="AA24" s="491"/>
      <c r="AB24" s="491"/>
      <c r="AC24" s="154"/>
      <c r="AD24" s="25"/>
      <c r="AE24" s="19">
        <f t="shared" si="8"/>
        <v>-68.679245283017963</v>
      </c>
      <c r="AF24" s="349">
        <f t="shared" si="9"/>
        <v>0.96566037735849097</v>
      </c>
      <c r="AG24" s="489"/>
    </row>
    <row r="25" spans="1:33" ht="15.75" customHeight="1">
      <c r="A25" s="520" t="s">
        <v>2058</v>
      </c>
      <c r="B25" s="42" t="s">
        <v>103</v>
      </c>
      <c r="C25" s="515" t="s">
        <v>516</v>
      </c>
      <c r="D25" s="515"/>
      <c r="E25" s="42">
        <v>50.67</v>
      </c>
      <c r="F25" s="355">
        <v>1055</v>
      </c>
      <c r="G25" s="348">
        <f t="shared" si="19"/>
        <v>53456.85</v>
      </c>
      <c r="H25" s="357" t="s">
        <v>79</v>
      </c>
      <c r="I25" s="353">
        <v>16</v>
      </c>
      <c r="J25" s="37">
        <v>2000</v>
      </c>
      <c r="K25" s="17">
        <f t="shared" si="1"/>
        <v>125</v>
      </c>
      <c r="L25" s="353">
        <v>16</v>
      </c>
      <c r="M25" s="18">
        <f t="shared" si="20"/>
        <v>1918.1818181818157</v>
      </c>
      <c r="N25" s="17">
        <f t="shared" si="3"/>
        <v>119.88636363636348</v>
      </c>
      <c r="O25" s="19">
        <f t="shared" si="4"/>
        <v>0</v>
      </c>
      <c r="P25" s="20">
        <f t="shared" si="5"/>
        <v>-5.1136363636365161</v>
      </c>
      <c r="Q25" s="349">
        <f t="shared" si="6"/>
        <v>0.95909090909090788</v>
      </c>
      <c r="R25" s="489"/>
      <c r="S25" s="40">
        <v>0.74930555555555556</v>
      </c>
      <c r="T25" s="40">
        <v>0.77222222222222225</v>
      </c>
      <c r="U25" s="348">
        <f t="shared" si="22"/>
        <v>5.9999999999999787</v>
      </c>
      <c r="V25" s="354">
        <f t="shared" si="21"/>
        <v>33.000000000000043</v>
      </c>
      <c r="W25" s="23"/>
      <c r="X25" s="348"/>
      <c r="Y25" s="348"/>
      <c r="Z25" s="348"/>
      <c r="AA25" s="491"/>
      <c r="AB25" s="491"/>
      <c r="AC25" s="154"/>
      <c r="AD25" s="25"/>
      <c r="AE25" s="19">
        <f t="shared" si="8"/>
        <v>-81.818181818184257</v>
      </c>
      <c r="AF25" s="349">
        <f t="shared" si="9"/>
        <v>0.95909090909090788</v>
      </c>
      <c r="AG25" s="489"/>
    </row>
    <row r="26" spans="1:33" ht="15.75" customHeight="1">
      <c r="A26" s="520" t="s">
        <v>2059</v>
      </c>
      <c r="B26" s="42" t="s">
        <v>103</v>
      </c>
      <c r="C26" s="515" t="s">
        <v>142</v>
      </c>
      <c r="D26" s="515"/>
      <c r="E26" s="42">
        <v>53.68</v>
      </c>
      <c r="F26" s="355">
        <v>1688</v>
      </c>
      <c r="G26" s="348">
        <f t="shared" si="19"/>
        <v>90611.839999999997</v>
      </c>
      <c r="H26" s="357" t="s">
        <v>79</v>
      </c>
      <c r="I26" s="353">
        <v>16</v>
      </c>
      <c r="J26" s="37">
        <v>1500</v>
      </c>
      <c r="K26" s="17">
        <f t="shared" si="1"/>
        <v>93.75</v>
      </c>
      <c r="L26" s="353">
        <v>16</v>
      </c>
      <c r="M26" s="18">
        <f t="shared" si="20"/>
        <v>1446.8571428571413</v>
      </c>
      <c r="N26" s="17">
        <f t="shared" si="3"/>
        <v>90.428571428571331</v>
      </c>
      <c r="O26" s="19">
        <f t="shared" si="4"/>
        <v>0</v>
      </c>
      <c r="P26" s="20">
        <f t="shared" si="5"/>
        <v>-3.3214285714286689</v>
      </c>
      <c r="Q26" s="349">
        <f t="shared" si="6"/>
        <v>0.96457142857142752</v>
      </c>
      <c r="R26" s="489"/>
      <c r="S26" s="40">
        <v>0.77569444444444446</v>
      </c>
      <c r="T26" s="40">
        <v>0.82430555555555562</v>
      </c>
      <c r="U26" s="348">
        <f t="shared" si="22"/>
        <v>4.9999999999999822</v>
      </c>
      <c r="V26" s="354">
        <f t="shared" si="21"/>
        <v>70.000000000000071</v>
      </c>
      <c r="W26" s="23"/>
      <c r="X26" s="28"/>
      <c r="Y26" s="28"/>
      <c r="Z26" s="28"/>
      <c r="AA26" s="491"/>
      <c r="AB26" s="491"/>
      <c r="AC26" s="154"/>
      <c r="AD26" s="25"/>
      <c r="AE26" s="19">
        <f t="shared" si="8"/>
        <v>-53.142857142858702</v>
      </c>
      <c r="AF26" s="349">
        <f t="shared" si="9"/>
        <v>0.96457142857142752</v>
      </c>
      <c r="AG26" s="489"/>
    </row>
    <row r="27" spans="1:33" ht="15.75" customHeight="1">
      <c r="A27" s="520" t="s">
        <v>56</v>
      </c>
      <c r="B27" s="42" t="s">
        <v>103</v>
      </c>
      <c r="C27" s="515" t="s">
        <v>123</v>
      </c>
      <c r="D27" s="515"/>
      <c r="E27" s="42">
        <v>50.98</v>
      </c>
      <c r="F27" s="355">
        <v>1011</v>
      </c>
      <c r="G27" s="348">
        <f t="shared" si="19"/>
        <v>51540.78</v>
      </c>
      <c r="H27" s="357" t="s">
        <v>79</v>
      </c>
      <c r="I27" s="353">
        <v>16</v>
      </c>
      <c r="J27" s="37">
        <v>2000</v>
      </c>
      <c r="K27" s="17">
        <f t="shared" si="1"/>
        <v>125</v>
      </c>
      <c r="L27" s="353">
        <v>16</v>
      </c>
      <c r="M27" s="18">
        <f t="shared" si="20"/>
        <v>1956.7741935483839</v>
      </c>
      <c r="N27" s="17">
        <f t="shared" si="3"/>
        <v>122.29838709677399</v>
      </c>
      <c r="O27" s="19">
        <f t="shared" si="4"/>
        <v>0</v>
      </c>
      <c r="P27" s="20">
        <f t="shared" si="5"/>
        <v>-2.7016129032260068</v>
      </c>
      <c r="Q27" s="349">
        <f t="shared" si="6"/>
        <v>0.978387096774192</v>
      </c>
      <c r="R27" s="489"/>
      <c r="S27" s="40">
        <v>0.82777777777777783</v>
      </c>
      <c r="T27" s="40">
        <v>0.84930555555555565</v>
      </c>
      <c r="U27" s="348">
        <f t="shared" si="22"/>
        <v>4.9999999999999822</v>
      </c>
      <c r="V27" s="354">
        <f t="shared" si="21"/>
        <v>31.00000000000005</v>
      </c>
      <c r="W27" s="23"/>
      <c r="X27" s="28"/>
      <c r="Y27" s="29"/>
      <c r="Z27" s="29"/>
      <c r="AA27" s="503"/>
      <c r="AB27" s="504"/>
      <c r="AC27" s="154"/>
      <c r="AD27" s="25"/>
      <c r="AE27" s="19">
        <f t="shared" si="8"/>
        <v>-43.225806451616108</v>
      </c>
      <c r="AF27" s="349">
        <f t="shared" si="9"/>
        <v>0.978387096774192</v>
      </c>
      <c r="AG27" s="489"/>
    </row>
    <row r="28" spans="1:33" ht="15.75" customHeight="1">
      <c r="A28" s="520" t="s">
        <v>56</v>
      </c>
      <c r="B28" s="42" t="s">
        <v>2052</v>
      </c>
      <c r="C28" s="494"/>
      <c r="D28" s="494"/>
      <c r="E28" s="350"/>
      <c r="F28" s="355"/>
      <c r="G28" s="348"/>
      <c r="H28" s="355"/>
      <c r="I28" s="30">
        <v>15.714285714285714</v>
      </c>
      <c r="J28" s="37">
        <v>1928.5714285714287</v>
      </c>
      <c r="K28" s="17">
        <f t="shared" si="1"/>
        <v>122.72727272727273</v>
      </c>
      <c r="L28" s="30">
        <v>15.714285714285714</v>
      </c>
      <c r="M28" s="18">
        <f>AVERAGE(M21:M27)</f>
        <v>1862.8039165425469</v>
      </c>
      <c r="N28" s="17">
        <f t="shared" si="3"/>
        <v>118.5420674163439</v>
      </c>
      <c r="O28" s="19">
        <f t="shared" si="4"/>
        <v>0</v>
      </c>
      <c r="P28" s="20">
        <f t="shared" si="5"/>
        <v>-4.1852053109288363</v>
      </c>
      <c r="Q28" s="349">
        <f t="shared" si="6"/>
        <v>0.96589832709613543</v>
      </c>
      <c r="R28" s="489"/>
      <c r="S28" s="40"/>
      <c r="T28" s="40"/>
      <c r="U28" s="17"/>
      <c r="V28" s="354"/>
      <c r="W28" s="17"/>
      <c r="X28" s="17"/>
      <c r="Y28" s="31">
        <f>SUM(Y21:Y27)</f>
        <v>0</v>
      </c>
      <c r="Z28" s="31">
        <f>SUM(Z21:Z27)</f>
        <v>0</v>
      </c>
      <c r="AA28" s="495"/>
      <c r="AB28" s="495"/>
      <c r="AC28" s="31">
        <v>3</v>
      </c>
      <c r="AD28" s="31">
        <f>SUM(AD21:AD27)</f>
        <v>0</v>
      </c>
      <c r="AE28" s="19">
        <f t="shared" si="8"/>
        <v>-65.767512028881811</v>
      </c>
      <c r="AF28" s="349">
        <f t="shared" si="9"/>
        <v>0.96589832709613532</v>
      </c>
      <c r="AG28" s="489"/>
    </row>
    <row r="29" spans="1:33" ht="15.75" customHeight="1">
      <c r="A29" s="518" t="s">
        <v>59</v>
      </c>
      <c r="B29" s="42" t="s">
        <v>80</v>
      </c>
      <c r="C29" s="515" t="s">
        <v>81</v>
      </c>
      <c r="D29" s="515"/>
      <c r="E29" s="42">
        <v>31.29</v>
      </c>
      <c r="F29" s="355">
        <v>6698</v>
      </c>
      <c r="G29" s="348">
        <f t="shared" ref="G29:G33" si="23">E29*F29</f>
        <v>209580.41999999998</v>
      </c>
      <c r="H29" s="357" t="s">
        <v>79</v>
      </c>
      <c r="I29" s="353">
        <v>18</v>
      </c>
      <c r="J29" s="37">
        <v>2400</v>
      </c>
      <c r="K29" s="17">
        <f t="shared" si="1"/>
        <v>133.33333333333334</v>
      </c>
      <c r="L29" s="353">
        <v>18</v>
      </c>
      <c r="M29" s="18">
        <f t="shared" ref="M29:M33" si="24">F29/V29*60</f>
        <v>2296.457142857143</v>
      </c>
      <c r="N29" s="17">
        <f t="shared" si="3"/>
        <v>127.5809523809524</v>
      </c>
      <c r="O29" s="19">
        <f t="shared" si="4"/>
        <v>0</v>
      </c>
      <c r="P29" s="20">
        <f t="shared" si="5"/>
        <v>-5.7523809523809462</v>
      </c>
      <c r="Q29" s="349">
        <f t="shared" si="6"/>
        <v>0.95685714285714296</v>
      </c>
      <c r="R29" s="489">
        <f>Q34</f>
        <v>0.95730855224811851</v>
      </c>
      <c r="S29" s="40">
        <v>8.3333333333333329E-2</v>
      </c>
      <c r="T29" s="40">
        <v>0.2048611111111111</v>
      </c>
      <c r="U29" s="348"/>
      <c r="V29" s="354">
        <f t="shared" ref="V29:V33" si="25">(T29-S29)*24*60</f>
        <v>175</v>
      </c>
      <c r="W29" s="23">
        <f>T29</f>
        <v>0.2048611111111111</v>
      </c>
      <c r="X29" s="23">
        <f>S30</f>
        <v>0.22500000000000001</v>
      </c>
      <c r="Y29" s="23"/>
      <c r="Z29" s="23"/>
      <c r="AA29" s="491"/>
      <c r="AB29" s="491"/>
      <c r="AC29" s="154">
        <v>6</v>
      </c>
      <c r="AD29" s="25"/>
      <c r="AE29" s="19">
        <f t="shared" si="8"/>
        <v>-103.54285714285697</v>
      </c>
      <c r="AF29" s="349">
        <f t="shared" si="9"/>
        <v>0.95685714285714296</v>
      </c>
      <c r="AG29" s="489">
        <f>AF34</f>
        <v>0.95730855224811862</v>
      </c>
    </row>
    <row r="30" spans="1:33" ht="15.75" customHeight="1">
      <c r="A30" s="518" t="s">
        <v>2060</v>
      </c>
      <c r="B30" s="42" t="s">
        <v>80</v>
      </c>
      <c r="C30" s="515" t="s">
        <v>82</v>
      </c>
      <c r="D30" s="515"/>
      <c r="E30" s="42">
        <v>26.2</v>
      </c>
      <c r="F30" s="355">
        <v>3522</v>
      </c>
      <c r="G30" s="348">
        <f t="shared" si="23"/>
        <v>92276.4</v>
      </c>
      <c r="H30" s="357" t="s">
        <v>79</v>
      </c>
      <c r="I30" s="353">
        <v>20</v>
      </c>
      <c r="J30" s="37">
        <v>2400</v>
      </c>
      <c r="K30" s="17">
        <f t="shared" si="1"/>
        <v>120</v>
      </c>
      <c r="L30" s="353">
        <v>20</v>
      </c>
      <c r="M30" s="18">
        <f t="shared" si="24"/>
        <v>2296.95652173913</v>
      </c>
      <c r="N30" s="17">
        <f t="shared" si="3"/>
        <v>114.8478260869565</v>
      </c>
      <c r="O30" s="19">
        <f t="shared" si="4"/>
        <v>0</v>
      </c>
      <c r="P30" s="20">
        <f t="shared" si="5"/>
        <v>-5.152173913043498</v>
      </c>
      <c r="Q30" s="349">
        <f t="shared" si="6"/>
        <v>0.95706521739130423</v>
      </c>
      <c r="R30" s="489"/>
      <c r="S30" s="40">
        <v>0.22500000000000001</v>
      </c>
      <c r="T30" s="40">
        <v>0.28888888888888892</v>
      </c>
      <c r="U30" s="348">
        <f t="shared" ref="U30:U33" si="26">(S30-T29)*24*60</f>
        <v>29.000000000000018</v>
      </c>
      <c r="V30" s="354">
        <f t="shared" si="25"/>
        <v>92.000000000000028</v>
      </c>
      <c r="W30" s="23"/>
      <c r="X30" s="23"/>
      <c r="Y30" s="23"/>
      <c r="Z30" s="23"/>
      <c r="AA30" s="491"/>
      <c r="AB30" s="491"/>
      <c r="AC30" s="154"/>
      <c r="AD30" s="25"/>
      <c r="AE30" s="19">
        <f t="shared" si="8"/>
        <v>-103.04347826086996</v>
      </c>
      <c r="AF30" s="349">
        <f t="shared" si="9"/>
        <v>0.95706521739130423</v>
      </c>
      <c r="AG30" s="489"/>
    </row>
    <row r="31" spans="1:33" ht="15.75" customHeight="1">
      <c r="A31" s="518" t="s">
        <v>2060</v>
      </c>
      <c r="B31" s="42" t="s">
        <v>80</v>
      </c>
      <c r="C31" s="515" t="s">
        <v>83</v>
      </c>
      <c r="D31" s="515"/>
      <c r="E31" s="42">
        <v>25.99</v>
      </c>
      <c r="F31" s="355">
        <v>3128</v>
      </c>
      <c r="G31" s="348">
        <f t="shared" si="23"/>
        <v>81296.72</v>
      </c>
      <c r="H31" s="357" t="s">
        <v>79</v>
      </c>
      <c r="I31" s="353">
        <v>14</v>
      </c>
      <c r="J31" s="37">
        <v>2400</v>
      </c>
      <c r="K31" s="17">
        <f t="shared" si="1"/>
        <v>171.42857142857142</v>
      </c>
      <c r="L31" s="353">
        <v>14</v>
      </c>
      <c r="M31" s="18">
        <f t="shared" si="24"/>
        <v>2288.7804878048773</v>
      </c>
      <c r="N31" s="17">
        <f t="shared" si="3"/>
        <v>163.48432055749123</v>
      </c>
      <c r="O31" s="19">
        <f t="shared" si="4"/>
        <v>0</v>
      </c>
      <c r="P31" s="20">
        <f t="shared" si="5"/>
        <v>-7.944250871080186</v>
      </c>
      <c r="Q31" s="349">
        <f t="shared" si="6"/>
        <v>0.95365853658536559</v>
      </c>
      <c r="R31" s="489"/>
      <c r="S31" s="40">
        <v>0.29444444444444445</v>
      </c>
      <c r="T31" s="40">
        <v>0.35138888888888892</v>
      </c>
      <c r="U31" s="348">
        <f t="shared" si="26"/>
        <v>7.9999999999999716</v>
      </c>
      <c r="V31" s="354">
        <f t="shared" si="25"/>
        <v>82.000000000000028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-111.21951219512266</v>
      </c>
      <c r="AF31" s="349">
        <f t="shared" si="9"/>
        <v>0.95365853658536559</v>
      </c>
      <c r="AG31" s="489"/>
    </row>
    <row r="32" spans="1:33" ht="15.75" customHeight="1">
      <c r="A32" s="518" t="s">
        <v>59</v>
      </c>
      <c r="B32" s="42" t="s">
        <v>80</v>
      </c>
      <c r="C32" s="515" t="s">
        <v>84</v>
      </c>
      <c r="D32" s="515"/>
      <c r="E32" s="42">
        <v>20.52</v>
      </c>
      <c r="F32" s="355">
        <v>2907</v>
      </c>
      <c r="G32" s="348">
        <f t="shared" si="23"/>
        <v>59651.64</v>
      </c>
      <c r="H32" s="357" t="s">
        <v>79</v>
      </c>
      <c r="I32" s="353">
        <v>18</v>
      </c>
      <c r="J32" s="37">
        <v>2400</v>
      </c>
      <c r="K32" s="17">
        <f t="shared" si="1"/>
        <v>133.33333333333334</v>
      </c>
      <c r="L32" s="353">
        <v>18</v>
      </c>
      <c r="M32" s="18">
        <f t="shared" si="24"/>
        <v>2295.0000000000009</v>
      </c>
      <c r="N32" s="17">
        <f t="shared" si="3"/>
        <v>127.50000000000006</v>
      </c>
      <c r="O32" s="19">
        <f t="shared" si="4"/>
        <v>0</v>
      </c>
      <c r="P32" s="20">
        <f t="shared" si="5"/>
        <v>-5.833333333333286</v>
      </c>
      <c r="Q32" s="349">
        <f t="shared" si="6"/>
        <v>0.95625000000000038</v>
      </c>
      <c r="R32" s="489"/>
      <c r="S32" s="40">
        <v>0.35555555555555557</v>
      </c>
      <c r="T32" s="40">
        <v>0.40833333333333333</v>
      </c>
      <c r="U32" s="348">
        <f t="shared" si="26"/>
        <v>5.9999999999999787</v>
      </c>
      <c r="V32" s="354">
        <f t="shared" si="25"/>
        <v>75.999999999999972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-104.99999999999909</v>
      </c>
      <c r="AF32" s="349">
        <f t="shared" si="9"/>
        <v>0.95625000000000038</v>
      </c>
      <c r="AG32" s="489"/>
    </row>
    <row r="33" spans="1:33" ht="15.75" customHeight="1">
      <c r="A33" s="518" t="s">
        <v>2060</v>
      </c>
      <c r="B33" s="42" t="s">
        <v>80</v>
      </c>
      <c r="C33" s="515" t="s">
        <v>85</v>
      </c>
      <c r="D33" s="515"/>
      <c r="E33" s="42">
        <v>25.98</v>
      </c>
      <c r="F33" s="355">
        <v>2272</v>
      </c>
      <c r="G33" s="348">
        <f t="shared" si="23"/>
        <v>59026.559999999998</v>
      </c>
      <c r="H33" s="357" t="s">
        <v>79</v>
      </c>
      <c r="I33" s="353">
        <v>21</v>
      </c>
      <c r="J33" s="37">
        <v>2400</v>
      </c>
      <c r="K33" s="17">
        <f t="shared" si="1"/>
        <v>114.28571428571429</v>
      </c>
      <c r="L33" s="353">
        <v>21</v>
      </c>
      <c r="M33" s="18">
        <f t="shared" si="24"/>
        <v>2310.5084745762701</v>
      </c>
      <c r="N33" s="17">
        <f t="shared" si="3"/>
        <v>110.02421307506049</v>
      </c>
      <c r="O33" s="19">
        <f t="shared" si="4"/>
        <v>0</v>
      </c>
      <c r="P33" s="20">
        <f t="shared" si="5"/>
        <v>-4.2615012106538046</v>
      </c>
      <c r="Q33" s="349">
        <f t="shared" si="6"/>
        <v>0.96271186440677925</v>
      </c>
      <c r="R33" s="489"/>
      <c r="S33" s="40">
        <v>0.41249999999999998</v>
      </c>
      <c r="T33" s="40">
        <v>0.45347222222222222</v>
      </c>
      <c r="U33" s="348">
        <f t="shared" si="26"/>
        <v>5.9999999999999787</v>
      </c>
      <c r="V33" s="354">
        <f t="shared" si="25"/>
        <v>59.000000000000028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-89.491525423729854</v>
      </c>
      <c r="AF33" s="349">
        <f t="shared" si="9"/>
        <v>0.96271186440677925</v>
      </c>
      <c r="AG33" s="489"/>
    </row>
    <row r="34" spans="1:33" ht="15.75" customHeight="1">
      <c r="A34" s="518" t="s">
        <v>59</v>
      </c>
      <c r="B34" s="42" t="s">
        <v>2057</v>
      </c>
      <c r="C34" s="494"/>
      <c r="D34" s="494"/>
      <c r="E34" s="350"/>
      <c r="F34" s="355"/>
      <c r="G34" s="348"/>
      <c r="H34" s="355"/>
      <c r="I34" s="30">
        <v>18.2</v>
      </c>
      <c r="J34" s="37">
        <v>2400</v>
      </c>
      <c r="K34" s="17">
        <f t="shared" si="1"/>
        <v>131.86813186813188</v>
      </c>
      <c r="L34" s="30">
        <v>18.2</v>
      </c>
      <c r="M34" s="18">
        <f>AVERAGE(M29:M33)</f>
        <v>2297.5405253954846</v>
      </c>
      <c r="N34" s="17">
        <f t="shared" si="3"/>
        <v>126.23849040634531</v>
      </c>
      <c r="O34" s="19">
        <f t="shared" si="4"/>
        <v>0</v>
      </c>
      <c r="P34" s="20">
        <f t="shared" si="5"/>
        <v>-5.6296414617865764</v>
      </c>
      <c r="Q34" s="349">
        <f t="shared" si="6"/>
        <v>0.95730855224811851</v>
      </c>
      <c r="R34" s="489"/>
      <c r="S34" s="40"/>
      <c r="T34" s="40"/>
      <c r="U34" s="348"/>
      <c r="V34" s="354"/>
      <c r="W34" s="348"/>
      <c r="X34" s="348"/>
      <c r="Y34" s="31">
        <f>SUM(Y29:Y33)</f>
        <v>0</v>
      </c>
      <c r="Z34" s="31">
        <f>SUM(Z29:Z33)</f>
        <v>0</v>
      </c>
      <c r="AA34" s="495"/>
      <c r="AB34" s="495"/>
      <c r="AC34" s="31">
        <v>6</v>
      </c>
      <c r="AD34" s="31">
        <f>SUM(AD29:AD33)</f>
        <v>0</v>
      </c>
      <c r="AE34" s="19">
        <f t="shared" si="8"/>
        <v>-102.45947460451544</v>
      </c>
      <c r="AF34" s="349">
        <f t="shared" si="9"/>
        <v>0.95730855224811862</v>
      </c>
      <c r="AG34" s="489"/>
    </row>
    <row r="35" spans="1:33" ht="15.75" customHeight="1">
      <c r="A35" s="516" t="s">
        <v>2061</v>
      </c>
      <c r="B35" s="42" t="s">
        <v>80</v>
      </c>
      <c r="C35" s="490" t="s">
        <v>87</v>
      </c>
      <c r="D35" s="490"/>
      <c r="E35" s="42">
        <v>26.2</v>
      </c>
      <c r="F35" s="355">
        <v>4440</v>
      </c>
      <c r="G35" s="348">
        <f t="shared" ref="G35:G40" si="27">E35*F35</f>
        <v>116328</v>
      </c>
      <c r="H35" s="357" t="s">
        <v>79</v>
      </c>
      <c r="I35" s="353">
        <v>18</v>
      </c>
      <c r="J35" s="37">
        <v>2400</v>
      </c>
      <c r="K35" s="17">
        <f t="shared" si="1"/>
        <v>133.33333333333334</v>
      </c>
      <c r="L35" s="353">
        <v>18</v>
      </c>
      <c r="M35" s="18">
        <f t="shared" ref="M35:M40" si="28">F35/V35*60</f>
        <v>2296.5517241379312</v>
      </c>
      <c r="N35" s="17">
        <f t="shared" si="3"/>
        <v>127.58620689655173</v>
      </c>
      <c r="O35" s="19">
        <f t="shared" si="4"/>
        <v>0</v>
      </c>
      <c r="P35" s="20">
        <f t="shared" si="5"/>
        <v>-5.7471264367816133</v>
      </c>
      <c r="Q35" s="349">
        <f t="shared" si="6"/>
        <v>0.9568965517241379</v>
      </c>
      <c r="R35" s="489">
        <f>Q41</f>
        <v>0.95639014703501146</v>
      </c>
      <c r="S35" s="40">
        <v>8.3333333333333329E-2</v>
      </c>
      <c r="T35" s="40">
        <v>0.16388888888888889</v>
      </c>
      <c r="U35" s="348"/>
      <c r="V35" s="354">
        <f t="shared" ref="V35:V40" si="29">(T35-S35)*24*60</f>
        <v>116.00000000000001</v>
      </c>
      <c r="W35" s="28">
        <f>T35</f>
        <v>0.16388888888888889</v>
      </c>
      <c r="X35" s="28">
        <f>S36</f>
        <v>0.18263888888888891</v>
      </c>
      <c r="Y35" s="28"/>
      <c r="Z35" s="28"/>
      <c r="AA35" s="491"/>
      <c r="AB35" s="491"/>
      <c r="AC35" s="154">
        <v>6</v>
      </c>
      <c r="AD35" s="25"/>
      <c r="AE35" s="19">
        <f t="shared" si="8"/>
        <v>-103.44827586206884</v>
      </c>
      <c r="AF35" s="349">
        <f t="shared" si="9"/>
        <v>0.95689655172413801</v>
      </c>
      <c r="AG35" s="489">
        <f>AF41</f>
        <v>0.95639014703501157</v>
      </c>
    </row>
    <row r="36" spans="1:33" ht="15.75" customHeight="1">
      <c r="A36" s="516" t="s">
        <v>62</v>
      </c>
      <c r="B36" s="42" t="s">
        <v>80</v>
      </c>
      <c r="C36" s="490" t="s">
        <v>88</v>
      </c>
      <c r="D36" s="490"/>
      <c r="E36" s="42">
        <v>26.18</v>
      </c>
      <c r="F36" s="355">
        <v>1529</v>
      </c>
      <c r="G36" s="348">
        <f t="shared" si="27"/>
        <v>40029.22</v>
      </c>
      <c r="H36" s="357" t="s">
        <v>79</v>
      </c>
      <c r="I36" s="353">
        <v>19</v>
      </c>
      <c r="J36" s="37">
        <v>2400</v>
      </c>
      <c r="K36" s="17">
        <f t="shared" si="1"/>
        <v>126.31578947368421</v>
      </c>
      <c r="L36" s="353">
        <v>19</v>
      </c>
      <c r="M36" s="18">
        <f t="shared" si="28"/>
        <v>2293.4999999999991</v>
      </c>
      <c r="N36" s="17">
        <f t="shared" si="3"/>
        <v>120.71052631578942</v>
      </c>
      <c r="O36" s="19">
        <f t="shared" si="4"/>
        <v>0</v>
      </c>
      <c r="P36" s="20">
        <f t="shared" si="5"/>
        <v>-5.6052631578947825</v>
      </c>
      <c r="Q36" s="349">
        <f t="shared" si="6"/>
        <v>0.95562499999999961</v>
      </c>
      <c r="R36" s="489"/>
      <c r="S36" s="40">
        <v>0.18263888888888891</v>
      </c>
      <c r="T36" s="40">
        <v>0.2104166666666667</v>
      </c>
      <c r="U36" s="348">
        <f t="shared" ref="U36:U40" si="30">(S36-T35)*24*60</f>
        <v>27.000000000000025</v>
      </c>
      <c r="V36" s="354">
        <f t="shared" si="29"/>
        <v>40.000000000000014</v>
      </c>
      <c r="W36" s="348"/>
      <c r="X36" s="348"/>
      <c r="Y36" s="348"/>
      <c r="Z36" s="348"/>
      <c r="AA36" s="491"/>
      <c r="AB36" s="491"/>
      <c r="AC36" s="154"/>
      <c r="AD36" s="25"/>
      <c r="AE36" s="19">
        <f t="shared" si="8"/>
        <v>-106.50000000000091</v>
      </c>
      <c r="AF36" s="349">
        <f t="shared" si="9"/>
        <v>0.95562499999999961</v>
      </c>
      <c r="AG36" s="489"/>
    </row>
    <row r="37" spans="1:33">
      <c r="A37" s="517" t="s">
        <v>62</v>
      </c>
      <c r="B37" s="42" t="s">
        <v>80</v>
      </c>
      <c r="C37" s="490" t="s">
        <v>89</v>
      </c>
      <c r="D37" s="490"/>
      <c r="E37" s="42">
        <v>26.39</v>
      </c>
      <c r="F37" s="355">
        <v>4293</v>
      </c>
      <c r="G37" s="348">
        <f t="shared" si="27"/>
        <v>113292.27</v>
      </c>
      <c r="H37" s="357" t="s">
        <v>79</v>
      </c>
      <c r="I37" s="353">
        <v>19</v>
      </c>
      <c r="J37" s="37">
        <v>2400</v>
      </c>
      <c r="K37" s="17">
        <f t="shared" si="1"/>
        <v>126.31578947368421</v>
      </c>
      <c r="L37" s="353">
        <v>19</v>
      </c>
      <c r="M37" s="18">
        <f t="shared" si="28"/>
        <v>2299.821428571428</v>
      </c>
      <c r="N37" s="17">
        <f t="shared" si="3"/>
        <v>121.04323308270673</v>
      </c>
      <c r="O37" s="19">
        <f t="shared" si="4"/>
        <v>0</v>
      </c>
      <c r="P37" s="20">
        <f t="shared" si="5"/>
        <v>-5.2725563909774706</v>
      </c>
      <c r="Q37" s="349">
        <f t="shared" si="6"/>
        <v>0.95825892857142836</v>
      </c>
      <c r="R37" s="489"/>
      <c r="S37" s="40">
        <v>0.21458333333333338</v>
      </c>
      <c r="T37" s="40">
        <v>0.29236111111111118</v>
      </c>
      <c r="U37" s="348">
        <f t="shared" si="30"/>
        <v>6.0000000000000187</v>
      </c>
      <c r="V37" s="354">
        <f t="shared" si="29"/>
        <v>112.00000000000004</v>
      </c>
      <c r="W37" s="348"/>
      <c r="X37" s="348"/>
      <c r="Y37" s="348"/>
      <c r="Z37" s="348"/>
      <c r="AA37" s="491"/>
      <c r="AB37" s="491"/>
      <c r="AC37" s="154"/>
      <c r="AD37" s="25"/>
      <c r="AE37" s="19">
        <f t="shared" si="8"/>
        <v>-100.17857142857201</v>
      </c>
      <c r="AF37" s="349">
        <f t="shared" si="9"/>
        <v>0.95825892857142836</v>
      </c>
      <c r="AG37" s="489"/>
    </row>
    <row r="38" spans="1:33">
      <c r="A38" s="517" t="s">
        <v>2061</v>
      </c>
      <c r="B38" s="42" t="s">
        <v>80</v>
      </c>
      <c r="C38" s="490" t="s">
        <v>90</v>
      </c>
      <c r="D38" s="490"/>
      <c r="E38" s="42">
        <v>22.69</v>
      </c>
      <c r="F38" s="355">
        <v>1187</v>
      </c>
      <c r="G38" s="348">
        <f t="shared" si="27"/>
        <v>26933.030000000002</v>
      </c>
      <c r="H38" s="357" t="s">
        <v>79</v>
      </c>
      <c r="I38" s="353">
        <v>15</v>
      </c>
      <c r="J38" s="37">
        <v>2400</v>
      </c>
      <c r="K38" s="17">
        <f t="shared" si="1"/>
        <v>160</v>
      </c>
      <c r="L38" s="353">
        <v>15</v>
      </c>
      <c r="M38" s="18">
        <f t="shared" si="28"/>
        <v>2297.4193548387116</v>
      </c>
      <c r="N38" s="17">
        <f t="shared" si="3"/>
        <v>153.16129032258078</v>
      </c>
      <c r="O38" s="19">
        <f t="shared" si="4"/>
        <v>0</v>
      </c>
      <c r="P38" s="20">
        <f t="shared" si="5"/>
        <v>-6.8387096774192173</v>
      </c>
      <c r="Q38" s="349">
        <f t="shared" si="6"/>
        <v>0.95725806451612994</v>
      </c>
      <c r="R38" s="489"/>
      <c r="S38" s="40">
        <v>0.29583333333333339</v>
      </c>
      <c r="T38" s="40">
        <v>0.31736111111111115</v>
      </c>
      <c r="U38" s="348">
        <f t="shared" si="30"/>
        <v>4.9999999999999822</v>
      </c>
      <c r="V38" s="354">
        <f t="shared" si="29"/>
        <v>30.999999999999972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-102.58064516128843</v>
      </c>
      <c r="AF38" s="349">
        <f t="shared" si="9"/>
        <v>0.95725806451612983</v>
      </c>
      <c r="AG38" s="489"/>
    </row>
    <row r="39" spans="1:33">
      <c r="A39" s="517" t="s">
        <v>2061</v>
      </c>
      <c r="B39" s="42" t="s">
        <v>80</v>
      </c>
      <c r="C39" s="490" t="s">
        <v>91</v>
      </c>
      <c r="D39" s="490"/>
      <c r="E39" s="42">
        <v>24.45</v>
      </c>
      <c r="F39" s="355">
        <v>1835</v>
      </c>
      <c r="G39" s="348">
        <f t="shared" si="27"/>
        <v>44865.75</v>
      </c>
      <c r="H39" s="357" t="s">
        <v>79</v>
      </c>
      <c r="I39" s="353">
        <v>20</v>
      </c>
      <c r="J39" s="37">
        <v>2400</v>
      </c>
      <c r="K39" s="17">
        <f t="shared" si="1"/>
        <v>120</v>
      </c>
      <c r="L39" s="353">
        <v>20</v>
      </c>
      <c r="M39" s="18">
        <f t="shared" si="28"/>
        <v>2293.7500000000009</v>
      </c>
      <c r="N39" s="17">
        <f t="shared" si="3"/>
        <v>114.68750000000004</v>
      </c>
      <c r="O39" s="19">
        <f t="shared" si="4"/>
        <v>0</v>
      </c>
      <c r="P39" s="20">
        <f t="shared" si="5"/>
        <v>-5.3124999999999574</v>
      </c>
      <c r="Q39" s="349">
        <f t="shared" si="6"/>
        <v>0.95572916666666707</v>
      </c>
      <c r="R39" s="489"/>
      <c r="S39" s="40">
        <v>0.32291666666666669</v>
      </c>
      <c r="T39" s="40">
        <v>0.35625000000000001</v>
      </c>
      <c r="U39" s="348">
        <f t="shared" si="30"/>
        <v>7.9999999999999716</v>
      </c>
      <c r="V39" s="354">
        <f t="shared" si="29"/>
        <v>47.999999999999986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-106.24999999999909</v>
      </c>
      <c r="AF39" s="349">
        <f t="shared" si="9"/>
        <v>0.95572916666666707</v>
      </c>
      <c r="AG39" s="489"/>
    </row>
    <row r="40" spans="1:33">
      <c r="A40" s="517" t="s">
        <v>2062</v>
      </c>
      <c r="B40" s="42" t="s">
        <v>80</v>
      </c>
      <c r="C40" s="490" t="s">
        <v>1224</v>
      </c>
      <c r="D40" s="490"/>
      <c r="E40" s="42">
        <v>22.69</v>
      </c>
      <c r="F40" s="355">
        <v>6262</v>
      </c>
      <c r="G40" s="348">
        <f t="shared" si="27"/>
        <v>142084.78</v>
      </c>
      <c r="H40" s="357" t="s">
        <v>79</v>
      </c>
      <c r="I40" s="353">
        <v>16</v>
      </c>
      <c r="J40" s="37">
        <v>2400</v>
      </c>
      <c r="K40" s="17">
        <f t="shared" si="1"/>
        <v>150</v>
      </c>
      <c r="L40" s="353">
        <v>16</v>
      </c>
      <c r="M40" s="18">
        <f t="shared" si="28"/>
        <v>2290.9756097560976</v>
      </c>
      <c r="N40" s="17">
        <f t="shared" si="3"/>
        <v>143.1859756097561</v>
      </c>
      <c r="O40" s="19">
        <f t="shared" si="4"/>
        <v>0</v>
      </c>
      <c r="P40" s="20">
        <f t="shared" si="5"/>
        <v>-6.8140243902439011</v>
      </c>
      <c r="Q40" s="349">
        <f t="shared" si="6"/>
        <v>0.95457317073170733</v>
      </c>
      <c r="R40" s="489"/>
      <c r="S40" s="40">
        <v>0.36041666666666666</v>
      </c>
      <c r="T40" s="40">
        <v>0.47430555555555554</v>
      </c>
      <c r="U40" s="348">
        <f t="shared" si="30"/>
        <v>5.9999999999999787</v>
      </c>
      <c r="V40" s="354">
        <f t="shared" si="29"/>
        <v>163.99999999999997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-109.02439024390242</v>
      </c>
      <c r="AF40" s="349">
        <f t="shared" si="9"/>
        <v>0.95457317073170733</v>
      </c>
      <c r="AG40" s="489"/>
    </row>
    <row r="41" spans="1:33">
      <c r="A41" s="517" t="s">
        <v>62</v>
      </c>
      <c r="B41" s="44" t="s">
        <v>71</v>
      </c>
      <c r="C41" s="494"/>
      <c r="D41" s="494"/>
      <c r="E41" s="350"/>
      <c r="F41" s="44"/>
      <c r="G41" s="17"/>
      <c r="H41" s="355"/>
      <c r="I41" s="30">
        <v>17.833333333333332</v>
      </c>
      <c r="J41" s="37">
        <v>2400</v>
      </c>
      <c r="K41" s="17">
        <f t="shared" si="1"/>
        <v>134.57943925233647</v>
      </c>
      <c r="L41" s="30">
        <v>17.833333333333332</v>
      </c>
      <c r="M41" s="18">
        <f>AVERAGE(M35:M40)</f>
        <v>2295.3363528840277</v>
      </c>
      <c r="N41" s="17">
        <f t="shared" si="3"/>
        <v>128.71044969443147</v>
      </c>
      <c r="O41" s="19">
        <f t="shared" si="4"/>
        <v>0</v>
      </c>
      <c r="P41" s="20">
        <f t="shared" si="5"/>
        <v>-5.868989557904996</v>
      </c>
      <c r="Q41" s="349">
        <f t="shared" si="6"/>
        <v>0.95639014703501146</v>
      </c>
      <c r="R41" s="489"/>
      <c r="S41" s="40"/>
      <c r="T41" s="40"/>
      <c r="U41" s="17"/>
      <c r="V41" s="354"/>
      <c r="W41" s="17"/>
      <c r="X41" s="17"/>
      <c r="Y41" s="31">
        <f>SUM(Y35:Y40)</f>
        <v>0</v>
      </c>
      <c r="Z41" s="31">
        <f>SUM(Z35:Z40)</f>
        <v>0</v>
      </c>
      <c r="AA41" s="495"/>
      <c r="AB41" s="495"/>
      <c r="AC41" s="31">
        <v>6</v>
      </c>
      <c r="AD41" s="31">
        <f>SUM(AD35:AD40)</f>
        <v>0</v>
      </c>
      <c r="AE41" s="19">
        <f t="shared" si="8"/>
        <v>-104.66364711597225</v>
      </c>
      <c r="AF41" s="349">
        <f t="shared" si="9"/>
        <v>0.95639014703501157</v>
      </c>
      <c r="AG41" s="489"/>
    </row>
    <row r="42" spans="1:33" ht="15.75" customHeight="1">
      <c r="A42" s="512" t="s">
        <v>2063</v>
      </c>
      <c r="B42" s="42" t="s">
        <v>93</v>
      </c>
      <c r="C42" s="501" t="s">
        <v>94</v>
      </c>
      <c r="D42" s="502"/>
      <c r="E42" s="42">
        <v>21.13</v>
      </c>
      <c r="F42" s="355">
        <v>4359</v>
      </c>
      <c r="G42" s="348">
        <f t="shared" ref="G42:G48" si="31">E42*F42</f>
        <v>92105.67</v>
      </c>
      <c r="H42" s="357" t="s">
        <v>79</v>
      </c>
      <c r="I42" s="353">
        <v>10</v>
      </c>
      <c r="J42" s="37">
        <v>3000</v>
      </c>
      <c r="K42" s="17">
        <f t="shared" si="1"/>
        <v>300</v>
      </c>
      <c r="L42" s="353">
        <v>10</v>
      </c>
      <c r="M42" s="18">
        <f t="shared" ref="M42:M48" si="32">F42/V42*60</f>
        <v>2874.0659340659349</v>
      </c>
      <c r="N42" s="18">
        <f t="shared" si="3"/>
        <v>287.40659340659352</v>
      </c>
      <c r="O42" s="19">
        <f t="shared" si="4"/>
        <v>0</v>
      </c>
      <c r="P42" s="20">
        <f t="shared" si="5"/>
        <v>-12.593406593406485</v>
      </c>
      <c r="Q42" s="349">
        <f t="shared" si="6"/>
        <v>0.95802197802197842</v>
      </c>
      <c r="R42" s="509">
        <f>Q49</f>
        <v>0.95959956433378391</v>
      </c>
      <c r="S42" s="40">
        <v>8.3333333333333329E-2</v>
      </c>
      <c r="T42" s="40">
        <v>0.14652777777777776</v>
      </c>
      <c r="U42" s="28"/>
      <c r="V42" s="354">
        <f t="shared" ref="V42:V48" si="33">(T42-S42)*24*60</f>
        <v>90.999999999999972</v>
      </c>
      <c r="W42" s="23">
        <f>T42</f>
        <v>0.14652777777777776</v>
      </c>
      <c r="X42" s="23">
        <f>S43</f>
        <v>0.16597222222222219</v>
      </c>
      <c r="Y42" s="26"/>
      <c r="Z42" s="26"/>
      <c r="AA42" s="503"/>
      <c r="AB42" s="504"/>
      <c r="AC42" s="154" t="s">
        <v>79</v>
      </c>
      <c r="AD42" s="25"/>
      <c r="AE42" s="19">
        <f t="shared" si="8"/>
        <v>-125.93406593406507</v>
      </c>
      <c r="AF42" s="349">
        <f t="shared" si="9"/>
        <v>0.9580219780219783</v>
      </c>
      <c r="AG42" s="509">
        <f>AF49</f>
        <v>0.95959956433378391</v>
      </c>
    </row>
    <row r="43" spans="1:33" ht="15.75" customHeight="1">
      <c r="A43" s="513" t="s">
        <v>2063</v>
      </c>
      <c r="B43" s="42" t="s">
        <v>93</v>
      </c>
      <c r="C43" s="501" t="s">
        <v>95</v>
      </c>
      <c r="D43" s="502"/>
      <c r="E43" s="42">
        <v>27.17</v>
      </c>
      <c r="F43" s="355">
        <v>5699</v>
      </c>
      <c r="G43" s="348">
        <f t="shared" si="31"/>
        <v>154841.83000000002</v>
      </c>
      <c r="H43" s="357" t="s">
        <v>79</v>
      </c>
      <c r="I43" s="353">
        <v>10</v>
      </c>
      <c r="J43" s="37">
        <v>3000</v>
      </c>
      <c r="K43" s="17">
        <f t="shared" si="1"/>
        <v>300</v>
      </c>
      <c r="L43" s="353">
        <v>10</v>
      </c>
      <c r="M43" s="18">
        <f t="shared" si="32"/>
        <v>2873.4453781512611</v>
      </c>
      <c r="N43" s="18">
        <f t="shared" si="3"/>
        <v>287.3445378151261</v>
      </c>
      <c r="O43" s="19">
        <f t="shared" si="4"/>
        <v>0</v>
      </c>
      <c r="P43" s="20">
        <f t="shared" si="5"/>
        <v>-12.655462184873898</v>
      </c>
      <c r="Q43" s="349">
        <f t="shared" si="6"/>
        <v>0.9578151260504203</v>
      </c>
      <c r="R43" s="510"/>
      <c r="S43" s="40">
        <v>0.16597222222222219</v>
      </c>
      <c r="T43" s="40">
        <v>0.24861111111111106</v>
      </c>
      <c r="U43" s="348">
        <f t="shared" ref="U43:U48" si="34">(S43-T42)*24*60</f>
        <v>27.999999999999979</v>
      </c>
      <c r="V43" s="354">
        <f t="shared" si="33"/>
        <v>118.99999999999997</v>
      </c>
      <c r="W43" s="23"/>
      <c r="X43" s="23"/>
      <c r="Y43" s="26"/>
      <c r="Z43" s="26"/>
      <c r="AA43" s="503"/>
      <c r="AB43" s="504"/>
      <c r="AC43" s="154">
        <v>1</v>
      </c>
      <c r="AD43" s="25"/>
      <c r="AE43" s="19">
        <f t="shared" si="8"/>
        <v>-126.55462184873886</v>
      </c>
      <c r="AF43" s="349">
        <f t="shared" si="9"/>
        <v>0.95781512605042041</v>
      </c>
      <c r="AG43" s="510"/>
    </row>
    <row r="44" spans="1:33" ht="15.75" customHeight="1">
      <c r="A44" s="513" t="s">
        <v>2063</v>
      </c>
      <c r="B44" s="42" t="s">
        <v>93</v>
      </c>
      <c r="C44" s="501" t="s">
        <v>96</v>
      </c>
      <c r="D44" s="502"/>
      <c r="E44" s="42">
        <v>35.119999999999997</v>
      </c>
      <c r="F44" s="355">
        <v>4191</v>
      </c>
      <c r="G44" s="348">
        <f t="shared" si="31"/>
        <v>147187.91999999998</v>
      </c>
      <c r="H44" s="357" t="s">
        <v>79</v>
      </c>
      <c r="I44" s="353">
        <v>10</v>
      </c>
      <c r="J44" s="37">
        <v>3000</v>
      </c>
      <c r="K44" s="17">
        <f t="shared" si="1"/>
        <v>300</v>
      </c>
      <c r="L44" s="353">
        <v>10</v>
      </c>
      <c r="M44" s="18">
        <f t="shared" si="32"/>
        <v>2857.5</v>
      </c>
      <c r="N44" s="18">
        <f t="shared" si="3"/>
        <v>285.75</v>
      </c>
      <c r="O44" s="19">
        <f t="shared" si="4"/>
        <v>0</v>
      </c>
      <c r="P44" s="20">
        <f t="shared" si="5"/>
        <v>-14.25</v>
      </c>
      <c r="Q44" s="349">
        <f t="shared" si="6"/>
        <v>0.95250000000000001</v>
      </c>
      <c r="R44" s="510"/>
      <c r="S44" s="40">
        <v>0.2541666666666666</v>
      </c>
      <c r="T44" s="40">
        <v>0.31527777777777771</v>
      </c>
      <c r="U44" s="348">
        <f t="shared" si="34"/>
        <v>7.9999999999999716</v>
      </c>
      <c r="V44" s="354">
        <f t="shared" si="33"/>
        <v>88</v>
      </c>
      <c r="W44" s="23"/>
      <c r="X44" s="23"/>
      <c r="Y44" s="26"/>
      <c r="Z44" s="26"/>
      <c r="AA44" s="503"/>
      <c r="AB44" s="504"/>
      <c r="AC44" s="154" t="s">
        <v>79</v>
      </c>
      <c r="AD44" s="25"/>
      <c r="AE44" s="19">
        <f t="shared" si="8"/>
        <v>-142.5</v>
      </c>
      <c r="AF44" s="349">
        <f t="shared" si="9"/>
        <v>0.95250000000000001</v>
      </c>
      <c r="AG44" s="510"/>
    </row>
    <row r="45" spans="1:33" ht="15.75" customHeight="1">
      <c r="A45" s="513" t="s">
        <v>2063</v>
      </c>
      <c r="B45" s="42" t="s">
        <v>93</v>
      </c>
      <c r="C45" s="501" t="s">
        <v>110</v>
      </c>
      <c r="D45" s="502"/>
      <c r="E45" s="42">
        <v>26.78</v>
      </c>
      <c r="F45" s="355">
        <v>2074</v>
      </c>
      <c r="G45" s="348">
        <f t="shared" si="31"/>
        <v>55541.72</v>
      </c>
      <c r="H45" s="357" t="s">
        <v>79</v>
      </c>
      <c r="I45" s="353">
        <v>10</v>
      </c>
      <c r="J45" s="37">
        <v>3000</v>
      </c>
      <c r="K45" s="17">
        <f t="shared" si="1"/>
        <v>300</v>
      </c>
      <c r="L45" s="353">
        <v>10</v>
      </c>
      <c r="M45" s="18">
        <f t="shared" si="32"/>
        <v>2893.9534883720926</v>
      </c>
      <c r="N45" s="18">
        <f t="shared" si="3"/>
        <v>289.39534883720927</v>
      </c>
      <c r="O45" s="19">
        <f t="shared" si="4"/>
        <v>0</v>
      </c>
      <c r="P45" s="20">
        <f t="shared" si="5"/>
        <v>-10.604651162790731</v>
      </c>
      <c r="Q45" s="349">
        <f t="shared" si="6"/>
        <v>0.96465116279069751</v>
      </c>
      <c r="R45" s="510"/>
      <c r="S45" s="40">
        <v>0.32083333333333325</v>
      </c>
      <c r="T45" s="40">
        <v>0.35069444444444436</v>
      </c>
      <c r="U45" s="348">
        <f t="shared" si="34"/>
        <v>7.9999999999999716</v>
      </c>
      <c r="V45" s="354">
        <f t="shared" si="33"/>
        <v>43.000000000000007</v>
      </c>
      <c r="W45" s="23"/>
      <c r="X45" s="23"/>
      <c r="Y45" s="26"/>
      <c r="Z45" s="26"/>
      <c r="AA45" s="503"/>
      <c r="AB45" s="504"/>
      <c r="AC45" s="154" t="s">
        <v>79</v>
      </c>
      <c r="AD45" s="25"/>
      <c r="AE45" s="19">
        <f t="shared" si="8"/>
        <v>-106.04651162790742</v>
      </c>
      <c r="AF45" s="349">
        <f t="shared" si="9"/>
        <v>0.96465116279069751</v>
      </c>
      <c r="AG45" s="510"/>
    </row>
    <row r="46" spans="1:33" ht="15.75" customHeight="1">
      <c r="A46" s="513" t="s">
        <v>65</v>
      </c>
      <c r="B46" s="42" t="s">
        <v>93</v>
      </c>
      <c r="C46" s="501" t="s">
        <v>99</v>
      </c>
      <c r="D46" s="502"/>
      <c r="E46" s="42">
        <v>32.020000000000003</v>
      </c>
      <c r="F46" s="355">
        <v>1626</v>
      </c>
      <c r="G46" s="348">
        <f t="shared" si="31"/>
        <v>52064.520000000004</v>
      </c>
      <c r="H46" s="357" t="s">
        <v>79</v>
      </c>
      <c r="I46" s="353">
        <v>11</v>
      </c>
      <c r="J46" s="37">
        <v>3000</v>
      </c>
      <c r="K46" s="17">
        <f t="shared" si="1"/>
        <v>272.72727272727275</v>
      </c>
      <c r="L46" s="353">
        <v>11</v>
      </c>
      <c r="M46" s="18">
        <f t="shared" si="32"/>
        <v>2869.4117647058861</v>
      </c>
      <c r="N46" s="18">
        <f t="shared" si="3"/>
        <v>260.85561497326239</v>
      </c>
      <c r="O46" s="19">
        <f t="shared" si="4"/>
        <v>0</v>
      </c>
      <c r="P46" s="20">
        <f t="shared" si="5"/>
        <v>-11.871657754010357</v>
      </c>
      <c r="Q46" s="349">
        <f t="shared" si="6"/>
        <v>0.9564705882352954</v>
      </c>
      <c r="R46" s="510"/>
      <c r="S46" s="40">
        <v>0.35555555555555546</v>
      </c>
      <c r="T46" s="40">
        <v>0.37916666666666654</v>
      </c>
      <c r="U46" s="348">
        <f t="shared" si="34"/>
        <v>6.9999999999999751</v>
      </c>
      <c r="V46" s="354">
        <f t="shared" si="33"/>
        <v>33.999999999999957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-130.58823529411393</v>
      </c>
      <c r="AF46" s="349">
        <f t="shared" si="9"/>
        <v>0.9564705882352954</v>
      </c>
      <c r="AG46" s="510"/>
    </row>
    <row r="47" spans="1:33" ht="15.75" customHeight="1">
      <c r="A47" s="513" t="s">
        <v>2063</v>
      </c>
      <c r="B47" s="42" t="s">
        <v>93</v>
      </c>
      <c r="C47" s="501" t="s">
        <v>112</v>
      </c>
      <c r="D47" s="502"/>
      <c r="E47" s="42">
        <v>35.869999999999997</v>
      </c>
      <c r="F47" s="355">
        <v>2691</v>
      </c>
      <c r="G47" s="348">
        <f t="shared" si="31"/>
        <v>96526.17</v>
      </c>
      <c r="H47" s="357" t="s">
        <v>79</v>
      </c>
      <c r="I47" s="353">
        <v>9</v>
      </c>
      <c r="J47" s="37">
        <v>3000</v>
      </c>
      <c r="K47" s="17">
        <f t="shared" si="1"/>
        <v>333.33333333333331</v>
      </c>
      <c r="L47" s="353">
        <v>9</v>
      </c>
      <c r="M47" s="18">
        <f t="shared" si="32"/>
        <v>2883.2142857142881</v>
      </c>
      <c r="N47" s="18">
        <f t="shared" si="3"/>
        <v>320.35714285714312</v>
      </c>
      <c r="O47" s="19">
        <f t="shared" si="4"/>
        <v>0</v>
      </c>
      <c r="P47" s="20">
        <f t="shared" si="5"/>
        <v>-12.976190476190197</v>
      </c>
      <c r="Q47" s="349">
        <f t="shared" si="6"/>
        <v>0.96107142857142935</v>
      </c>
      <c r="R47" s="510"/>
      <c r="S47" s="40">
        <v>0.38472222222222208</v>
      </c>
      <c r="T47" s="40">
        <v>0.42361111111111094</v>
      </c>
      <c r="U47" s="348">
        <f t="shared" si="34"/>
        <v>7.9999999999999716</v>
      </c>
      <c r="V47" s="354">
        <f t="shared" si="33"/>
        <v>55.999999999999957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-116.78571428571195</v>
      </c>
      <c r="AF47" s="349">
        <f t="shared" si="9"/>
        <v>0.96107142857142935</v>
      </c>
      <c r="AG47" s="510"/>
    </row>
    <row r="48" spans="1:33" ht="15.75" customHeight="1">
      <c r="A48" s="513" t="s">
        <v>65</v>
      </c>
      <c r="B48" s="42" t="s">
        <v>93</v>
      </c>
      <c r="C48" s="501" t="s">
        <v>1778</v>
      </c>
      <c r="D48" s="502"/>
      <c r="E48" s="42">
        <v>44.03</v>
      </c>
      <c r="F48" s="355">
        <v>2465</v>
      </c>
      <c r="G48" s="348">
        <f t="shared" si="31"/>
        <v>108533.95</v>
      </c>
      <c r="H48" s="357" t="s">
        <v>79</v>
      </c>
      <c r="I48" s="353">
        <v>10</v>
      </c>
      <c r="J48" s="37">
        <v>3000</v>
      </c>
      <c r="K48" s="17">
        <f t="shared" si="1"/>
        <v>300</v>
      </c>
      <c r="L48" s="353">
        <v>10</v>
      </c>
      <c r="M48" s="18">
        <f t="shared" si="32"/>
        <v>2900.0000000000014</v>
      </c>
      <c r="N48" s="18">
        <f t="shared" si="3"/>
        <v>290.00000000000011</v>
      </c>
      <c r="O48" s="19">
        <f t="shared" si="4"/>
        <v>0</v>
      </c>
      <c r="P48" s="20">
        <f t="shared" si="5"/>
        <v>-9.9999999999998863</v>
      </c>
      <c r="Q48" s="349">
        <f t="shared" si="6"/>
        <v>0.96666666666666701</v>
      </c>
      <c r="R48" s="510"/>
      <c r="S48" s="40">
        <v>0.42708333333333315</v>
      </c>
      <c r="T48" s="40">
        <v>0.4624999999999998</v>
      </c>
      <c r="U48" s="348">
        <f t="shared" si="34"/>
        <v>4.9999999999999822</v>
      </c>
      <c r="V48" s="354">
        <f t="shared" si="33"/>
        <v>50.999999999999979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-99.999999999998636</v>
      </c>
      <c r="AF48" s="349">
        <f t="shared" si="9"/>
        <v>0.96666666666666712</v>
      </c>
      <c r="AG48" s="510"/>
    </row>
    <row r="49" spans="1:33" ht="15.75" customHeight="1">
      <c r="A49" s="514" t="s">
        <v>2064</v>
      </c>
      <c r="B49" s="42" t="s">
        <v>2057</v>
      </c>
      <c r="C49" s="492"/>
      <c r="D49" s="493"/>
      <c r="E49" s="346"/>
      <c r="F49" s="355"/>
      <c r="G49" s="348"/>
      <c r="H49" s="355"/>
      <c r="I49" s="30">
        <v>10</v>
      </c>
      <c r="J49" s="37">
        <v>3000</v>
      </c>
      <c r="K49" s="17">
        <f t="shared" si="1"/>
        <v>300</v>
      </c>
      <c r="L49" s="30">
        <v>10</v>
      </c>
      <c r="M49" s="18">
        <f>AVERAGE(M42:M48)</f>
        <v>2878.7986930013517</v>
      </c>
      <c r="N49" s="17">
        <f t="shared" si="3"/>
        <v>287.87986930013517</v>
      </c>
      <c r="O49" s="19">
        <f t="shared" si="4"/>
        <v>0</v>
      </c>
      <c r="P49" s="20">
        <f t="shared" si="5"/>
        <v>-12.120130699864831</v>
      </c>
      <c r="Q49" s="349">
        <f t="shared" si="6"/>
        <v>0.95959956433378391</v>
      </c>
      <c r="R49" s="511"/>
      <c r="S49" s="40"/>
      <c r="T49" s="40"/>
      <c r="U49" s="348"/>
      <c r="V49" s="354"/>
      <c r="W49" s="23"/>
      <c r="X49" s="23"/>
      <c r="Y49" s="31">
        <f>SUM(Y42:Y48)</f>
        <v>0</v>
      </c>
      <c r="Z49" s="31">
        <f>SUM(Z42:Z48)</f>
        <v>0</v>
      </c>
      <c r="AA49" s="505"/>
      <c r="AB49" s="506"/>
      <c r="AC49" s="31">
        <v>1</v>
      </c>
      <c r="AD49" s="31">
        <f>SUM(AD42:AD48)</f>
        <v>0</v>
      </c>
      <c r="AE49" s="19">
        <f t="shared" si="8"/>
        <v>-121.20130699864831</v>
      </c>
      <c r="AF49" s="349">
        <f t="shared" si="9"/>
        <v>0.95959956433378391</v>
      </c>
      <c r="AG49" s="511"/>
    </row>
    <row r="50" spans="1:33" ht="15.75" customHeight="1">
      <c r="A50" s="507" t="s">
        <v>2065</v>
      </c>
      <c r="B50" s="42" t="s">
        <v>100</v>
      </c>
      <c r="C50" s="490" t="s">
        <v>101</v>
      </c>
      <c r="D50" s="490"/>
      <c r="E50" s="42">
        <v>46</v>
      </c>
      <c r="F50" s="46">
        <v>858</v>
      </c>
      <c r="G50" s="348">
        <f t="shared" ref="G50:G58" si="35">E50*F50</f>
        <v>39468</v>
      </c>
      <c r="H50" s="357" t="s">
        <v>79</v>
      </c>
      <c r="I50" s="353">
        <v>17</v>
      </c>
      <c r="J50" s="37">
        <v>2000</v>
      </c>
      <c r="K50" s="17">
        <f t="shared" si="1"/>
        <v>117.64705882352941</v>
      </c>
      <c r="L50" s="353">
        <v>17</v>
      </c>
      <c r="M50" s="18">
        <f t="shared" ref="M50:M58" si="36">F50/V50*60</f>
        <v>1906.6666666666677</v>
      </c>
      <c r="N50" s="18">
        <f t="shared" si="3"/>
        <v>112.1568627450981</v>
      </c>
      <c r="O50" s="19">
        <f t="shared" si="4"/>
        <v>0</v>
      </c>
      <c r="P50" s="20">
        <f t="shared" si="5"/>
        <v>-5.4901960784313104</v>
      </c>
      <c r="Q50" s="349">
        <f t="shared" si="6"/>
        <v>0.95333333333333381</v>
      </c>
      <c r="R50" s="489">
        <f>Q59</f>
        <v>0.94005730465337745</v>
      </c>
      <c r="S50" s="40">
        <v>0.20833333333333334</v>
      </c>
      <c r="T50" s="40">
        <v>0.22708333333333333</v>
      </c>
      <c r="U50" s="28"/>
      <c r="V50" s="354">
        <f t="shared" ref="V50:V58" si="37">(T50-S50)*24*60</f>
        <v>26.999999999999986</v>
      </c>
      <c r="W50" s="28"/>
      <c r="X50" s="28"/>
      <c r="Y50" s="28"/>
      <c r="Z50" s="28"/>
      <c r="AA50" s="491"/>
      <c r="AB50" s="491"/>
      <c r="AC50" s="154">
        <v>4</v>
      </c>
      <c r="AD50" s="25"/>
      <c r="AE50" s="19">
        <f t="shared" si="8"/>
        <v>-93.333333333332348</v>
      </c>
      <c r="AF50" s="349">
        <f t="shared" si="9"/>
        <v>0.95333333333333381</v>
      </c>
      <c r="AG50" s="489">
        <f>AF59</f>
        <v>0.94005730465337745</v>
      </c>
    </row>
    <row r="51" spans="1:33" ht="15.75" customHeight="1">
      <c r="A51" s="507" t="s">
        <v>2066</v>
      </c>
      <c r="B51" s="42" t="s">
        <v>100</v>
      </c>
      <c r="C51" s="490" t="s">
        <v>102</v>
      </c>
      <c r="D51" s="490"/>
      <c r="E51" s="42">
        <v>46</v>
      </c>
      <c r="F51" s="46">
        <v>987</v>
      </c>
      <c r="G51" s="348">
        <f t="shared" si="35"/>
        <v>45402</v>
      </c>
      <c r="H51" s="357" t="s">
        <v>79</v>
      </c>
      <c r="I51" s="353">
        <v>17</v>
      </c>
      <c r="J51" s="37">
        <v>2000</v>
      </c>
      <c r="K51" s="17">
        <f t="shared" si="1"/>
        <v>117.64705882352941</v>
      </c>
      <c r="L51" s="353">
        <v>17</v>
      </c>
      <c r="M51" s="18">
        <f t="shared" si="36"/>
        <v>1910.322580645163</v>
      </c>
      <c r="N51" s="18">
        <f t="shared" si="3"/>
        <v>112.371916508539</v>
      </c>
      <c r="O51" s="19">
        <f t="shared" si="4"/>
        <v>0</v>
      </c>
      <c r="P51" s="20">
        <f t="shared" si="5"/>
        <v>-5.2751423149904042</v>
      </c>
      <c r="Q51" s="349">
        <f t="shared" si="6"/>
        <v>0.95516129032258157</v>
      </c>
      <c r="R51" s="489"/>
      <c r="S51" s="40">
        <v>0.23194444444444445</v>
      </c>
      <c r="T51" s="40">
        <v>0.25347222222222221</v>
      </c>
      <c r="U51" s="348">
        <f t="shared" ref="U51:U58" si="38">IF(S51=TIME(17,0,0),"",(S51-T50)*24*60)</f>
        <v>7.0000000000000151</v>
      </c>
      <c r="V51" s="354">
        <f t="shared" si="37"/>
        <v>30.999999999999972</v>
      </c>
      <c r="W51" s="23"/>
      <c r="X51" s="23"/>
      <c r="Y51" s="23"/>
      <c r="Z51" s="23"/>
      <c r="AA51" s="491"/>
      <c r="AB51" s="491"/>
      <c r="AC51" s="154"/>
      <c r="AD51" s="25"/>
      <c r="AE51" s="19">
        <f t="shared" si="8"/>
        <v>-89.677419354836957</v>
      </c>
      <c r="AF51" s="349">
        <f t="shared" si="9"/>
        <v>0.95516129032258157</v>
      </c>
      <c r="AG51" s="489"/>
    </row>
    <row r="52" spans="1:33" ht="15.75" customHeight="1">
      <c r="A52" s="507" t="s">
        <v>2065</v>
      </c>
      <c r="B52" s="42" t="s">
        <v>103</v>
      </c>
      <c r="C52" s="501" t="s">
        <v>105</v>
      </c>
      <c r="D52" s="502"/>
      <c r="E52" s="42">
        <v>56.43</v>
      </c>
      <c r="F52" s="46">
        <v>1566</v>
      </c>
      <c r="G52" s="348">
        <f t="shared" si="35"/>
        <v>88369.38</v>
      </c>
      <c r="H52" s="357" t="s">
        <v>79</v>
      </c>
      <c r="I52" s="353">
        <v>22</v>
      </c>
      <c r="J52" s="37">
        <v>2000</v>
      </c>
      <c r="K52" s="17">
        <f t="shared" si="1"/>
        <v>90.909090909090907</v>
      </c>
      <c r="L52" s="353">
        <v>22</v>
      </c>
      <c r="M52" s="18">
        <f t="shared" si="36"/>
        <v>1772.8301886792462</v>
      </c>
      <c r="N52" s="18">
        <f t="shared" si="3"/>
        <v>80.583190394511192</v>
      </c>
      <c r="O52" s="19">
        <f t="shared" si="4"/>
        <v>0</v>
      </c>
      <c r="P52" s="20">
        <f t="shared" si="5"/>
        <v>-10.325900514579715</v>
      </c>
      <c r="Q52" s="349">
        <f t="shared" si="6"/>
        <v>0.88641509433962318</v>
      </c>
      <c r="R52" s="489"/>
      <c r="S52" s="40">
        <v>0.25902777777777775</v>
      </c>
      <c r="T52" s="40">
        <v>0.29583333333333328</v>
      </c>
      <c r="U52" s="348">
        <f t="shared" si="38"/>
        <v>7.9999999999999716</v>
      </c>
      <c r="V52" s="354">
        <f t="shared" si="37"/>
        <v>52.999999999999972</v>
      </c>
      <c r="W52" s="23"/>
      <c r="X52" s="23"/>
      <c r="Y52" s="26"/>
      <c r="Z52" s="26"/>
      <c r="AA52" s="491"/>
      <c r="AB52" s="491"/>
      <c r="AC52" s="154"/>
      <c r="AD52" s="25"/>
      <c r="AE52" s="19">
        <f t="shared" si="8"/>
        <v>-227.16981132075375</v>
      </c>
      <c r="AF52" s="349">
        <f t="shared" si="9"/>
        <v>0.88641509433962318</v>
      </c>
      <c r="AG52" s="489"/>
    </row>
    <row r="53" spans="1:33" ht="15.75" customHeight="1">
      <c r="A53" s="507" t="s">
        <v>67</v>
      </c>
      <c r="B53" s="42" t="s">
        <v>103</v>
      </c>
      <c r="C53" s="351" t="s">
        <v>518</v>
      </c>
      <c r="D53" s="352"/>
      <c r="E53" s="42">
        <v>51.75</v>
      </c>
      <c r="F53" s="46">
        <v>1712</v>
      </c>
      <c r="G53" s="348">
        <f t="shared" si="35"/>
        <v>88596</v>
      </c>
      <c r="H53" s="357" t="s">
        <v>79</v>
      </c>
      <c r="I53" s="353">
        <v>25</v>
      </c>
      <c r="J53" s="37">
        <v>2000</v>
      </c>
      <c r="K53" s="17">
        <f t="shared" si="1"/>
        <v>80</v>
      </c>
      <c r="L53" s="353">
        <v>25</v>
      </c>
      <c r="M53" s="18">
        <f t="shared" si="36"/>
        <v>1683.9344262295076</v>
      </c>
      <c r="N53" s="18">
        <f t="shared" si="3"/>
        <v>67.3573770491803</v>
      </c>
      <c r="O53" s="19">
        <f t="shared" si="4"/>
        <v>0</v>
      </c>
      <c r="P53" s="20">
        <f t="shared" si="5"/>
        <v>-12.6426229508197</v>
      </c>
      <c r="Q53" s="349">
        <f t="shared" si="6"/>
        <v>0.84196721311475375</v>
      </c>
      <c r="R53" s="489"/>
      <c r="S53" s="40">
        <v>0.30069444444444438</v>
      </c>
      <c r="T53" s="40">
        <v>0.3430555555555555</v>
      </c>
      <c r="U53" s="348">
        <f t="shared" si="38"/>
        <v>6.9999999999999751</v>
      </c>
      <c r="V53" s="354">
        <f t="shared" si="37"/>
        <v>61.000000000000021</v>
      </c>
      <c r="W53" s="23"/>
      <c r="X53" s="23"/>
      <c r="Y53" s="26"/>
      <c r="Z53" s="26"/>
      <c r="AA53" s="491"/>
      <c r="AB53" s="491"/>
      <c r="AC53" s="154"/>
      <c r="AD53" s="25"/>
      <c r="AE53" s="19">
        <f t="shared" si="8"/>
        <v>-316.06557377049239</v>
      </c>
      <c r="AF53" s="349">
        <f t="shared" si="9"/>
        <v>0.84196721311475375</v>
      </c>
      <c r="AG53" s="489"/>
    </row>
    <row r="54" spans="1:33" ht="15.75" customHeight="1">
      <c r="A54" s="507" t="s">
        <v>2065</v>
      </c>
      <c r="B54" s="42" t="s">
        <v>103</v>
      </c>
      <c r="C54" s="351" t="s">
        <v>1781</v>
      </c>
      <c r="D54" s="352"/>
      <c r="E54" s="42">
        <v>54.09</v>
      </c>
      <c r="F54" s="46">
        <v>1666</v>
      </c>
      <c r="G54" s="348">
        <f t="shared" si="35"/>
        <v>90113.94</v>
      </c>
      <c r="H54" s="357" t="s">
        <v>79</v>
      </c>
      <c r="I54" s="353">
        <v>19</v>
      </c>
      <c r="J54" s="37">
        <v>1700</v>
      </c>
      <c r="K54" s="17">
        <f t="shared" si="1"/>
        <v>89.473684210526315</v>
      </c>
      <c r="L54" s="353">
        <v>19</v>
      </c>
      <c r="M54" s="18">
        <f t="shared" si="36"/>
        <v>1665.9999999999993</v>
      </c>
      <c r="N54" s="18">
        <f t="shared" si="3"/>
        <v>87.684210526315752</v>
      </c>
      <c r="O54" s="19">
        <f t="shared" si="4"/>
        <v>0</v>
      </c>
      <c r="P54" s="20">
        <f t="shared" si="5"/>
        <v>-1.789473684210563</v>
      </c>
      <c r="Q54" s="349">
        <f t="shared" si="6"/>
        <v>0.97999999999999954</v>
      </c>
      <c r="R54" s="489"/>
      <c r="S54" s="40">
        <v>0.3479166666666666</v>
      </c>
      <c r="T54" s="40">
        <v>0.38958333333333328</v>
      </c>
      <c r="U54" s="348">
        <f t="shared" si="38"/>
        <v>6.9999999999999751</v>
      </c>
      <c r="V54" s="354">
        <f t="shared" si="37"/>
        <v>60.000000000000028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-34.000000000000682</v>
      </c>
      <c r="AF54" s="349">
        <f t="shared" si="9"/>
        <v>0.97999999999999965</v>
      </c>
      <c r="AG54" s="489"/>
    </row>
    <row r="55" spans="1:33" ht="15.75" customHeight="1">
      <c r="A55" s="507" t="s">
        <v>2065</v>
      </c>
      <c r="B55" s="42" t="s">
        <v>103</v>
      </c>
      <c r="C55" s="501" t="s">
        <v>106</v>
      </c>
      <c r="D55" s="502"/>
      <c r="E55" s="42">
        <v>55.56</v>
      </c>
      <c r="F55" s="46">
        <v>1554</v>
      </c>
      <c r="G55" s="348">
        <f t="shared" si="35"/>
        <v>86340.24</v>
      </c>
      <c r="H55" s="357" t="s">
        <v>79</v>
      </c>
      <c r="I55" s="353">
        <v>17</v>
      </c>
      <c r="J55" s="37">
        <v>2000</v>
      </c>
      <c r="K55" s="17">
        <f t="shared" si="1"/>
        <v>117.64705882352941</v>
      </c>
      <c r="L55" s="353">
        <v>17</v>
      </c>
      <c r="M55" s="18">
        <f t="shared" si="36"/>
        <v>1902.8571428571433</v>
      </c>
      <c r="N55" s="18">
        <f t="shared" si="3"/>
        <v>111.93277310924373</v>
      </c>
      <c r="O55" s="19">
        <f t="shared" si="4"/>
        <v>0</v>
      </c>
      <c r="P55" s="20">
        <f t="shared" si="5"/>
        <v>-5.7142857142856798</v>
      </c>
      <c r="Q55" s="349">
        <f t="shared" si="6"/>
        <v>0.95142857142857173</v>
      </c>
      <c r="R55" s="489"/>
      <c r="S55" s="40">
        <v>0.70833333333333337</v>
      </c>
      <c r="T55" s="40">
        <v>0.74236111111111114</v>
      </c>
      <c r="U55" s="348" t="str">
        <f t="shared" si="38"/>
        <v/>
      </c>
      <c r="V55" s="354">
        <f t="shared" si="37"/>
        <v>48.999999999999986</v>
      </c>
      <c r="W55" s="23"/>
      <c r="X55" s="23"/>
      <c r="Y55" s="26"/>
      <c r="Z55" s="26"/>
      <c r="AA55" s="503"/>
      <c r="AB55" s="504"/>
      <c r="AC55" s="154"/>
      <c r="AD55" s="25"/>
      <c r="AE55" s="19">
        <f t="shared" si="8"/>
        <v>-97.142857142856656</v>
      </c>
      <c r="AF55" s="349">
        <f t="shared" si="9"/>
        <v>0.95142857142857162</v>
      </c>
      <c r="AG55" s="489"/>
    </row>
    <row r="56" spans="1:33" ht="15.75" customHeight="1">
      <c r="A56" s="507" t="s">
        <v>67</v>
      </c>
      <c r="B56" s="42" t="s">
        <v>103</v>
      </c>
      <c r="C56" s="501" t="s">
        <v>107</v>
      </c>
      <c r="D56" s="502"/>
      <c r="E56" s="42">
        <v>55.32</v>
      </c>
      <c r="F56" s="46">
        <v>1106</v>
      </c>
      <c r="G56" s="348">
        <f t="shared" si="35"/>
        <v>61183.92</v>
      </c>
      <c r="H56" s="357" t="s">
        <v>79</v>
      </c>
      <c r="I56" s="353">
        <v>15</v>
      </c>
      <c r="J56" s="37">
        <v>2000</v>
      </c>
      <c r="K56" s="17">
        <f t="shared" si="1"/>
        <v>133.33333333333334</v>
      </c>
      <c r="L56" s="353">
        <v>15</v>
      </c>
      <c r="M56" s="18">
        <f t="shared" si="36"/>
        <v>1951.7647058823504</v>
      </c>
      <c r="N56" s="18">
        <f t="shared" si="3"/>
        <v>130.11764705882337</v>
      </c>
      <c r="O56" s="19">
        <f t="shared" si="4"/>
        <v>0</v>
      </c>
      <c r="P56" s="20">
        <f t="shared" si="5"/>
        <v>-3.2156862745099772</v>
      </c>
      <c r="Q56" s="349">
        <f t="shared" si="6"/>
        <v>0.9758823529411752</v>
      </c>
      <c r="R56" s="489"/>
      <c r="S56" s="40">
        <v>0.74791666666666667</v>
      </c>
      <c r="T56" s="40">
        <v>0.77152777777777781</v>
      </c>
      <c r="U56" s="348">
        <f t="shared" si="38"/>
        <v>7.9999999999999716</v>
      </c>
      <c r="V56" s="354">
        <f t="shared" si="37"/>
        <v>34.000000000000043</v>
      </c>
      <c r="W56" s="23"/>
      <c r="X56" s="23"/>
      <c r="Y56" s="26"/>
      <c r="Z56" s="26"/>
      <c r="AA56" s="503"/>
      <c r="AB56" s="504"/>
      <c r="AC56" s="154"/>
      <c r="AD56" s="25"/>
      <c r="AE56" s="19">
        <f t="shared" si="8"/>
        <v>-48.235294117649573</v>
      </c>
      <c r="AF56" s="349">
        <f t="shared" si="9"/>
        <v>0.9758823529411752</v>
      </c>
      <c r="AG56" s="489"/>
    </row>
    <row r="57" spans="1:33" ht="15.75" customHeight="1">
      <c r="A57" s="507" t="s">
        <v>2067</v>
      </c>
      <c r="B57" s="42" t="s">
        <v>103</v>
      </c>
      <c r="C57" s="501" t="s">
        <v>108</v>
      </c>
      <c r="D57" s="502"/>
      <c r="E57" s="42">
        <v>54.29</v>
      </c>
      <c r="F57" s="46">
        <v>1740</v>
      </c>
      <c r="G57" s="348">
        <f t="shared" si="35"/>
        <v>94464.599999999991</v>
      </c>
      <c r="H57" s="357" t="s">
        <v>79</v>
      </c>
      <c r="I57" s="353">
        <v>20</v>
      </c>
      <c r="J57" s="37">
        <v>2000</v>
      </c>
      <c r="K57" s="17">
        <f t="shared" si="1"/>
        <v>100</v>
      </c>
      <c r="L57" s="353">
        <v>20</v>
      </c>
      <c r="M57" s="18">
        <f t="shared" si="36"/>
        <v>1933.3333333333342</v>
      </c>
      <c r="N57" s="18">
        <f t="shared" si="3"/>
        <v>96.666666666666714</v>
      </c>
      <c r="O57" s="19">
        <f t="shared" si="4"/>
        <v>0</v>
      </c>
      <c r="P57" s="20">
        <f t="shared" si="5"/>
        <v>-3.333333333333286</v>
      </c>
      <c r="Q57" s="349">
        <f t="shared" si="6"/>
        <v>0.96666666666666712</v>
      </c>
      <c r="R57" s="489"/>
      <c r="S57" s="40">
        <v>0.77500000000000002</v>
      </c>
      <c r="T57" s="40">
        <v>0.8125</v>
      </c>
      <c r="U57" s="348">
        <f t="shared" si="38"/>
        <v>4.9999999999999822</v>
      </c>
      <c r="V57" s="354">
        <f t="shared" si="37"/>
        <v>53.999999999999972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-66.666666666665833</v>
      </c>
      <c r="AF57" s="349">
        <f t="shared" si="9"/>
        <v>0.96666666666666712</v>
      </c>
      <c r="AG57" s="489"/>
    </row>
    <row r="58" spans="1:33">
      <c r="A58" s="507" t="s">
        <v>67</v>
      </c>
      <c r="B58" s="42" t="s">
        <v>103</v>
      </c>
      <c r="C58" s="501" t="s">
        <v>141</v>
      </c>
      <c r="D58" s="502"/>
      <c r="E58" s="42">
        <v>57.73</v>
      </c>
      <c r="F58" s="46">
        <v>1129</v>
      </c>
      <c r="G58" s="348">
        <f t="shared" si="35"/>
        <v>65177.17</v>
      </c>
      <c r="H58" s="357" t="s">
        <v>79</v>
      </c>
      <c r="I58" s="353">
        <v>16</v>
      </c>
      <c r="J58" s="37">
        <v>1500</v>
      </c>
      <c r="K58" s="17">
        <f t="shared" si="1"/>
        <v>93.75</v>
      </c>
      <c r="L58" s="353">
        <v>16</v>
      </c>
      <c r="M58" s="18">
        <f t="shared" si="36"/>
        <v>1441.2765957446811</v>
      </c>
      <c r="N58" s="18">
        <f t="shared" si="3"/>
        <v>90.07978723404257</v>
      </c>
      <c r="O58" s="19">
        <f t="shared" si="4"/>
        <v>0</v>
      </c>
      <c r="P58" s="20">
        <f t="shared" si="5"/>
        <v>-3.6702127659574302</v>
      </c>
      <c r="Q58" s="349">
        <f t="shared" si="6"/>
        <v>0.96085106382978747</v>
      </c>
      <c r="R58" s="489"/>
      <c r="S58" s="40">
        <v>0.81805555555555554</v>
      </c>
      <c r="T58" s="40">
        <v>0.85069444444444442</v>
      </c>
      <c r="U58" s="348">
        <f t="shared" si="38"/>
        <v>7.9999999999999716</v>
      </c>
      <c r="V58" s="354">
        <f t="shared" si="37"/>
        <v>46.999999999999993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-58.723404255318883</v>
      </c>
      <c r="AF58" s="349">
        <f t="shared" si="9"/>
        <v>0.96085106382978747</v>
      </c>
      <c r="AG58" s="489"/>
    </row>
    <row r="59" spans="1:33">
      <c r="A59" s="508" t="s">
        <v>2065</v>
      </c>
      <c r="B59" s="42" t="s">
        <v>71</v>
      </c>
      <c r="C59" s="494"/>
      <c r="D59" s="494"/>
      <c r="E59" s="350"/>
      <c r="F59" s="44"/>
      <c r="G59" s="17"/>
      <c r="H59" s="355"/>
      <c r="I59" s="30">
        <v>18.666666666666668</v>
      </c>
      <c r="J59" s="37">
        <v>1911.1111111111111</v>
      </c>
      <c r="K59" s="17">
        <f t="shared" si="1"/>
        <v>102.38095238095238</v>
      </c>
      <c r="L59" s="30">
        <v>18.666666666666668</v>
      </c>
      <c r="M59" s="18">
        <f>AVERAGE(M50:M58)</f>
        <v>1796.5539600042325</v>
      </c>
      <c r="N59" s="17">
        <f t="shared" si="3"/>
        <v>96.243962143083877</v>
      </c>
      <c r="O59" s="19">
        <f t="shared" si="4"/>
        <v>0</v>
      </c>
      <c r="P59" s="20">
        <f t="shared" si="5"/>
        <v>-6.1369902378685026</v>
      </c>
      <c r="Q59" s="349">
        <f t="shared" si="6"/>
        <v>0.94005730465337745</v>
      </c>
      <c r="R59" s="489"/>
      <c r="S59" s="41"/>
      <c r="T59" s="40"/>
      <c r="U59" s="17"/>
      <c r="V59" s="354"/>
      <c r="W59" s="17"/>
      <c r="X59" s="17"/>
      <c r="Y59" s="31">
        <f>SUM(Y50:Y58)</f>
        <v>0</v>
      </c>
      <c r="Z59" s="31">
        <f>SUM(Z50:Z58)</f>
        <v>0</v>
      </c>
      <c r="AA59" s="495"/>
      <c r="AB59" s="495"/>
      <c r="AC59" s="31">
        <v>4</v>
      </c>
      <c r="AD59" s="31">
        <f>SUM(AD50:AD58)</f>
        <v>0</v>
      </c>
      <c r="AE59" s="19">
        <f t="shared" si="8"/>
        <v>-114.55715110687856</v>
      </c>
      <c r="AF59" s="349">
        <f t="shared" si="9"/>
        <v>0.94005730465337745</v>
      </c>
      <c r="AG59" s="489"/>
    </row>
    <row r="60" spans="1:33" ht="15.75" customHeight="1">
      <c r="A60" s="499" t="s">
        <v>72</v>
      </c>
      <c r="B60" s="355" t="s">
        <v>100</v>
      </c>
      <c r="C60" s="490" t="s">
        <v>109</v>
      </c>
      <c r="D60" s="490"/>
      <c r="E60" s="42">
        <v>26.97</v>
      </c>
      <c r="F60" s="46">
        <v>1611</v>
      </c>
      <c r="G60" s="348">
        <f t="shared" ref="G60:G64" si="39">E60*F60</f>
        <v>43448.67</v>
      </c>
      <c r="H60" s="357" t="s">
        <v>79</v>
      </c>
      <c r="I60" s="353">
        <v>8</v>
      </c>
      <c r="J60" s="37">
        <v>1500</v>
      </c>
      <c r="K60" s="17">
        <f t="shared" si="1"/>
        <v>187.5</v>
      </c>
      <c r="L60" s="353">
        <v>8</v>
      </c>
      <c r="M60" s="18">
        <f t="shared" ref="M60:M64" si="40">F60/V60*60</f>
        <v>1442.6865671641799</v>
      </c>
      <c r="N60" s="17">
        <f t="shared" si="3"/>
        <v>180.33582089552249</v>
      </c>
      <c r="O60" s="19">
        <f t="shared" si="4"/>
        <v>0</v>
      </c>
      <c r="P60" s="20">
        <f t="shared" si="5"/>
        <v>-7.1641791044775118</v>
      </c>
      <c r="Q60" s="349">
        <f t="shared" si="6"/>
        <v>0.96179104477611999</v>
      </c>
      <c r="R60" s="489">
        <f>Q65</f>
        <v>0.96534103246812875</v>
      </c>
      <c r="S60" s="40">
        <v>0.20833333333333334</v>
      </c>
      <c r="T60" s="40">
        <v>0.25486111111111109</v>
      </c>
      <c r="U60" s="348"/>
      <c r="V60" s="354">
        <f t="shared" ref="V60:V64" si="41">(T60-S60)*24*60</f>
        <v>66.999999999999957</v>
      </c>
      <c r="W60" s="28"/>
      <c r="X60" s="28"/>
      <c r="Y60" s="28"/>
      <c r="Z60" s="28"/>
      <c r="AA60" s="491"/>
      <c r="AB60" s="491"/>
      <c r="AC60" s="154">
        <v>1</v>
      </c>
      <c r="AD60" s="25"/>
      <c r="AE60" s="19">
        <f t="shared" si="8"/>
        <v>-57.313432835820095</v>
      </c>
      <c r="AF60" s="349">
        <f t="shared" si="9"/>
        <v>0.96179104477611999</v>
      </c>
      <c r="AG60" s="489">
        <f>AF65</f>
        <v>0.96534103246812875</v>
      </c>
    </row>
    <row r="61" spans="1:33" ht="15.75" customHeight="1">
      <c r="A61" s="499" t="s">
        <v>2068</v>
      </c>
      <c r="B61" s="355" t="s">
        <v>100</v>
      </c>
      <c r="C61" s="490" t="s">
        <v>519</v>
      </c>
      <c r="D61" s="490"/>
      <c r="E61" s="42">
        <v>27.4</v>
      </c>
      <c r="F61" s="46">
        <v>1631</v>
      </c>
      <c r="G61" s="348">
        <f t="shared" si="39"/>
        <v>44689.399999999994</v>
      </c>
      <c r="H61" s="357" t="s">
        <v>79</v>
      </c>
      <c r="I61" s="353">
        <v>10</v>
      </c>
      <c r="J61" s="37">
        <v>1500</v>
      </c>
      <c r="K61" s="17">
        <f t="shared" si="1"/>
        <v>150</v>
      </c>
      <c r="L61" s="353">
        <v>10</v>
      </c>
      <c r="M61" s="18">
        <f t="shared" si="40"/>
        <v>1439.1176470588234</v>
      </c>
      <c r="N61" s="17">
        <f t="shared" si="3"/>
        <v>143.91176470588235</v>
      </c>
      <c r="O61" s="19">
        <f t="shared" si="4"/>
        <v>0</v>
      </c>
      <c r="P61" s="20">
        <f t="shared" si="5"/>
        <v>-6.0882352941176521</v>
      </c>
      <c r="Q61" s="349">
        <f t="shared" si="6"/>
        <v>0.9594117647058823</v>
      </c>
      <c r="R61" s="489"/>
      <c r="S61" s="40">
        <v>0.25972222222222219</v>
      </c>
      <c r="T61" s="40">
        <v>0.30694444444444441</v>
      </c>
      <c r="U61" s="348">
        <f t="shared" ref="U61:U64" si="42">(S61-T60)*24*60</f>
        <v>6.9999999999999751</v>
      </c>
      <c r="V61" s="354">
        <f t="shared" si="41"/>
        <v>68</v>
      </c>
      <c r="W61" s="348"/>
      <c r="X61" s="348"/>
      <c r="Y61" s="348"/>
      <c r="Z61" s="348"/>
      <c r="AA61" s="491"/>
      <c r="AB61" s="491"/>
      <c r="AC61" s="154"/>
      <c r="AD61" s="25"/>
      <c r="AE61" s="19">
        <f t="shared" si="8"/>
        <v>-60.882352941176578</v>
      </c>
      <c r="AF61" s="349">
        <f t="shared" si="9"/>
        <v>0.9594117647058823</v>
      </c>
      <c r="AG61" s="489"/>
    </row>
    <row r="62" spans="1:33" ht="15.75" customHeight="1">
      <c r="A62" s="499" t="s">
        <v>2069</v>
      </c>
      <c r="B62" s="355" t="s">
        <v>93</v>
      </c>
      <c r="C62" s="490" t="s">
        <v>97</v>
      </c>
      <c r="D62" s="490"/>
      <c r="E62" s="42">
        <v>31</v>
      </c>
      <c r="F62" s="46">
        <v>751</v>
      </c>
      <c r="G62" s="348">
        <f t="shared" si="39"/>
        <v>23281</v>
      </c>
      <c r="H62" s="357" t="s">
        <v>79</v>
      </c>
      <c r="I62" s="353">
        <v>13</v>
      </c>
      <c r="J62" s="37">
        <v>2000</v>
      </c>
      <c r="K62" s="17">
        <f t="shared" si="1"/>
        <v>153.84615384615384</v>
      </c>
      <c r="L62" s="353">
        <v>13</v>
      </c>
      <c r="M62" s="18">
        <f t="shared" si="40"/>
        <v>1959.1304347826085</v>
      </c>
      <c r="N62" s="17">
        <f t="shared" si="3"/>
        <v>150.70234113712374</v>
      </c>
      <c r="O62" s="19">
        <f t="shared" si="4"/>
        <v>0</v>
      </c>
      <c r="P62" s="20">
        <f t="shared" si="5"/>
        <v>-3.1438127090301009</v>
      </c>
      <c r="Q62" s="349">
        <f t="shared" si="6"/>
        <v>0.97956521739130431</v>
      </c>
      <c r="R62" s="489"/>
      <c r="S62" s="40">
        <v>0.31041666666666662</v>
      </c>
      <c r="T62" s="40">
        <v>0.32638888888888884</v>
      </c>
      <c r="U62" s="348">
        <f t="shared" si="42"/>
        <v>4.9999999999999822</v>
      </c>
      <c r="V62" s="354">
        <f t="shared" si="41"/>
        <v>23</v>
      </c>
      <c r="W62" s="348"/>
      <c r="X62" s="348"/>
      <c r="Y62" s="348"/>
      <c r="Z62" s="348"/>
      <c r="AA62" s="491"/>
      <c r="AB62" s="491"/>
      <c r="AC62" s="154" t="s">
        <v>79</v>
      </c>
      <c r="AD62" s="25"/>
      <c r="AE62" s="19">
        <f t="shared" si="8"/>
        <v>-40.869565217391482</v>
      </c>
      <c r="AF62" s="349">
        <f t="shared" si="9"/>
        <v>0.97956521739130431</v>
      </c>
      <c r="AG62" s="489"/>
    </row>
    <row r="63" spans="1:33" ht="15.75" customHeight="1">
      <c r="A63" s="499" t="s">
        <v>2069</v>
      </c>
      <c r="B63" s="355" t="s">
        <v>93</v>
      </c>
      <c r="C63" s="490" t="s">
        <v>1235</v>
      </c>
      <c r="D63" s="490"/>
      <c r="E63" s="42">
        <v>37.85</v>
      </c>
      <c r="F63" s="46">
        <v>3544</v>
      </c>
      <c r="G63" s="348">
        <f t="shared" si="39"/>
        <v>134140.4</v>
      </c>
      <c r="H63" s="357" t="s">
        <v>79</v>
      </c>
      <c r="I63" s="353">
        <v>12</v>
      </c>
      <c r="J63" s="37">
        <v>2000</v>
      </c>
      <c r="K63" s="17">
        <f t="shared" si="1"/>
        <v>166.66666666666666</v>
      </c>
      <c r="L63" s="353">
        <v>12</v>
      </c>
      <c r="M63" s="18">
        <f t="shared" si="40"/>
        <v>1915.6756756756756</v>
      </c>
      <c r="N63" s="17">
        <f t="shared" si="3"/>
        <v>159.63963963963963</v>
      </c>
      <c r="O63" s="19">
        <f t="shared" si="4"/>
        <v>0</v>
      </c>
      <c r="P63" s="20">
        <f t="shared" si="5"/>
        <v>-7.0270270270270316</v>
      </c>
      <c r="Q63" s="349">
        <f t="shared" si="6"/>
        <v>0.95783783783783782</v>
      </c>
      <c r="R63" s="489"/>
      <c r="S63" s="40">
        <v>0.33194444444444438</v>
      </c>
      <c r="T63" s="40">
        <v>0.40902777777777771</v>
      </c>
      <c r="U63" s="348">
        <f t="shared" si="42"/>
        <v>7.9999999999999716</v>
      </c>
      <c r="V63" s="354">
        <f t="shared" si="41"/>
        <v>111</v>
      </c>
      <c r="W63" s="348"/>
      <c r="X63" s="348"/>
      <c r="Y63" s="348"/>
      <c r="Z63" s="348"/>
      <c r="AA63" s="491"/>
      <c r="AB63" s="491"/>
      <c r="AC63" s="154" t="s">
        <v>79</v>
      </c>
      <c r="AD63" s="25"/>
      <c r="AE63" s="19">
        <f t="shared" si="8"/>
        <v>-84.32432432432438</v>
      </c>
      <c r="AF63" s="349">
        <f t="shared" si="9"/>
        <v>0.95783783783783782</v>
      </c>
      <c r="AG63" s="489"/>
    </row>
    <row r="64" spans="1:33">
      <c r="A64" s="500" t="s">
        <v>72</v>
      </c>
      <c r="B64" s="355" t="s">
        <v>93</v>
      </c>
      <c r="C64" s="490" t="s">
        <v>113</v>
      </c>
      <c r="D64" s="490"/>
      <c r="E64" s="42">
        <v>34.36</v>
      </c>
      <c r="F64" s="46">
        <v>1207</v>
      </c>
      <c r="G64" s="348">
        <f t="shared" si="39"/>
        <v>41472.519999999997</v>
      </c>
      <c r="H64" s="357" t="s">
        <v>79</v>
      </c>
      <c r="I64" s="353">
        <v>10</v>
      </c>
      <c r="J64" s="37">
        <v>3000</v>
      </c>
      <c r="K64" s="17">
        <f t="shared" si="1"/>
        <v>300</v>
      </c>
      <c r="L64" s="353">
        <v>10</v>
      </c>
      <c r="M64" s="18">
        <f t="shared" si="40"/>
        <v>2896.8000000000011</v>
      </c>
      <c r="N64" s="17">
        <f t="shared" si="3"/>
        <v>289.68000000000012</v>
      </c>
      <c r="O64" s="19">
        <f t="shared" si="4"/>
        <v>0</v>
      </c>
      <c r="P64" s="20">
        <f t="shared" si="5"/>
        <v>-10.319999999999879</v>
      </c>
      <c r="Q64" s="349">
        <f t="shared" si="6"/>
        <v>0.96560000000000035</v>
      </c>
      <c r="R64" s="489"/>
      <c r="S64" s="40">
        <v>0.41388888888888881</v>
      </c>
      <c r="T64" s="40">
        <v>0.43124999999999991</v>
      </c>
      <c r="U64" s="348">
        <f t="shared" si="42"/>
        <v>6.9999999999999751</v>
      </c>
      <c r="V64" s="354">
        <f t="shared" si="41"/>
        <v>24.999999999999993</v>
      </c>
      <c r="W64" s="23"/>
      <c r="X64" s="23"/>
      <c r="Y64" s="23"/>
      <c r="Z64" s="23"/>
      <c r="AA64" s="491"/>
      <c r="AB64" s="491"/>
      <c r="AC64" s="154" t="s">
        <v>79</v>
      </c>
      <c r="AD64" s="25"/>
      <c r="AE64" s="19">
        <f t="shared" si="8"/>
        <v>-103.19999999999891</v>
      </c>
      <c r="AF64" s="349">
        <f t="shared" si="9"/>
        <v>0.96560000000000035</v>
      </c>
      <c r="AG64" s="489"/>
    </row>
    <row r="65" spans="1:33">
      <c r="A65" s="500" t="s">
        <v>2070</v>
      </c>
      <c r="B65" s="42" t="s">
        <v>2071</v>
      </c>
      <c r="C65" s="494"/>
      <c r="D65" s="494"/>
      <c r="E65" s="350"/>
      <c r="F65" s="44"/>
      <c r="G65" s="17"/>
      <c r="H65" s="355"/>
      <c r="I65" s="30">
        <v>10.6</v>
      </c>
      <c r="J65" s="37">
        <v>2000</v>
      </c>
      <c r="K65" s="17">
        <f t="shared" si="1"/>
        <v>188.67924528301887</v>
      </c>
      <c r="L65" s="30">
        <v>10.6</v>
      </c>
      <c r="M65" s="18">
        <f>AVERAGE(M60:M64)</f>
        <v>1930.6820649362576</v>
      </c>
      <c r="N65" s="17">
        <f t="shared" si="3"/>
        <v>182.13981744681675</v>
      </c>
      <c r="O65" s="19">
        <f t="shared" si="4"/>
        <v>0</v>
      </c>
      <c r="P65" s="20">
        <f t="shared" si="5"/>
        <v>-6.5394278362021225</v>
      </c>
      <c r="Q65" s="349">
        <f t="shared" si="6"/>
        <v>0.96534103246812875</v>
      </c>
      <c r="R65" s="489"/>
      <c r="S65" s="40"/>
      <c r="T65" s="40"/>
      <c r="U65" s="17"/>
      <c r="V65" s="354"/>
      <c r="W65" s="17"/>
      <c r="X65" s="17"/>
      <c r="Y65" s="31">
        <f>SUM(Y60:Y64)</f>
        <v>0</v>
      </c>
      <c r="Z65" s="31">
        <f>SUM(Z60:Z64)</f>
        <v>0</v>
      </c>
      <c r="AA65" s="495"/>
      <c r="AB65" s="495"/>
      <c r="AC65" s="31">
        <v>1</v>
      </c>
      <c r="AD65" s="31">
        <f>SUM(AD60:AD64)</f>
        <v>0</v>
      </c>
      <c r="AE65" s="19">
        <f t="shared" si="8"/>
        <v>-69.317935063742425</v>
      </c>
      <c r="AF65" s="349">
        <f t="shared" si="9"/>
        <v>0.96534103246812875</v>
      </c>
      <c r="AG65" s="489"/>
    </row>
    <row r="66" spans="1:33" ht="15.75" customHeight="1">
      <c r="A66" s="496" t="s">
        <v>2072</v>
      </c>
      <c r="B66" s="355" t="s">
        <v>80</v>
      </c>
      <c r="C66" s="490" t="s">
        <v>115</v>
      </c>
      <c r="D66" s="490"/>
      <c r="E66" s="42">
        <v>20.2</v>
      </c>
      <c r="F66" s="355">
        <v>1472</v>
      </c>
      <c r="G66" s="348">
        <f t="shared" ref="G66:G70" si="43">E66*F66</f>
        <v>29734.399999999998</v>
      </c>
      <c r="H66" s="357" t="s">
        <v>79</v>
      </c>
      <c r="I66" s="353">
        <v>19</v>
      </c>
      <c r="J66" s="37">
        <v>2400</v>
      </c>
      <c r="K66" s="17">
        <f t="shared" si="1"/>
        <v>126.31578947368421</v>
      </c>
      <c r="L66" s="353">
        <v>19</v>
      </c>
      <c r="M66" s="18">
        <f t="shared" ref="M66:M70" si="44">F66/V66*60</f>
        <v>2324.2105263157891</v>
      </c>
      <c r="N66" s="17">
        <f t="shared" si="3"/>
        <v>122.32686980609417</v>
      </c>
      <c r="O66" s="19">
        <f t="shared" si="4"/>
        <v>0</v>
      </c>
      <c r="P66" s="20">
        <f t="shared" si="5"/>
        <v>-3.9889196675900394</v>
      </c>
      <c r="Q66" s="349">
        <f t="shared" si="6"/>
        <v>0.96842105263157885</v>
      </c>
      <c r="R66" s="489">
        <f>Q71</f>
        <v>0.95677237477752375</v>
      </c>
      <c r="S66" s="40">
        <v>8.3333333333333329E-2</v>
      </c>
      <c r="T66" s="40">
        <v>0.10972222222222222</v>
      </c>
      <c r="U66" s="28"/>
      <c r="V66" s="354">
        <f t="shared" ref="V66:V70" si="45">(T66-S66)*24*60</f>
        <v>38.000000000000007</v>
      </c>
      <c r="W66" s="23">
        <f>T66</f>
        <v>0.10972222222222222</v>
      </c>
      <c r="X66" s="23">
        <f>S67</f>
        <v>0.12916666666666668</v>
      </c>
      <c r="Y66" s="23"/>
      <c r="Z66" s="23"/>
      <c r="AA66" s="491"/>
      <c r="AB66" s="491"/>
      <c r="AC66" s="154">
        <v>6</v>
      </c>
      <c r="AD66" s="25"/>
      <c r="AE66" s="19">
        <f t="shared" si="8"/>
        <v>-75.789473684210861</v>
      </c>
      <c r="AF66" s="349">
        <f t="shared" si="9"/>
        <v>0.96842105263157885</v>
      </c>
      <c r="AG66" s="489">
        <f>AF71</f>
        <v>0.95677237477752364</v>
      </c>
    </row>
    <row r="67" spans="1:33" ht="15.75" customHeight="1">
      <c r="A67" s="497" t="s">
        <v>2072</v>
      </c>
      <c r="B67" s="355" t="s">
        <v>80</v>
      </c>
      <c r="C67" s="490" t="s">
        <v>116</v>
      </c>
      <c r="D67" s="490"/>
      <c r="E67" s="42">
        <v>20.52</v>
      </c>
      <c r="F67" s="355">
        <v>2305</v>
      </c>
      <c r="G67" s="348">
        <f t="shared" si="43"/>
        <v>47298.6</v>
      </c>
      <c r="H67" s="357" t="s">
        <v>79</v>
      </c>
      <c r="I67" s="353">
        <v>18</v>
      </c>
      <c r="J67" s="37">
        <v>2400</v>
      </c>
      <c r="K67" s="17">
        <f t="shared" si="1"/>
        <v>133.33333333333334</v>
      </c>
      <c r="L67" s="353">
        <v>18</v>
      </c>
      <c r="M67" s="18">
        <f t="shared" si="44"/>
        <v>2305.0000000000009</v>
      </c>
      <c r="N67" s="17">
        <f t="shared" si="3"/>
        <v>128.0555555555556</v>
      </c>
      <c r="O67" s="19">
        <f t="shared" si="4"/>
        <v>0</v>
      </c>
      <c r="P67" s="20">
        <f t="shared" si="5"/>
        <v>-5.277777777777743</v>
      </c>
      <c r="Q67" s="349">
        <f t="shared" si="6"/>
        <v>0.96041666666666692</v>
      </c>
      <c r="R67" s="489"/>
      <c r="S67" s="40">
        <v>0.12916666666666668</v>
      </c>
      <c r="T67" s="40">
        <v>0.17083333333333334</v>
      </c>
      <c r="U67" s="348">
        <f t="shared" ref="U67:U70" si="46">(S67-T66)*24*60</f>
        <v>28.000000000000021</v>
      </c>
      <c r="V67" s="354">
        <f t="shared" si="45"/>
        <v>59.999999999999986</v>
      </c>
      <c r="W67" s="23"/>
      <c r="X67" s="23"/>
      <c r="Y67" s="23"/>
      <c r="Z67" s="23"/>
      <c r="AA67" s="491"/>
      <c r="AB67" s="491"/>
      <c r="AC67" s="154"/>
      <c r="AD67" s="25"/>
      <c r="AE67" s="19">
        <f t="shared" si="8"/>
        <v>-94.999999999999091</v>
      </c>
      <c r="AF67" s="349">
        <f t="shared" si="9"/>
        <v>0.96041666666666703</v>
      </c>
      <c r="AG67" s="489"/>
    </row>
    <row r="68" spans="1:33" ht="15.75" customHeight="1">
      <c r="A68" s="497" t="s">
        <v>75</v>
      </c>
      <c r="B68" s="355" t="s">
        <v>80</v>
      </c>
      <c r="C68" s="490" t="s">
        <v>119</v>
      </c>
      <c r="D68" s="490"/>
      <c r="E68" s="42">
        <v>19.02</v>
      </c>
      <c r="F68" s="355">
        <v>7007</v>
      </c>
      <c r="G68" s="348">
        <f t="shared" si="43"/>
        <v>133273.13999999998</v>
      </c>
      <c r="H68" s="357" t="s">
        <v>79</v>
      </c>
      <c r="I68" s="353">
        <v>15</v>
      </c>
      <c r="J68" s="37">
        <v>2400</v>
      </c>
      <c r="K68" s="17">
        <f t="shared" si="1"/>
        <v>160</v>
      </c>
      <c r="L68" s="353">
        <v>15</v>
      </c>
      <c r="M68" s="18">
        <f t="shared" si="44"/>
        <v>2284.891304347826</v>
      </c>
      <c r="N68" s="17">
        <f t="shared" si="3"/>
        <v>152.32608695652172</v>
      </c>
      <c r="O68" s="19">
        <f t="shared" si="4"/>
        <v>0</v>
      </c>
      <c r="P68" s="20">
        <f t="shared" si="5"/>
        <v>-7.6739130434782794</v>
      </c>
      <c r="Q68" s="349">
        <f t="shared" si="6"/>
        <v>0.95203804347826071</v>
      </c>
      <c r="R68" s="489"/>
      <c r="S68" s="40">
        <v>0.1763888888888889</v>
      </c>
      <c r="T68" s="40">
        <v>0.3041666666666667</v>
      </c>
      <c r="U68" s="348">
        <f t="shared" si="46"/>
        <v>8.0000000000000107</v>
      </c>
      <c r="V68" s="354">
        <f t="shared" si="45"/>
        <v>184.00000000000003</v>
      </c>
      <c r="W68" s="23"/>
      <c r="X68" s="23"/>
      <c r="Y68" s="23"/>
      <c r="Z68" s="23"/>
      <c r="AA68" s="491"/>
      <c r="AB68" s="491"/>
      <c r="AC68" s="154"/>
      <c r="AD68" s="25"/>
      <c r="AE68" s="19">
        <f t="shared" si="8"/>
        <v>-115.10869565217399</v>
      </c>
      <c r="AF68" s="349">
        <f t="shared" si="9"/>
        <v>0.95203804347826082</v>
      </c>
      <c r="AG68" s="489"/>
    </row>
    <row r="69" spans="1:33" ht="15.75" customHeight="1">
      <c r="A69" s="497" t="s">
        <v>2073</v>
      </c>
      <c r="B69" s="355" t="s">
        <v>80</v>
      </c>
      <c r="C69" s="490" t="s">
        <v>117</v>
      </c>
      <c r="D69" s="490"/>
      <c r="E69" s="42">
        <v>24.43</v>
      </c>
      <c r="F69" s="355">
        <v>4561</v>
      </c>
      <c r="G69" s="348">
        <f t="shared" si="43"/>
        <v>111425.23</v>
      </c>
      <c r="H69" s="357" t="s">
        <v>79</v>
      </c>
      <c r="I69" s="353">
        <v>14</v>
      </c>
      <c r="J69" s="37">
        <v>2400</v>
      </c>
      <c r="K69" s="17">
        <f t="shared" ref="K69:K71" si="47">J69/I69</f>
        <v>171.42857142857142</v>
      </c>
      <c r="L69" s="353">
        <v>14</v>
      </c>
      <c r="M69" s="18">
        <f t="shared" si="44"/>
        <v>2280.5000000000005</v>
      </c>
      <c r="N69" s="17">
        <f t="shared" ref="N69:N71" si="48">M69/L69</f>
        <v>162.89285714285717</v>
      </c>
      <c r="O69" s="19">
        <f t="shared" ref="O69:O71" si="49">L69-I69</f>
        <v>0</v>
      </c>
      <c r="P69" s="20">
        <f t="shared" ref="P69:P71" si="50">N69-K69</f>
        <v>-8.5357142857142492</v>
      </c>
      <c r="Q69" s="349">
        <f t="shared" ref="Q69:Q71" si="51">N69/K69</f>
        <v>0.95020833333333354</v>
      </c>
      <c r="R69" s="489"/>
      <c r="S69" s="40">
        <v>0.30833333333333335</v>
      </c>
      <c r="T69" s="40">
        <v>0.39166666666666666</v>
      </c>
      <c r="U69" s="348">
        <f t="shared" si="46"/>
        <v>5.9999999999999787</v>
      </c>
      <c r="V69" s="354">
        <f t="shared" si="45"/>
        <v>119.99999999999997</v>
      </c>
      <c r="W69" s="23"/>
      <c r="X69" s="23"/>
      <c r="Y69" s="23"/>
      <c r="Z69" s="23"/>
      <c r="AA69" s="491"/>
      <c r="AB69" s="491"/>
      <c r="AC69" s="154"/>
      <c r="AD69" s="25"/>
      <c r="AE69" s="19">
        <f t="shared" ref="AE69:AE71" si="52">M69-J69</f>
        <v>-119.49999999999955</v>
      </c>
      <c r="AF69" s="349">
        <f t="shared" ref="AF69:AF71" si="53">M69/J69</f>
        <v>0.95020833333333354</v>
      </c>
      <c r="AG69" s="489"/>
    </row>
    <row r="70" spans="1:33" ht="15.75" customHeight="1">
      <c r="A70" s="497" t="s">
        <v>75</v>
      </c>
      <c r="B70" s="355" t="s">
        <v>80</v>
      </c>
      <c r="C70" s="490" t="s">
        <v>118</v>
      </c>
      <c r="D70" s="490"/>
      <c r="E70" s="42">
        <v>20.21</v>
      </c>
      <c r="F70" s="355">
        <v>2744</v>
      </c>
      <c r="G70" s="348">
        <f t="shared" si="43"/>
        <v>55456.240000000005</v>
      </c>
      <c r="H70" s="357" t="s">
        <v>79</v>
      </c>
      <c r="I70" s="353">
        <v>16</v>
      </c>
      <c r="J70" s="37">
        <v>2400</v>
      </c>
      <c r="K70" s="17">
        <f t="shared" si="47"/>
        <v>150</v>
      </c>
      <c r="L70" s="353">
        <v>16</v>
      </c>
      <c r="M70" s="18">
        <f t="shared" si="44"/>
        <v>2286.6666666666674</v>
      </c>
      <c r="N70" s="17">
        <f t="shared" si="48"/>
        <v>142.91666666666671</v>
      </c>
      <c r="O70" s="19">
        <f t="shared" si="49"/>
        <v>0</v>
      </c>
      <c r="P70" s="20">
        <f t="shared" si="50"/>
        <v>-7.083333333333286</v>
      </c>
      <c r="Q70" s="349">
        <f t="shared" si="51"/>
        <v>0.95277777777777806</v>
      </c>
      <c r="R70" s="489"/>
      <c r="S70" s="40">
        <v>0.39513888888888887</v>
      </c>
      <c r="T70" s="40">
        <v>0.44513888888888886</v>
      </c>
      <c r="U70" s="348">
        <f t="shared" si="46"/>
        <v>4.9999999999999822</v>
      </c>
      <c r="V70" s="354">
        <f t="shared" si="45"/>
        <v>71.999999999999986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52"/>
        <v>-113.33333333333258</v>
      </c>
      <c r="AF70" s="349">
        <f t="shared" si="53"/>
        <v>0.95277777777777806</v>
      </c>
      <c r="AG70" s="489"/>
    </row>
    <row r="71" spans="1:33" ht="16.5" customHeight="1">
      <c r="A71" s="498" t="s">
        <v>2072</v>
      </c>
      <c r="B71" s="42" t="s">
        <v>2052</v>
      </c>
      <c r="C71" s="492"/>
      <c r="D71" s="493"/>
      <c r="E71" s="350"/>
      <c r="F71" s="44"/>
      <c r="G71" s="17"/>
      <c r="H71" s="355"/>
      <c r="I71" s="30">
        <v>16.399999999999999</v>
      </c>
      <c r="J71" s="37">
        <v>2400</v>
      </c>
      <c r="K71" s="17">
        <f t="shared" si="47"/>
        <v>146.34146341463415</v>
      </c>
      <c r="L71" s="30">
        <v>16.399999999999999</v>
      </c>
      <c r="M71" s="18">
        <f>AVERAGE(M66:M70)</f>
        <v>2296.2536994660568</v>
      </c>
      <c r="N71" s="17">
        <f t="shared" si="48"/>
        <v>140.01546947963763</v>
      </c>
      <c r="O71" s="19">
        <f t="shared" si="49"/>
        <v>0</v>
      </c>
      <c r="P71" s="20">
        <f t="shared" si="50"/>
        <v>-6.325993934996518</v>
      </c>
      <c r="Q71" s="349">
        <f t="shared" si="51"/>
        <v>0.95677237477752375</v>
      </c>
      <c r="R71" s="489"/>
      <c r="S71" s="40"/>
      <c r="T71" s="40"/>
      <c r="U71" s="17"/>
      <c r="V71" s="354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v>6</v>
      </c>
      <c r="AD71" s="31">
        <f>SUM(AD66:AD70)</f>
        <v>0</v>
      </c>
      <c r="AE71" s="19">
        <f t="shared" si="52"/>
        <v>-103.74630053394321</v>
      </c>
      <c r="AF71" s="349">
        <f t="shared" si="53"/>
        <v>0.95677237477752364</v>
      </c>
      <c r="AG71" s="489"/>
    </row>
    <row r="72" spans="1:33">
      <c r="B72" s="38"/>
      <c r="C72" s="38"/>
      <c r="D72" s="250"/>
      <c r="E72" s="250"/>
      <c r="F72" s="38"/>
    </row>
    <row r="73" spans="1:33">
      <c r="B73" s="38"/>
      <c r="C73" s="38"/>
      <c r="D73" s="38"/>
      <c r="E73" s="38"/>
      <c r="F73" s="38"/>
    </row>
    <row r="74" spans="1:33">
      <c r="B74" s="38"/>
      <c r="C74" s="38"/>
      <c r="D74" s="38"/>
      <c r="E74" s="38"/>
      <c r="F74" s="38"/>
    </row>
    <row r="75" spans="1:33">
      <c r="B75" s="38"/>
      <c r="C75" s="38"/>
      <c r="D75" s="38"/>
      <c r="E75" s="38"/>
      <c r="F75" s="38"/>
    </row>
    <row r="76" spans="1:33">
      <c r="B76" s="38"/>
      <c r="C76" s="38"/>
      <c r="D76" s="38"/>
      <c r="E76" s="38"/>
      <c r="F76" s="38"/>
    </row>
    <row r="77" spans="1:33">
      <c r="B77" s="38"/>
      <c r="C77" s="38"/>
      <c r="D77" s="38"/>
      <c r="E77" s="38"/>
      <c r="F77" s="38"/>
    </row>
  </sheetData>
  <mergeCells count="19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4:A20"/>
    <mergeCell ref="C14:D14"/>
    <mergeCell ref="R14:R20"/>
    <mergeCell ref="AA14:AB14"/>
    <mergeCell ref="AG14:AG20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G21:AG28"/>
    <mergeCell ref="C22:D22"/>
    <mergeCell ref="AA22:AB22"/>
    <mergeCell ref="C23:D23"/>
    <mergeCell ref="AA23:AB23"/>
    <mergeCell ref="C24:D24"/>
    <mergeCell ref="C18:D18"/>
    <mergeCell ref="AA18:AB18"/>
    <mergeCell ref="C19:D19"/>
    <mergeCell ref="AA19:AB19"/>
    <mergeCell ref="C20:D20"/>
    <mergeCell ref="AA20:AB20"/>
    <mergeCell ref="C28:D28"/>
    <mergeCell ref="AA28:AB28"/>
    <mergeCell ref="A29:A34"/>
    <mergeCell ref="C29:D29"/>
    <mergeCell ref="R29:R34"/>
    <mergeCell ref="AA29:AB29"/>
    <mergeCell ref="AA34:AB34"/>
    <mergeCell ref="AA24:AB24"/>
    <mergeCell ref="C25:D25"/>
    <mergeCell ref="AA25:AB25"/>
    <mergeCell ref="C26:D26"/>
    <mergeCell ref="AA26:AB26"/>
    <mergeCell ref="C27:D27"/>
    <mergeCell ref="AA27:AB27"/>
    <mergeCell ref="A21:A28"/>
    <mergeCell ref="C21:D21"/>
    <mergeCell ref="R21:R28"/>
    <mergeCell ref="AA21:AB21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G42:AG49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C47:D47"/>
    <mergeCell ref="AA47:AB47"/>
    <mergeCell ref="C48:D48"/>
    <mergeCell ref="AA48:AB48"/>
    <mergeCell ref="C62:D62"/>
    <mergeCell ref="AA62:AB62"/>
    <mergeCell ref="C63:D63"/>
    <mergeCell ref="AA63:AB63"/>
    <mergeCell ref="C64:D64"/>
    <mergeCell ref="AA64:AB64"/>
    <mergeCell ref="A42:A49"/>
    <mergeCell ref="C42:D42"/>
    <mergeCell ref="R42:R49"/>
    <mergeCell ref="AA42:AB42"/>
    <mergeCell ref="C49:D49"/>
    <mergeCell ref="AA49:AB49"/>
    <mergeCell ref="A50:A59"/>
    <mergeCell ref="C50:D50"/>
    <mergeCell ref="R50:R59"/>
    <mergeCell ref="AA50:AB50"/>
    <mergeCell ref="AA56:AB56"/>
    <mergeCell ref="C57:D57"/>
    <mergeCell ref="AA57:AB57"/>
    <mergeCell ref="C58:D58"/>
    <mergeCell ref="AA58:AB58"/>
    <mergeCell ref="C59:D59"/>
    <mergeCell ref="AA59:AB59"/>
    <mergeCell ref="AG50:AG59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C65:D65"/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60:A65"/>
    <mergeCell ref="C60:D60"/>
    <mergeCell ref="R60:R65"/>
    <mergeCell ref="AA60:AB60"/>
    <mergeCell ref="AA65:AB65"/>
    <mergeCell ref="AG60:AG65"/>
    <mergeCell ref="C61:D61"/>
    <mergeCell ref="AA61:AB61"/>
  </mergeCells>
  <phoneticPr fontId="3" type="noConversion"/>
  <conditionalFormatting sqref="O59:O60 O63:O71 O5:O11 O13:O15 O49:O55 O20:O47">
    <cfRule type="cellIs" dxfId="1907" priority="59" operator="greaterThan">
      <formula>0</formula>
    </cfRule>
  </conditionalFormatting>
  <conditionalFormatting sqref="P5:P9 P63:P64 AE63:AE64 P66:P70 P29:P33 P60 P11 P13:P15 P21:P27 P50:P55 P35:P47 AE5:AE60 AE66:AE71">
    <cfRule type="cellIs" dxfId="1906" priority="63" operator="lessThan">
      <formula>0</formula>
    </cfRule>
  </conditionalFormatting>
  <conditionalFormatting sqref="AF63:AF64 Q59:Q60 Q63:Q71 Q5:Q11 Q13:Q15 Q49:Q55 Q20:Q47 AF5:AF60 AF66:AF71">
    <cfRule type="cellIs" dxfId="1905" priority="60" operator="greaterThan">
      <formula>1</formula>
    </cfRule>
    <cfRule type="cellIs" dxfId="1904" priority="61" operator="lessThan">
      <formula>0.8</formula>
    </cfRule>
  </conditionalFormatting>
  <conditionalFormatting sqref="AG14:AG15 R14:R15 AG63 R20:R26 AG20:AG26 AG59:AG60 R59:R60 R63:R71 AG5:AG11 R5:R11 R28:R47 AG28:AG47 AG49:AG55 R49:R55">
    <cfRule type="cellIs" dxfId="1903" priority="65" operator="lessThan">
      <formula>0.8</formula>
    </cfRule>
  </conditionalFormatting>
  <conditionalFormatting sqref="AG42">
    <cfRule type="cellIs" dxfId="1902" priority="67" operator="lessThan">
      <formula>0.8</formula>
    </cfRule>
  </conditionalFormatting>
  <conditionalFormatting sqref="AG21:AG26">
    <cfRule type="cellIs" dxfId="1901" priority="64" operator="lessThan">
      <formula>0.8</formula>
    </cfRule>
  </conditionalFormatting>
  <conditionalFormatting sqref="AG29">
    <cfRule type="cellIs" dxfId="1900" priority="66" operator="lessThan">
      <formula>0.8</formula>
    </cfRule>
  </conditionalFormatting>
  <conditionalFormatting sqref="AG35:AG40">
    <cfRule type="cellIs" dxfId="1899" priority="62" operator="lessThan">
      <formula>0.8</formula>
    </cfRule>
  </conditionalFormatting>
  <conditionalFormatting sqref="AE65">
    <cfRule type="cellIs" dxfId="1898" priority="58" operator="lessThan">
      <formula>0</formula>
    </cfRule>
  </conditionalFormatting>
  <conditionalFormatting sqref="AF65">
    <cfRule type="cellIs" dxfId="1897" priority="56" operator="greaterThan">
      <formula>1</formula>
    </cfRule>
    <cfRule type="cellIs" dxfId="1896" priority="57" operator="lessThan">
      <formula>0.8</formula>
    </cfRule>
  </conditionalFormatting>
  <conditionalFormatting sqref="O16:O17">
    <cfRule type="cellIs" dxfId="1895" priority="51" operator="greaterThan">
      <formula>0</formula>
    </cfRule>
  </conditionalFormatting>
  <conditionalFormatting sqref="P16:P17">
    <cfRule type="cellIs" dxfId="1894" priority="54" operator="lessThan">
      <formula>0</formula>
    </cfRule>
  </conditionalFormatting>
  <conditionalFormatting sqref="Q16:Q17">
    <cfRule type="cellIs" dxfId="1893" priority="52" operator="greaterThan">
      <formula>1</formula>
    </cfRule>
    <cfRule type="cellIs" dxfId="1892" priority="53" operator="lessThan">
      <formula>0.8</formula>
    </cfRule>
  </conditionalFormatting>
  <conditionalFormatting sqref="R16:R17 AG16:AG17">
    <cfRule type="cellIs" dxfId="1891" priority="55" operator="lessThan">
      <formula>0.8</formula>
    </cfRule>
  </conditionalFormatting>
  <conditionalFormatting sqref="O12">
    <cfRule type="cellIs" dxfId="1890" priority="47" operator="greaterThan">
      <formula>0</formula>
    </cfRule>
  </conditionalFormatting>
  <conditionalFormatting sqref="P12">
    <cfRule type="cellIs" dxfId="1889" priority="50" operator="lessThan">
      <formula>0</formula>
    </cfRule>
  </conditionalFormatting>
  <conditionalFormatting sqref="Q12">
    <cfRule type="cellIs" dxfId="1888" priority="48" operator="greaterThan">
      <formula>1</formula>
    </cfRule>
    <cfRule type="cellIs" dxfId="1887" priority="49" operator="lessThan">
      <formula>0.8</formula>
    </cfRule>
  </conditionalFormatting>
  <conditionalFormatting sqref="O56">
    <cfRule type="cellIs" dxfId="1886" priority="42" operator="greaterThan">
      <formula>0</formula>
    </cfRule>
  </conditionalFormatting>
  <conditionalFormatting sqref="P56">
    <cfRule type="cellIs" dxfId="1885" priority="45" operator="lessThan">
      <formula>0</formula>
    </cfRule>
  </conditionalFormatting>
  <conditionalFormatting sqref="Q56">
    <cfRule type="cellIs" dxfId="1884" priority="43" operator="greaterThan">
      <formula>1</formula>
    </cfRule>
    <cfRule type="cellIs" dxfId="1883" priority="44" operator="lessThan">
      <formula>0.8</formula>
    </cfRule>
  </conditionalFormatting>
  <conditionalFormatting sqref="R56 AG56">
    <cfRule type="cellIs" dxfId="1882" priority="46" operator="lessThan">
      <formula>0.8</formula>
    </cfRule>
  </conditionalFormatting>
  <conditionalFormatting sqref="O62">
    <cfRule type="cellIs" dxfId="1881" priority="37" operator="greaterThan">
      <formula>0</formula>
    </cfRule>
  </conditionalFormatting>
  <conditionalFormatting sqref="P62 AE62">
    <cfRule type="cellIs" dxfId="1880" priority="40" operator="lessThan">
      <formula>0</formula>
    </cfRule>
  </conditionalFormatting>
  <conditionalFormatting sqref="Q62 AF62">
    <cfRule type="cellIs" dxfId="1879" priority="38" operator="greaterThan">
      <formula>1</formula>
    </cfRule>
    <cfRule type="cellIs" dxfId="1878" priority="39" operator="lessThan">
      <formula>0.8</formula>
    </cfRule>
  </conditionalFormatting>
  <conditionalFormatting sqref="R62 AG62">
    <cfRule type="cellIs" dxfId="1877" priority="41" operator="lessThan">
      <formula>0.8</formula>
    </cfRule>
  </conditionalFormatting>
  <conditionalFormatting sqref="O18:O19">
    <cfRule type="cellIs" dxfId="1876" priority="32" operator="greaterThan">
      <formula>0</formula>
    </cfRule>
  </conditionalFormatting>
  <conditionalFormatting sqref="P18:P19">
    <cfRule type="cellIs" dxfId="1875" priority="35" operator="lessThan">
      <formula>0</formula>
    </cfRule>
  </conditionalFormatting>
  <conditionalFormatting sqref="Q18:Q19">
    <cfRule type="cellIs" dxfId="1874" priority="33" operator="greaterThan">
      <formula>1</formula>
    </cfRule>
    <cfRule type="cellIs" dxfId="1873" priority="34" operator="lessThan">
      <formula>0.8</formula>
    </cfRule>
  </conditionalFormatting>
  <conditionalFormatting sqref="R18:R19 AG18:AG19">
    <cfRule type="cellIs" dxfId="1872" priority="36" operator="lessThan">
      <formula>0.8</formula>
    </cfRule>
  </conditionalFormatting>
  <conditionalFormatting sqref="O48">
    <cfRule type="cellIs" dxfId="1871" priority="26" operator="greaterThan">
      <formula>0</formula>
    </cfRule>
  </conditionalFormatting>
  <conditionalFormatting sqref="P48">
    <cfRule type="cellIs" dxfId="1870" priority="30" operator="lessThan">
      <formula>0</formula>
    </cfRule>
  </conditionalFormatting>
  <conditionalFormatting sqref="Q48">
    <cfRule type="cellIs" dxfId="1869" priority="27" operator="greaterThan">
      <formula>1</formula>
    </cfRule>
    <cfRule type="cellIs" dxfId="1868" priority="28" operator="lessThan">
      <formula>0.8</formula>
    </cfRule>
  </conditionalFormatting>
  <conditionalFormatting sqref="R48 AG48">
    <cfRule type="cellIs" dxfId="1867" priority="31" operator="lessThan">
      <formula>0.8</formula>
    </cfRule>
  </conditionalFormatting>
  <conditionalFormatting sqref="AG48">
    <cfRule type="cellIs" dxfId="1866" priority="29" operator="lessThan">
      <formula>0.8</formula>
    </cfRule>
  </conditionalFormatting>
  <conditionalFormatting sqref="O57">
    <cfRule type="cellIs" dxfId="1865" priority="21" operator="greaterThan">
      <formula>0</formula>
    </cfRule>
  </conditionalFormatting>
  <conditionalFormatting sqref="P57">
    <cfRule type="cellIs" dxfId="1864" priority="24" operator="lessThan">
      <formula>0</formula>
    </cfRule>
  </conditionalFormatting>
  <conditionalFormatting sqref="Q57">
    <cfRule type="cellIs" dxfId="1863" priority="22" operator="greaterThan">
      <formula>1</formula>
    </cfRule>
    <cfRule type="cellIs" dxfId="1862" priority="23" operator="lessThan">
      <formula>0.8</formula>
    </cfRule>
  </conditionalFormatting>
  <conditionalFormatting sqref="AG57 R57">
    <cfRule type="cellIs" dxfId="1861" priority="25" operator="lessThan">
      <formula>0.8</formula>
    </cfRule>
  </conditionalFormatting>
  <conditionalFormatting sqref="R27 AG27">
    <cfRule type="cellIs" dxfId="1860" priority="20" operator="lessThan">
      <formula>0.8</formula>
    </cfRule>
  </conditionalFormatting>
  <conditionalFormatting sqref="AG27">
    <cfRule type="cellIs" dxfId="1859" priority="19" operator="lessThan">
      <formula>0.8</formula>
    </cfRule>
  </conditionalFormatting>
  <conditionalFormatting sqref="O61">
    <cfRule type="cellIs" dxfId="1858" priority="14" operator="greaterThan">
      <formula>0</formula>
    </cfRule>
  </conditionalFormatting>
  <conditionalFormatting sqref="P61 AE61">
    <cfRule type="cellIs" dxfId="1857" priority="17" operator="lessThan">
      <formula>0</formula>
    </cfRule>
  </conditionalFormatting>
  <conditionalFormatting sqref="Q61 AF61">
    <cfRule type="cellIs" dxfId="1856" priority="15" operator="greaterThan">
      <formula>1</formula>
    </cfRule>
    <cfRule type="cellIs" dxfId="1855" priority="16" operator="lessThan">
      <formula>0.8</formula>
    </cfRule>
  </conditionalFormatting>
  <conditionalFormatting sqref="R61 AG61">
    <cfRule type="cellIs" dxfId="1854" priority="18" operator="lessThan">
      <formula>0.8</formula>
    </cfRule>
  </conditionalFormatting>
  <conditionalFormatting sqref="P10">
    <cfRule type="cellIs" dxfId="1853" priority="13" operator="lessThan">
      <formula>0</formula>
    </cfRule>
  </conditionalFormatting>
  <conditionalFormatting sqref="P20">
    <cfRule type="cellIs" dxfId="1852" priority="12" operator="lessThan">
      <formula>0</formula>
    </cfRule>
  </conditionalFormatting>
  <conditionalFormatting sqref="P28">
    <cfRule type="cellIs" dxfId="1851" priority="11" operator="lessThan">
      <formula>0</formula>
    </cfRule>
  </conditionalFormatting>
  <conditionalFormatting sqref="P34">
    <cfRule type="cellIs" dxfId="1850" priority="10" operator="lessThan">
      <formula>0</formula>
    </cfRule>
  </conditionalFormatting>
  <conditionalFormatting sqref="P49">
    <cfRule type="cellIs" dxfId="1849" priority="9" operator="lessThan">
      <formula>0</formula>
    </cfRule>
  </conditionalFormatting>
  <conditionalFormatting sqref="P59">
    <cfRule type="cellIs" dxfId="1848" priority="8" operator="lessThan">
      <formula>0</formula>
    </cfRule>
  </conditionalFormatting>
  <conditionalFormatting sqref="P65">
    <cfRule type="cellIs" dxfId="1847" priority="7" operator="lessThan">
      <formula>0</formula>
    </cfRule>
  </conditionalFormatting>
  <conditionalFormatting sqref="P71">
    <cfRule type="cellIs" dxfId="1846" priority="6" operator="lessThan">
      <formula>0</formula>
    </cfRule>
  </conditionalFormatting>
  <conditionalFormatting sqref="O58">
    <cfRule type="cellIs" dxfId="1845" priority="1" operator="greaterThan">
      <formula>0</formula>
    </cfRule>
  </conditionalFormatting>
  <conditionalFormatting sqref="P58">
    <cfRule type="cellIs" dxfId="1844" priority="4" operator="lessThan">
      <formula>0</formula>
    </cfRule>
  </conditionalFormatting>
  <conditionalFormatting sqref="Q58">
    <cfRule type="cellIs" dxfId="1843" priority="2" operator="greaterThan">
      <formula>1</formula>
    </cfRule>
    <cfRule type="cellIs" dxfId="1842" priority="3" operator="lessThan">
      <formula>0.8</formula>
    </cfRule>
  </conditionalFormatting>
  <conditionalFormatting sqref="AG58 R58">
    <cfRule type="cellIs" dxfId="1841" priority="5" operator="lessThan">
      <formula>0.8</formula>
    </cfRule>
  </conditionalFormatting>
  <dataValidations count="1">
    <dataValidation type="list" allowBlank="1" showInputMessage="1" showErrorMessage="1" sqref="AB10 AA5:AB9 AB64 AB12:AB60 AA10:AA64 AA65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C10" sqref="AC10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1873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1874</v>
      </c>
      <c r="C3" s="478" t="str">
        <f>TEXT('0122 4度C'!A2,"yyyy.mm.ddaaaa")</f>
        <v>2026.01.22星期四</v>
      </c>
      <c r="D3" s="479"/>
      <c r="E3" s="56" t="s">
        <v>1875</v>
      </c>
      <c r="F3" s="480">
        <f>'0122 4度C'!D1</f>
        <v>152403</v>
      </c>
      <c r="G3" s="481"/>
      <c r="H3" s="56" t="s">
        <v>1876</v>
      </c>
      <c r="I3" s="482">
        <f>'0122 4度C'!F1</f>
        <v>5166798.3800000008</v>
      </c>
      <c r="J3" s="483"/>
      <c r="K3" s="57"/>
      <c r="L3" s="58"/>
      <c r="M3" s="59"/>
      <c r="N3" s="59"/>
    </row>
    <row r="4" spans="2:17" ht="28.5" customHeight="1">
      <c r="B4" s="484" t="s">
        <v>1877</v>
      </c>
      <c r="C4" s="470" t="s">
        <v>1878</v>
      </c>
      <c r="D4" s="471"/>
      <c r="E4" s="487" t="s">
        <v>1879</v>
      </c>
      <c r="F4" s="488"/>
      <c r="G4" s="487" t="s">
        <v>1134</v>
      </c>
      <c r="H4" s="488"/>
      <c r="I4" s="487" t="s">
        <v>1880</v>
      </c>
      <c r="J4" s="488"/>
      <c r="K4" s="468" t="s">
        <v>1881</v>
      </c>
      <c r="L4" s="469"/>
      <c r="M4" s="469" t="s">
        <v>1882</v>
      </c>
      <c r="N4" s="469"/>
    </row>
    <row r="5" spans="2:17" ht="28.5" customHeight="1">
      <c r="B5" s="485"/>
      <c r="C5" s="470" t="s">
        <v>1883</v>
      </c>
      <c r="D5" s="471"/>
      <c r="E5" s="470" t="s">
        <v>1884</v>
      </c>
      <c r="F5" s="471"/>
      <c r="G5" s="472" t="s">
        <v>1885</v>
      </c>
      <c r="H5" s="473"/>
      <c r="I5" s="474" t="s">
        <v>1886</v>
      </c>
      <c r="J5" s="475"/>
      <c r="K5" s="60" t="s">
        <v>1887</v>
      </c>
      <c r="L5" s="61" t="s">
        <v>1888</v>
      </c>
      <c r="M5" s="60" t="s">
        <v>1887</v>
      </c>
      <c r="N5" s="61" t="s">
        <v>1889</v>
      </c>
    </row>
    <row r="6" spans="2:17" ht="28.5" customHeight="1">
      <c r="B6" s="485"/>
      <c r="C6" s="470" t="s">
        <v>144</v>
      </c>
      <c r="D6" s="471"/>
      <c r="E6" s="462">
        <f>AVERAGE(D13:M13)</f>
        <v>143.23482450022198</v>
      </c>
      <c r="F6" s="463">
        <f>AVERAGE(D31:O31,D13:J13)</f>
        <v>145.36475483797076</v>
      </c>
      <c r="G6" s="464">
        <f>AVERAGE(D13:J13)</f>
        <v>145.36475483797076</v>
      </c>
      <c r="H6" s="465"/>
      <c r="I6" s="464">
        <f>AVERAGE(K13:M13)</f>
        <v>138.26498704547487</v>
      </c>
      <c r="J6" s="465"/>
      <c r="K6" s="466">
        <f>'0122 4度C'!Y2</f>
        <v>0</v>
      </c>
      <c r="L6" s="451">
        <f>'0122 4度C'!Z2</f>
        <v>0</v>
      </c>
      <c r="M6" s="467">
        <f>'0122 4度C'!AC2</f>
        <v>38</v>
      </c>
      <c r="N6" s="451">
        <f>'0122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137.16254792285446</v>
      </c>
      <c r="F7" s="455">
        <f>AVERAGE(D32:O32,D14:J14)</f>
        <v>139.32395023500658</v>
      </c>
      <c r="G7" s="456">
        <f>AVERAGE(D14:J14)</f>
        <v>139.32395023500658</v>
      </c>
      <c r="H7" s="457"/>
      <c r="I7" s="456">
        <f>AVERAGE(K14:M14)</f>
        <v>132.11927586116619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0.9572854494644718</v>
      </c>
      <c r="F8" s="459">
        <f>AVERAGE(D15:J15,D33:O33)</f>
        <v>0.95804228125226132</v>
      </c>
      <c r="G8" s="460">
        <f>AVERAGE(D15:J15)</f>
        <v>0.95804228125226132</v>
      </c>
      <c r="H8" s="461"/>
      <c r="I8" s="460">
        <f>AVERAGE(K15:M15)</f>
        <v>0.95551950862629598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1890</v>
      </c>
      <c r="N9" s="59"/>
      <c r="O9" s="59"/>
      <c r="P9" s="59"/>
      <c r="Q9" s="59"/>
    </row>
    <row r="10" spans="2:17" ht="30" customHeight="1">
      <c r="B10" s="434" t="s">
        <v>1891</v>
      </c>
      <c r="C10" s="435"/>
      <c r="D10" s="436" t="s">
        <v>1892</v>
      </c>
      <c r="E10" s="437"/>
      <c r="F10" s="437"/>
      <c r="G10" s="437"/>
      <c r="H10" s="437"/>
      <c r="I10" s="437"/>
      <c r="J10" s="438"/>
      <c r="K10" s="439" t="s">
        <v>1893</v>
      </c>
      <c r="L10" s="440"/>
      <c r="M10" s="441"/>
      <c r="P10" s="65"/>
      <c r="Q10" s="65"/>
    </row>
    <row r="11" spans="2:17" ht="17.25" customHeight="1">
      <c r="B11" s="442" t="s">
        <v>1894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1895</v>
      </c>
      <c r="C13" s="72" t="s">
        <v>1896</v>
      </c>
      <c r="D13" s="73">
        <f>SUMIFS('0122 4度C'!$K:$K,'0122 4度C'!$A:$A,"新豐6線",'0122 4度C'!$B:$B,"平均")</f>
        <v>113.63636363636363</v>
      </c>
      <c r="E13" s="74">
        <f>SUMIFS('0122 4度C'!$K:$K,'0122 4度C'!$A:$A,"新豐2線",'0122 4度C'!$B:$B,"平均")</f>
        <v>83.333333333333329</v>
      </c>
      <c r="F13" s="75">
        <f>SUMIFS('0122 4度C'!$K:$K,'0122 4度C'!$A:$A,"新豐5線",'0122 4度C'!$B:$B,"平均")</f>
        <v>106.79611650485435</v>
      </c>
      <c r="G13" s="75">
        <f>SUMIFS('0122 4度C'!$K:$K,'0122 4度C'!$A:$A,"新豐7線",'0122 4度C'!$B:$B,"平均")</f>
        <v>122.72727272727273</v>
      </c>
      <c r="H13" s="75">
        <f>SUMIFS('0122 4度C'!$K:$K,'0122 4度C'!$A:$A,"新豐3線",'0122 4度C'!$B:$B,"平均")</f>
        <v>300</v>
      </c>
      <c r="I13" s="75">
        <f>SUMIFS('0122 4度C'!$K:$K,'0122 4度C'!$A:$A,"新豐1線",'0122 4度C'!$B:$B,"平均")</f>
        <v>102.38095238095238</v>
      </c>
      <c r="J13" s="76">
        <f>SUMIFS('0122 4度C'!$K:$K,'0122 4度C'!$A:$A,"新豐10線",'0122 4度C'!$B:$B,"平均")</f>
        <v>188.67924528301887</v>
      </c>
      <c r="K13" s="77">
        <f>SUMIFS('0122 4度C'!$K:$K,'0122 4度C'!$A:$A,"新豐8線",'0122 4度C'!$B:$B,"平均")</f>
        <v>131.86813186813188</v>
      </c>
      <c r="L13" s="78">
        <f>SUMIFS('0122 4度C'!$K:$K,'0122 4度C'!$A:$A,"新豐9線",'0122 4度C'!$B:$B,"平均")</f>
        <v>136.58536585365852</v>
      </c>
      <c r="M13" s="76">
        <f>SUMIFS('0122 4度C'!$K:$K,'0122 4度C'!$A:$A,"新豐4線",'0122 4度C'!$B:$B,"平均")</f>
        <v>146.34146341463415</v>
      </c>
    </row>
    <row r="14" spans="2:17" ht="39.6" customHeight="1">
      <c r="B14" s="447"/>
      <c r="C14" s="79" t="s">
        <v>1897</v>
      </c>
      <c r="D14" s="80">
        <f>SUMIFS('0122 4度C'!$N:$N,'0122 4度C'!$A:$A,"新豐6線",'0122 4度C'!$B:$B,"平均")</f>
        <v>110.3240665584414</v>
      </c>
      <c r="E14" s="81">
        <f>SUMIFS('0122 4度C'!$N:$N,'0122 4度C'!$A:$A,"新豐2線",'0122 4度C'!$B:$B,"平均")</f>
        <v>79.463763575605697</v>
      </c>
      <c r="F14" s="81">
        <f>SUMIFS('0122 4度C'!$N:$N,'0122 4度C'!$A:$A,"新豐5線",'0122 4度C'!$B:$B,"平均")</f>
        <v>102.75926264440423</v>
      </c>
      <c r="G14" s="81">
        <f>SUMIFS('0122 4度C'!$N:$N,'0122 4度C'!$A:$A,"新豐7線",'0122 4度C'!$B:$B,"平均")</f>
        <v>118.44609539041727</v>
      </c>
      <c r="H14" s="81">
        <f>SUMIFS('0122 4度C'!$N:$N,'0122 4度C'!$A:$A,"新豐3線",'0122 4度C'!$B:$B,"平均")</f>
        <v>286.99845929680635</v>
      </c>
      <c r="I14" s="81">
        <f>SUMIFS('0122 4度C'!$N:$N,'0122 4度C'!$A:$A,"新豐1線",'0122 4度C'!$B:$B,"平均")</f>
        <v>95.879919464973241</v>
      </c>
      <c r="J14" s="82">
        <f>SUMIFS('0122 4度C'!$N:$N,'0122 4度C'!$A:$A,"新豐10線",'0122 4度C'!$B:$B,"平均")</f>
        <v>181.39608471439783</v>
      </c>
      <c r="K14" s="83">
        <f>SUMIFS('0122 4度C'!$N:$N,'0122 4度C'!$A:$A,"新豐8線",'0122 4度C'!$B:$B,"平均")</f>
        <v>125.9860112043129</v>
      </c>
      <c r="L14" s="84">
        <f>SUMIFS('0122 4度C'!$N:$N,'0122 4度C'!$A:$A,"新豐9線",'0122 4度C'!$B:$B,"平均")</f>
        <v>130.35132768357934</v>
      </c>
      <c r="M14" s="82">
        <f>SUMIFS('0122 4度C'!$N:$N,'0122 4度C'!$A:$A,"新豐4線",'0122 4度C'!$B:$B,"平均")</f>
        <v>140.02048869560625</v>
      </c>
    </row>
    <row r="15" spans="2:17" ht="40.15" customHeight="1">
      <c r="B15" s="448"/>
      <c r="C15" s="85" t="s">
        <v>1898</v>
      </c>
      <c r="D15" s="86">
        <f t="shared" ref="D15:M15" si="0">D14/D13</f>
        <v>0.97085178571428443</v>
      </c>
      <c r="E15" s="87">
        <f t="shared" si="0"/>
        <v>0.95356516290726845</v>
      </c>
      <c r="F15" s="87">
        <f t="shared" si="0"/>
        <v>0.96220036839760337</v>
      </c>
      <c r="G15" s="87">
        <f t="shared" si="0"/>
        <v>0.96511633281080733</v>
      </c>
      <c r="H15" s="87">
        <f t="shared" si="0"/>
        <v>0.95666153098935447</v>
      </c>
      <c r="I15" s="87">
        <f t="shared" si="0"/>
        <v>0.93650153896020372</v>
      </c>
      <c r="J15" s="88">
        <f t="shared" si="0"/>
        <v>0.96139924898630846</v>
      </c>
      <c r="K15" s="86">
        <f t="shared" si="0"/>
        <v>0.9553939182993727</v>
      </c>
      <c r="L15" s="87">
        <f t="shared" si="0"/>
        <v>0.95435793482620601</v>
      </c>
      <c r="M15" s="88">
        <f t="shared" si="0"/>
        <v>0.95680667275330933</v>
      </c>
    </row>
    <row r="16" spans="2:17" ht="17.25" customHeight="1">
      <c r="B16" s="449" t="s">
        <v>1899</v>
      </c>
      <c r="C16" s="89" t="s">
        <v>1900</v>
      </c>
      <c r="D16" s="90">
        <f>VLOOKUP("新豐6線",'0122 4度C'!$A:$T,19,0)</f>
        <v>0.70833333333333337</v>
      </c>
      <c r="E16" s="91">
        <f>VLOOKUP("新豐2線",'0122 4度C'!$A:$T,19,0)</f>
        <v>0.20833333333333334</v>
      </c>
      <c r="F16" s="91">
        <f>VLOOKUP("新豐5線",'0122 4度C'!$A:$T,19,0)</f>
        <v>0.20833333333333334</v>
      </c>
      <c r="G16" s="91">
        <f>VLOOKUP("新豐7線",'0122 4度C'!$A:$T,19,0)</f>
        <v>0.20833333333333334</v>
      </c>
      <c r="H16" s="91">
        <f>VLOOKUP("新豐3線",'0122 4度C'!$A:$T,19,0)</f>
        <v>8.3333333333333329E-2</v>
      </c>
      <c r="I16" s="91">
        <f>VLOOKUP("新豐1線",'0122 4度C'!$A:$T,19,0)</f>
        <v>0.20833333333333334</v>
      </c>
      <c r="J16" s="92">
        <f>VLOOKUP("新豐10線",'0122 4度C'!$A:$T,19,0)</f>
        <v>0.20833333333333334</v>
      </c>
      <c r="K16" s="93">
        <f>VLOOKUP("新豐8線",'0122 4度C'!$A:$T,19,0)</f>
        <v>8.3333333333333329E-2</v>
      </c>
      <c r="L16" s="94">
        <f>VLOOKUP("新豐9線",'0122 4度C'!$A:$T,19,0)</f>
        <v>8.3333333333333329E-2</v>
      </c>
      <c r="M16" s="95">
        <f>VLOOKUP("新豐4線",'0122 4度C'!$A:$T,19,0)</f>
        <v>8.3333333333333329E-2</v>
      </c>
    </row>
    <row r="17" spans="2:13" ht="17.25" customHeight="1">
      <c r="B17" s="450"/>
      <c r="C17" s="89" t="s">
        <v>996</v>
      </c>
      <c r="D17" s="93">
        <f>LOOKUP(2,1/(('0122 4度C'!$A:$A="新豐6線")*('0122 4度C'!$T:$T&lt;&gt;"")),'0122 4度C'!$T:$T)</f>
        <v>0.85138888888888897</v>
      </c>
      <c r="E17" s="91">
        <f>LOOKUP(2,1/(('0122 4度C'!$A:$A="新豐2線")*('0122 4度C'!$T:$T&lt;&gt;"")),'0122 4度C'!$T:$T)</f>
        <v>0.40763888888888883</v>
      </c>
      <c r="F17" s="91">
        <f>LOOKUP(2,1/(('0122 4度C'!$A:$A="新豐5線")*('0122 4度C'!$T:$T&lt;&gt;"")),'0122 4度C'!$T:$T)</f>
        <v>0.84513888888888888</v>
      </c>
      <c r="G17" s="91">
        <f>LOOKUP(2,1/(('0122 4度C'!$A:$A="新豐7線")*('0122 4度C'!$T:$T&lt;&gt;"")),'0122 4度C'!$T:$T)</f>
        <v>0.85138888888888886</v>
      </c>
      <c r="H17" s="91">
        <f>LOOKUP(2,1/(('0122 4度C'!$A:$A="新豐3線")*('0122 4度C'!$T:$T&lt;&gt;"")),'0122 4度C'!$T:$T)</f>
        <v>0.52222222222222214</v>
      </c>
      <c r="I17" s="91">
        <f>LOOKUP(2,1/(('0122 4度C'!$A:$A="新豐1線")*('0122 4度C'!$T:$T&lt;&gt;"")),'0122 4度C'!$T:$T)</f>
        <v>0.84305555555555556</v>
      </c>
      <c r="J17" s="92">
        <f>LOOKUP(2,1/(('0122 4度C'!$A:$A="新豐10線")*('0122 4度C'!$T:$T&lt;&gt;"")),'0122 4度C'!$T:$T)</f>
        <v>0.44444444444444431</v>
      </c>
      <c r="K17" s="90">
        <f>LOOKUP(2,1/(('0122 4度C'!$A:$A="新豐8線")*('0122 4度C'!$T:$T&lt;&gt;"")),'0122 4度C'!$T:$T)</f>
        <v>0.51805555555555549</v>
      </c>
      <c r="L17" s="91">
        <f>LOOKUP(2,1/(('0122 4度C'!$A:$A="新豐9線")*('0122 4度C'!$T:$T&lt;&gt;"")),'0122 4度C'!$T:$T)</f>
        <v>0.63749999999999996</v>
      </c>
      <c r="M17" s="92">
        <f>LOOKUP(2,1/(('0122 4度C'!$A:$A="新豐4線")*('0122 4度C'!$T:$T&lt;&gt;"")),'0122 4度C'!$T:$T)</f>
        <v>0.51180555555555551</v>
      </c>
    </row>
    <row r="18" spans="2:13" ht="17.25" customHeight="1">
      <c r="B18" s="428" t="s">
        <v>1901</v>
      </c>
      <c r="C18" s="96" t="s">
        <v>1902</v>
      </c>
      <c r="D18" s="97">
        <f>SUMIFS('0122 4度C'!$Y:$Y,'0122 4度C'!$A:$A,"新豐6線",'0122 4度C'!$B:$B,"平均")</f>
        <v>0</v>
      </c>
      <c r="E18" s="98">
        <f>SUMIFS('0122 4度C'!$Y:$Y,'0122 4度C'!$A:$A,"新豐2線",'0122 4度C'!$B:$B,"平均")</f>
        <v>0</v>
      </c>
      <c r="F18" s="98">
        <f>SUMIFS('0122 4度C'!$Y:$Y,'0122 4度C'!$A:$A,"新豐5線",'0122 4度C'!$B:$B,"平均")</f>
        <v>0</v>
      </c>
      <c r="G18" s="98">
        <f>SUMIFS('0122 4度C'!$Y:$Y,'0122 4度C'!$A:$A,"新豐7線",'0122 4度C'!$B:$B,"平均")</f>
        <v>0</v>
      </c>
      <c r="H18" s="98">
        <f>SUMIFS('0122 4度C'!$Y:$Y,'0122 4度C'!$A:$A,"新豐3線",'0122 4度C'!$B:$B,"平均")</f>
        <v>0</v>
      </c>
      <c r="I18" s="98">
        <f>SUMIFS('0122 4度C'!$Y:$Y,'0122 4度C'!$A:$A,"新豐1線",'0122 4度C'!$B:$B,"平均")</f>
        <v>0</v>
      </c>
      <c r="J18" s="99">
        <f>SUMIFS('0122 4度C'!$Y:$Y,'0122 4度C'!$A:$A,"新豐10線",'0122 4度C'!$B:$B,"平均")</f>
        <v>0</v>
      </c>
      <c r="K18" s="100">
        <f>SUMIFS('0122 4度C'!$Y:$Y,'0122 4度C'!$A:$A,"新豐8線",'0122 4度C'!$B:$B,"平均")</f>
        <v>0</v>
      </c>
      <c r="L18" s="98">
        <f>SUMIFS('0122 4度C'!$Y:$Y,'0122 4度C'!$A:$A,"新豐9線",'0122 4度C'!$B:$B,"平均")</f>
        <v>0</v>
      </c>
      <c r="M18" s="99">
        <f>SUMIFS('0122 4度C'!$Y:$Y,'0122 4度C'!$A:$A,"新豐4線",'0122 4度C'!$B:$B,"平均")</f>
        <v>0</v>
      </c>
    </row>
    <row r="19" spans="2:13" ht="17.25" customHeight="1">
      <c r="B19" s="429"/>
      <c r="C19" s="96" t="s">
        <v>1903</v>
      </c>
      <c r="D19" s="97">
        <f>SUMIFS('0122 4度C'!$Z:$Z,'0122 4度C'!$A:$A,"新豐6線",'0122 4度C'!$B:$B,"平均")</f>
        <v>0</v>
      </c>
      <c r="E19" s="98">
        <f>SUMIFS('0122 4度C'!$Z:$Z,'0122 4度C'!$A:$A,"新豐2線",'0122 4度C'!$B:$B,"平均")</f>
        <v>0</v>
      </c>
      <c r="F19" s="98">
        <f>SUMIFS('0122 4度C'!$Z:$Z,'0122 4度C'!$A:$A,"新豐5線",'0122 4度C'!$B:$B,"平均")</f>
        <v>0</v>
      </c>
      <c r="G19" s="98">
        <f>SUMIFS('0122 4度C'!$Z:$Z,'0122 4度C'!$A:$A,"新豐7線",'0122 4度C'!$B:$B,"平均")</f>
        <v>0</v>
      </c>
      <c r="H19" s="98">
        <f>SUMIFS('0122 4度C'!$Z:$Z,'0122 4度C'!$A:$A,"新豐3線",'0122 4度C'!$B:$B,"平均")</f>
        <v>0</v>
      </c>
      <c r="I19" s="98">
        <f>SUMIFS('0122 4度C'!$Z:$Z,'0122 4度C'!$A:$A,"新豐1線",'0122 4度C'!$B:$B,"平均")</f>
        <v>0</v>
      </c>
      <c r="J19" s="99">
        <f>SUMIFS('0122 4度C'!$Z:$Z,'0122 4度C'!$A:$A,"新豐10線",'0122 4度C'!$B:$B,"平均")</f>
        <v>0</v>
      </c>
      <c r="K19" s="100">
        <f>SUMIFS('0122 4度C'!$Z:$Z,'0122 4度C'!$A:$A,"新豐8線",'0122 4度C'!$B:$B,"平均")</f>
        <v>0</v>
      </c>
      <c r="L19" s="98">
        <f>SUMIFS('0122 4度C'!$Z:$Z,'0122 4度C'!$A:$A,"新豐9線",'0122 4度C'!$B:$B,"平均")</f>
        <v>0</v>
      </c>
      <c r="M19" s="99">
        <f>SUMIFS('0122 4度C'!$Z:$Z,'0122 4度C'!$A:$A,"新豐4線",'0122 4度C'!$B:$B,"平均")</f>
        <v>0</v>
      </c>
    </row>
    <row r="20" spans="2:13" ht="17.25" customHeight="1">
      <c r="B20" s="428" t="s">
        <v>1904</v>
      </c>
      <c r="C20" s="96" t="s">
        <v>1905</v>
      </c>
      <c r="D20" s="97">
        <f>SUMIFS('0122 4度C'!$AC:$AC,'0122 4度C'!$A:$A,"新豐6線",'0122 4度C'!$B:$B,"平均")</f>
        <v>1</v>
      </c>
      <c r="E20" s="98">
        <f>SUMIFS('0122 4度C'!$AC:$AC,'0122 4度C'!$A:$A,"新豐2線",'0122 4度C'!$B:$B,"平均")</f>
        <v>2</v>
      </c>
      <c r="F20" s="98">
        <f>SUMIFS('0122 4度C'!$AC:$AC,'0122 4度C'!$A:$A,"新豐5線",'0122 4度C'!$B:$B,"平均")</f>
        <v>3</v>
      </c>
      <c r="G20" s="98">
        <f>SUMIFS('0122 4度C'!$AC:$AC,'0122 4度C'!$A:$A,"新豐7線",'0122 4度C'!$B:$B,"平均")</f>
        <v>3</v>
      </c>
      <c r="H20" s="98">
        <f>SUMIFS('0122 4度C'!$AC:$AC,'0122 4度C'!$A:$A,"新豐3線",'0122 4度C'!$B:$B,"平均")</f>
        <v>2</v>
      </c>
      <c r="I20" s="98">
        <f>SUMIFS('0122 4度C'!$AC:$AC,'0122 4度C'!$A:$A,"新豐1線",'0122 4度C'!$B:$B,"平均")</f>
        <v>4</v>
      </c>
      <c r="J20" s="99">
        <f>SUMIFS('0122 4度C'!$AC:$AC,'0122 4度C'!$A:$A,"新豐10線",'0122 4度C'!$B:$B,"平均")</f>
        <v>1</v>
      </c>
      <c r="K20" s="100">
        <f>SUMIFS('0122 4度C'!$AC:$AC,'0122 4度C'!$A:$A,"新豐8線",'0122 4度C'!$B:$B,"平均")</f>
        <v>7</v>
      </c>
      <c r="L20" s="98">
        <f>SUMIFS('0122 4度C'!$AC:$AC,'0122 4度C'!$A:$A,"新豐9線",'0122 4度C'!$B:$B,"平均")</f>
        <v>8</v>
      </c>
      <c r="M20" s="99">
        <f>SUMIFS('0122 4度C'!$AC:$AC,'0122 4度C'!$A:$A,"新豐4線",'0122 4度C'!$B:$B,"平均")</f>
        <v>7</v>
      </c>
    </row>
    <row r="21" spans="2:13" ht="17.25" customHeight="1">
      <c r="B21" s="429"/>
      <c r="C21" s="96" t="s">
        <v>1906</v>
      </c>
      <c r="D21" s="97">
        <f>SUMIFS('0122 4度C'!$AD:$AD,'0122 4度C'!$A:$A,"新豐6線",'0122 4度C'!$B:$B,"平均")</f>
        <v>0</v>
      </c>
      <c r="E21" s="98">
        <f>SUMIFS('0122 4度C'!$AD:$AD,'0122 4度C'!$A:$A,"新豐2線",'0122 4度C'!$B:$B,"平均")</f>
        <v>0</v>
      </c>
      <c r="F21" s="98">
        <f>SUMIFS('0122 4度C'!$AD:$AD,'0122 4度C'!$A:$A,"新豐5線",'0122 4度C'!$B:$B,"平均")</f>
        <v>0</v>
      </c>
      <c r="G21" s="98">
        <f>SUMIFS('0122 4度C'!$AD:$AD,'0122 4度C'!$A:$A,"新豐7線",'0122 4度C'!$B:$B,"平均")</f>
        <v>0</v>
      </c>
      <c r="H21" s="98">
        <f>SUMIFS('0122 4度C'!$AD:$AD,'0122 4度C'!$A:$A,"新豐3線",'0122 4度C'!$B:$B,"平均")</f>
        <v>0</v>
      </c>
      <c r="I21" s="98">
        <f>SUMIFS('0122 4度C'!$AD:$AD,'0122 4度C'!$A:$A,"新豐1線",'0122 4度C'!$B:$B,"平均")</f>
        <v>0</v>
      </c>
      <c r="J21" s="99">
        <f>SUMIFS('0122 4度C'!$AD:$AD,'0122 4度C'!$A:$A,"新豐10線",'0122 4度C'!$B:$B,"平均")</f>
        <v>0</v>
      </c>
      <c r="K21" s="100">
        <f>SUMIFS('0122 4度C'!$AD:$AD,'0122 4度C'!$A:$A,"新豐8線",'0122 4度C'!$B:$B,"平均")</f>
        <v>0</v>
      </c>
      <c r="L21" s="98">
        <f>SUMIFS('0122 4度C'!$AD:$AD,'0122 4度C'!$A:$A,"新豐9線",'0122 4度C'!$B:$B,"平均")</f>
        <v>0</v>
      </c>
      <c r="M21" s="99">
        <f>SUMIFS('0122 4度C'!$AD:$AD,'0122 4度C'!$A:$A,"新豐4線",'0122 4度C'!$B:$B,"平均")</f>
        <v>0</v>
      </c>
    </row>
    <row r="22" spans="2:13" ht="17.25" customHeight="1">
      <c r="B22" s="430" t="s">
        <v>1907</v>
      </c>
      <c r="C22" s="431"/>
      <c r="D22" s="101">
        <f>SUMIFS('0122 4度C'!$I:$I,'0122 4度C'!$A:$A,"新豐6線",'0122 4度C'!$B:$B,"平均")</f>
        <v>17.600000000000001</v>
      </c>
      <c r="E22" s="102">
        <f>SUMIFS('0122 4度C'!$I:$I,'0122 4度C'!$A:$A,"新豐2線",'0122 4度C'!$B:$B,"平均")</f>
        <v>18</v>
      </c>
      <c r="F22" s="102">
        <f>SUMIFS('0122 4度C'!$I:$I,'0122 4度C'!$A:$A,"新豐5線",'0122 4度C'!$B:$B,"平均")</f>
        <v>17.166666666666668</v>
      </c>
      <c r="G22" s="102">
        <f>SUMIFS('0122 4度C'!$I:$I,'0122 4度C'!$A:$A,"新豐7線",'0122 4度C'!$B:$B,"平均")</f>
        <v>15.714285714285714</v>
      </c>
      <c r="H22" s="102">
        <f>SUMIFS('0122 4度C'!$I:$I,'0122 4度C'!$A:$A,"新豐3線",'0122 4度C'!$B:$B,"平均")</f>
        <v>10</v>
      </c>
      <c r="I22" s="102">
        <f>SUMIFS('0122 4度C'!$I:$I,'0122 4度C'!$A:$A,"新豐1線",'0122 4度C'!$B:$B,"平均")</f>
        <v>18.666666666666668</v>
      </c>
      <c r="J22" s="103">
        <f>SUMIFS('0122 4度C'!$I:$I,'0122 4度C'!$A:$A,"新豐10線",'0122 4度C'!$B:$B,"平均")</f>
        <v>10.6</v>
      </c>
      <c r="K22" s="101">
        <f>SUMIFS('0122 4度C'!$I:$I,'0122 4度C'!$A:$A,"新豐8線",'0122 4度C'!$B:$B,"平均")</f>
        <v>18.2</v>
      </c>
      <c r="L22" s="102">
        <f>SUMIFS('0122 4度C'!$I:$I,'0122 4度C'!$A:$A,"新豐9線",'0122 4度C'!$B:$B,"平均")</f>
        <v>17.571428571428573</v>
      </c>
      <c r="M22" s="103">
        <f>SUMIFS('0122 4度C'!$I:$I,'0122 4度C'!$A:$A,"新豐4線",'0122 4度C'!$B:$B,"平均")</f>
        <v>16.399999999999999</v>
      </c>
    </row>
    <row r="23" spans="2:13" ht="17.25" customHeight="1">
      <c r="B23" s="430" t="s">
        <v>1908</v>
      </c>
      <c r="C23" s="431"/>
      <c r="D23" s="104" t="s">
        <v>157</v>
      </c>
      <c r="E23" s="105" t="s">
        <v>158</v>
      </c>
      <c r="F23" s="105" t="s">
        <v>1909</v>
      </c>
      <c r="G23" s="105" t="s">
        <v>1909</v>
      </c>
      <c r="H23" s="105" t="s">
        <v>159</v>
      </c>
      <c r="I23" s="105" t="s">
        <v>157</v>
      </c>
      <c r="J23" s="106" t="s">
        <v>159</v>
      </c>
      <c r="K23" s="104" t="s">
        <v>1910</v>
      </c>
      <c r="L23" s="105" t="s">
        <v>1910</v>
      </c>
      <c r="M23" s="106" t="s">
        <v>1911</v>
      </c>
    </row>
    <row r="24" spans="2:13" ht="17.25" customHeight="1">
      <c r="B24" s="430" t="s">
        <v>1912</v>
      </c>
      <c r="C24" s="431"/>
      <c r="D24" s="104"/>
      <c r="E24" s="105"/>
      <c r="F24" s="105" t="s">
        <v>1913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1914</v>
      </c>
      <c r="C25" s="433"/>
      <c r="D25" s="107"/>
      <c r="E25" s="108" t="s">
        <v>1915</v>
      </c>
      <c r="F25" s="426" t="s">
        <v>1916</v>
      </c>
      <c r="G25" s="427"/>
      <c r="H25" s="108" t="s">
        <v>1917</v>
      </c>
      <c r="I25" s="108" t="s">
        <v>1012</v>
      </c>
      <c r="J25" s="109" t="s">
        <v>1918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84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topLeftCell="J1" zoomScale="80" zoomScaleNormal="80" workbookViewId="0">
      <pane ySplit="4" topLeftCell="A5" activePane="bottomLeft" state="frozen"/>
      <selection activeCell="J13" sqref="J13"/>
      <selection pane="bottomLeft" activeCell="N58" sqref="N5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1919</v>
      </c>
      <c r="B1" s="1"/>
      <c r="C1" s="2" t="s">
        <v>1920</v>
      </c>
      <c r="D1" s="3">
        <f>SUM(F5:F72)</f>
        <v>152403</v>
      </c>
      <c r="E1" s="336" t="s">
        <v>1921</v>
      </c>
      <c r="F1" s="1">
        <f>SUM(G5:G72)</f>
        <v>5166798.3800000008</v>
      </c>
      <c r="G1" s="1" t="s">
        <v>1922</v>
      </c>
      <c r="H1" s="5">
        <f>L10+L13+L50+L60+L20+L66+L34+L42+L28+L72</f>
        <v>159.91904761904763</v>
      </c>
      <c r="I1" s="542" t="s">
        <v>1923</v>
      </c>
      <c r="J1" s="542"/>
      <c r="K1" s="542"/>
      <c r="L1" s="542" t="s">
        <v>1924</v>
      </c>
      <c r="M1" s="542"/>
      <c r="N1" s="542"/>
      <c r="O1" s="542" t="s">
        <v>1925</v>
      </c>
      <c r="P1" s="542"/>
      <c r="Q1" s="542"/>
      <c r="R1" s="542"/>
      <c r="S1" s="542" t="s">
        <v>1926</v>
      </c>
      <c r="T1" s="542"/>
      <c r="U1" s="542"/>
      <c r="V1" s="542"/>
      <c r="W1" s="542"/>
      <c r="X1" s="542"/>
      <c r="Y1" s="6" t="s">
        <v>1927</v>
      </c>
      <c r="Z1" s="7" t="s">
        <v>1928</v>
      </c>
      <c r="AA1" s="543" t="s">
        <v>1929</v>
      </c>
      <c r="AB1" s="543"/>
      <c r="AC1" s="156" t="s">
        <v>1927</v>
      </c>
      <c r="AD1" s="7" t="s">
        <v>1930</v>
      </c>
      <c r="AE1" s="542" t="s">
        <v>1931</v>
      </c>
      <c r="AF1" s="544"/>
      <c r="AG1" s="544"/>
    </row>
    <row r="2" spans="1:33" ht="26.25" customHeight="1">
      <c r="A2" s="49">
        <v>46044</v>
      </c>
      <c r="B2" s="50" t="s">
        <v>78</v>
      </c>
      <c r="C2" s="2" t="s">
        <v>1932</v>
      </c>
      <c r="D2" s="10">
        <f>AVERAGE(N10,N13,N50,N60,N20,N66,N28,N34,N42,N72)</f>
        <v>137.16254792285446</v>
      </c>
      <c r="E2" s="11" t="s">
        <v>14</v>
      </c>
      <c r="F2" s="12">
        <f>F1/D1</f>
        <v>33.902209142864649</v>
      </c>
      <c r="G2" s="1" t="s">
        <v>1933</v>
      </c>
      <c r="H2" s="334">
        <f>COUNT(H5:H72)</f>
        <v>2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SUM(Y10+Y13+Y20+Y28+Y34+Y42+Y50+Y60+Y66+Y72)</f>
        <v>0</v>
      </c>
      <c r="Z2" s="14">
        <f>SUM(Z10+Z13+Z20+Z28+Z34+Z42+Z50+Z60+Z66+Z72)</f>
        <v>0</v>
      </c>
      <c r="AA2" s="543"/>
      <c r="AB2" s="543"/>
      <c r="AC2" s="157">
        <v>38</v>
      </c>
      <c r="AD2" s="14">
        <f>SUM(AD10+AD13+AD20+AD28+AD34+AD42+AD50+AD60+AD66+AD72)</f>
        <v>0</v>
      </c>
      <c r="AE2" s="544"/>
      <c r="AF2" s="544"/>
      <c r="AG2" s="544"/>
    </row>
    <row r="3" spans="1:33" ht="40.5" customHeight="1">
      <c r="A3" s="491" t="s">
        <v>1934</v>
      </c>
      <c r="B3" s="491" t="s">
        <v>1935</v>
      </c>
      <c r="C3" s="491" t="s">
        <v>1936</v>
      </c>
      <c r="D3" s="491"/>
      <c r="E3" s="540" t="s">
        <v>1937</v>
      </c>
      <c r="F3" s="491" t="s">
        <v>1938</v>
      </c>
      <c r="G3" s="540" t="s">
        <v>1939</v>
      </c>
      <c r="H3" s="533" t="s">
        <v>1940</v>
      </c>
      <c r="I3" s="531" t="s">
        <v>1941</v>
      </c>
      <c r="J3" s="528" t="s">
        <v>1942</v>
      </c>
      <c r="K3" s="538" t="s">
        <v>1943</v>
      </c>
      <c r="L3" s="531" t="s">
        <v>1941</v>
      </c>
      <c r="M3" s="528" t="s">
        <v>1942</v>
      </c>
      <c r="N3" s="538" t="s">
        <v>1943</v>
      </c>
      <c r="O3" s="531" t="s">
        <v>1941</v>
      </c>
      <c r="P3" s="538" t="s">
        <v>1943</v>
      </c>
      <c r="Q3" s="529" t="s">
        <v>1944</v>
      </c>
      <c r="R3" s="507" t="s">
        <v>1945</v>
      </c>
      <c r="S3" s="491" t="s">
        <v>27</v>
      </c>
      <c r="T3" s="491"/>
      <c r="U3" s="533" t="s">
        <v>28</v>
      </c>
      <c r="V3" s="533" t="s">
        <v>1946</v>
      </c>
      <c r="W3" s="491" t="s">
        <v>1947</v>
      </c>
      <c r="X3" s="491"/>
      <c r="Y3" s="534" t="s">
        <v>1948</v>
      </c>
      <c r="Z3" s="495"/>
      <c r="AA3" s="535" t="s">
        <v>1949</v>
      </c>
      <c r="AB3" s="536"/>
      <c r="AC3" s="534" t="s">
        <v>1950</v>
      </c>
      <c r="AD3" s="495"/>
      <c r="AE3" s="528" t="s">
        <v>1951</v>
      </c>
      <c r="AF3" s="529" t="s">
        <v>1952</v>
      </c>
      <c r="AG3" s="507" t="s">
        <v>1953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36" t="s">
        <v>37</v>
      </c>
      <c r="T4" s="336" t="s">
        <v>38</v>
      </c>
      <c r="U4" s="533"/>
      <c r="V4" s="533"/>
      <c r="W4" s="336" t="s">
        <v>1954</v>
      </c>
      <c r="X4" s="336" t="s">
        <v>1955</v>
      </c>
      <c r="Y4" s="339" t="s">
        <v>1956</v>
      </c>
      <c r="Z4" s="339" t="s">
        <v>1957</v>
      </c>
      <c r="AA4" s="537"/>
      <c r="AB4" s="536"/>
      <c r="AC4" s="339" t="s">
        <v>1958</v>
      </c>
      <c r="AD4" s="339" t="s">
        <v>1959</v>
      </c>
      <c r="AE4" s="528"/>
      <c r="AF4" s="529"/>
      <c r="AG4" s="507"/>
    </row>
    <row r="5" spans="1:33">
      <c r="A5" s="530" t="s">
        <v>1960</v>
      </c>
      <c r="B5" s="42" t="s">
        <v>103</v>
      </c>
      <c r="C5" s="532" t="s">
        <v>120</v>
      </c>
      <c r="D5" s="532"/>
      <c r="E5" s="42">
        <v>50.67</v>
      </c>
      <c r="F5" s="340">
        <v>1041</v>
      </c>
      <c r="G5" s="336">
        <f t="shared" ref="G5:G9" si="0">E5*F5</f>
        <v>52747.47</v>
      </c>
      <c r="H5" s="345" t="s">
        <v>79</v>
      </c>
      <c r="I5" s="335">
        <v>17</v>
      </c>
      <c r="J5" s="37">
        <v>2000</v>
      </c>
      <c r="K5" s="17">
        <f t="shared" ref="K5:K68" si="1">J5/I5</f>
        <v>117.64705882352941</v>
      </c>
      <c r="L5" s="335">
        <v>17</v>
      </c>
      <c r="M5" s="18">
        <f t="shared" ref="M5:M9" si="2">F5/V5*60</f>
        <v>1951.8749999999975</v>
      </c>
      <c r="N5" s="17">
        <f t="shared" ref="N5:N68" si="3">M5/L5</f>
        <v>114.81617647058809</v>
      </c>
      <c r="O5" s="19">
        <f t="shared" ref="O5:O68" si="4">L5-I5</f>
        <v>0</v>
      </c>
      <c r="P5" s="20">
        <f t="shared" ref="P5:P68" si="5">N5-K5</f>
        <v>-2.8308823529413161</v>
      </c>
      <c r="Q5" s="337">
        <f t="shared" ref="Q5:Q68" si="6">N5/K5</f>
        <v>0.97593749999999879</v>
      </c>
      <c r="R5" s="489">
        <f>Q10</f>
        <v>0.97085178571428443</v>
      </c>
      <c r="S5" s="40">
        <v>0.70833333333333337</v>
      </c>
      <c r="T5" s="40">
        <v>0.73055555555555562</v>
      </c>
      <c r="U5" s="336"/>
      <c r="V5" s="338">
        <f t="shared" ref="V5:V9" si="7">(T5-S5)*24*60</f>
        <v>32.000000000000043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-48.125000000002501</v>
      </c>
      <c r="AF5" s="337">
        <f t="shared" ref="AF5:AF68" si="9">M5/J5</f>
        <v>0.97593749999999879</v>
      </c>
      <c r="AG5" s="489">
        <f>AF10</f>
        <v>0.97085178571428443</v>
      </c>
    </row>
    <row r="6" spans="1:33">
      <c r="A6" s="531" t="s">
        <v>1961</v>
      </c>
      <c r="B6" s="42" t="s">
        <v>103</v>
      </c>
      <c r="C6" s="532" t="s">
        <v>121</v>
      </c>
      <c r="D6" s="532"/>
      <c r="E6" s="42">
        <v>54.09</v>
      </c>
      <c r="F6" s="340">
        <v>968</v>
      </c>
      <c r="G6" s="336">
        <f t="shared" si="0"/>
        <v>52359.12</v>
      </c>
      <c r="H6" s="345" t="s">
        <v>79</v>
      </c>
      <c r="I6" s="335">
        <v>19</v>
      </c>
      <c r="J6" s="37">
        <v>2000</v>
      </c>
      <c r="K6" s="17">
        <f t="shared" si="1"/>
        <v>105.26315789473684</v>
      </c>
      <c r="L6" s="335">
        <v>19</v>
      </c>
      <c r="M6" s="18">
        <f t="shared" si="2"/>
        <v>1935.9999999999966</v>
      </c>
      <c r="N6" s="17">
        <f t="shared" si="3"/>
        <v>101.89473684210509</v>
      </c>
      <c r="O6" s="19">
        <f t="shared" si="4"/>
        <v>0</v>
      </c>
      <c r="P6" s="20">
        <f t="shared" si="5"/>
        <v>-3.3684210526317457</v>
      </c>
      <c r="Q6" s="337">
        <f t="shared" si="6"/>
        <v>0.96799999999999842</v>
      </c>
      <c r="R6" s="489"/>
      <c r="S6" s="40">
        <v>0.73402777777777783</v>
      </c>
      <c r="T6" s="40">
        <v>0.7548611111111112</v>
      </c>
      <c r="U6" s="336">
        <f t="shared" ref="U6:U9" si="10">IF(S6=TIME(17,0,0),"",(S6-T5)*24*60)</f>
        <v>4.9999999999999822</v>
      </c>
      <c r="V6" s="338">
        <f t="shared" si="7"/>
        <v>30.000000000000053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-64.000000000003411</v>
      </c>
      <c r="AF6" s="337">
        <f t="shared" si="9"/>
        <v>0.96799999999999831</v>
      </c>
      <c r="AG6" s="489"/>
    </row>
    <row r="7" spans="1:33">
      <c r="A7" s="531" t="s">
        <v>1961</v>
      </c>
      <c r="B7" s="42" t="s">
        <v>103</v>
      </c>
      <c r="C7" s="523" t="s">
        <v>122</v>
      </c>
      <c r="D7" s="524"/>
      <c r="E7" s="42">
        <v>50.29</v>
      </c>
      <c r="F7" s="340">
        <v>787</v>
      </c>
      <c r="G7" s="336">
        <f t="shared" si="0"/>
        <v>39578.229999999996</v>
      </c>
      <c r="H7" s="345" t="s">
        <v>79</v>
      </c>
      <c r="I7" s="335">
        <v>16</v>
      </c>
      <c r="J7" s="37">
        <v>2000</v>
      </c>
      <c r="K7" s="17">
        <f t="shared" si="1"/>
        <v>125</v>
      </c>
      <c r="L7" s="335">
        <v>16</v>
      </c>
      <c r="M7" s="18">
        <f t="shared" si="2"/>
        <v>1967.4999999999939</v>
      </c>
      <c r="N7" s="17">
        <f t="shared" si="3"/>
        <v>122.96874999999962</v>
      </c>
      <c r="O7" s="19">
        <f t="shared" si="4"/>
        <v>0</v>
      </c>
      <c r="P7" s="20">
        <f t="shared" si="5"/>
        <v>-2.0312500000003837</v>
      </c>
      <c r="Q7" s="337">
        <f t="shared" si="6"/>
        <v>0.9837499999999969</v>
      </c>
      <c r="R7" s="489"/>
      <c r="S7" s="40">
        <v>0.75833333333333341</v>
      </c>
      <c r="T7" s="40">
        <v>0.77500000000000013</v>
      </c>
      <c r="U7" s="336">
        <f t="shared" si="10"/>
        <v>4.9999999999999822</v>
      </c>
      <c r="V7" s="338">
        <f t="shared" si="7"/>
        <v>24.000000000000075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-32.500000000006139</v>
      </c>
      <c r="AF7" s="337">
        <f t="shared" si="9"/>
        <v>0.9837499999999969</v>
      </c>
      <c r="AG7" s="489"/>
    </row>
    <row r="8" spans="1:33">
      <c r="A8" s="531" t="s">
        <v>1961</v>
      </c>
      <c r="B8" s="42" t="s">
        <v>103</v>
      </c>
      <c r="C8" s="523" t="s">
        <v>1708</v>
      </c>
      <c r="D8" s="524"/>
      <c r="E8" s="42">
        <v>57.3</v>
      </c>
      <c r="F8" s="340">
        <v>2001</v>
      </c>
      <c r="G8" s="336">
        <f t="shared" si="0"/>
        <v>114657.29999999999</v>
      </c>
      <c r="H8" s="345" t="s">
        <v>79</v>
      </c>
      <c r="I8" s="335">
        <v>15</v>
      </c>
      <c r="J8" s="37">
        <v>2000</v>
      </c>
      <c r="K8" s="17">
        <f t="shared" si="1"/>
        <v>133.33333333333334</v>
      </c>
      <c r="L8" s="335">
        <v>15</v>
      </c>
      <c r="M8" s="18">
        <f t="shared" si="2"/>
        <v>1905.7142857142876</v>
      </c>
      <c r="N8" s="17">
        <f t="shared" si="3"/>
        <v>127.04761904761918</v>
      </c>
      <c r="O8" s="19">
        <f t="shared" si="4"/>
        <v>0</v>
      </c>
      <c r="P8" s="20">
        <f t="shared" si="5"/>
        <v>-6.2857142857141639</v>
      </c>
      <c r="Q8" s="337">
        <f t="shared" si="6"/>
        <v>0.95285714285714374</v>
      </c>
      <c r="R8" s="489"/>
      <c r="S8" s="40">
        <v>0.77916666666666679</v>
      </c>
      <c r="T8" s="40">
        <v>0.82291666666666674</v>
      </c>
      <c r="U8" s="336">
        <f t="shared" si="10"/>
        <v>5.9999999999999787</v>
      </c>
      <c r="V8" s="338">
        <f t="shared" si="7"/>
        <v>62.999999999999936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-94.285714285712402</v>
      </c>
      <c r="AF8" s="337">
        <f t="shared" si="9"/>
        <v>0.95285714285714385</v>
      </c>
      <c r="AG8" s="489"/>
    </row>
    <row r="9" spans="1:33">
      <c r="A9" s="531" t="s">
        <v>1961</v>
      </c>
      <c r="B9" s="42" t="s">
        <v>103</v>
      </c>
      <c r="C9" s="523" t="s">
        <v>515</v>
      </c>
      <c r="D9" s="524"/>
      <c r="E9" s="42">
        <v>50.67</v>
      </c>
      <c r="F9" s="340">
        <v>1136</v>
      </c>
      <c r="G9" s="336">
        <f t="shared" si="0"/>
        <v>57561.120000000003</v>
      </c>
      <c r="H9" s="345" t="s">
        <v>79</v>
      </c>
      <c r="I9" s="335">
        <v>21</v>
      </c>
      <c r="J9" s="37">
        <v>2000</v>
      </c>
      <c r="K9" s="17">
        <f t="shared" si="1"/>
        <v>95.238095238095241</v>
      </c>
      <c r="L9" s="335">
        <v>21</v>
      </c>
      <c r="M9" s="18">
        <f t="shared" si="2"/>
        <v>1947.4285714285697</v>
      </c>
      <c r="N9" s="17">
        <f t="shared" si="3"/>
        <v>92.734693877550939</v>
      </c>
      <c r="O9" s="19">
        <f t="shared" si="4"/>
        <v>0</v>
      </c>
      <c r="P9" s="20">
        <f t="shared" si="5"/>
        <v>-2.5034013605443022</v>
      </c>
      <c r="Q9" s="337">
        <f t="shared" si="6"/>
        <v>0.97371428571428487</v>
      </c>
      <c r="R9" s="489"/>
      <c r="S9" s="40">
        <v>0.82708333333333339</v>
      </c>
      <c r="T9" s="40">
        <v>0.85138888888888897</v>
      </c>
      <c r="U9" s="336">
        <f t="shared" si="10"/>
        <v>5.9999999999999787</v>
      </c>
      <c r="V9" s="338">
        <f t="shared" si="7"/>
        <v>35.000000000000036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-52.57142857143026</v>
      </c>
      <c r="AF9" s="337">
        <f t="shared" si="9"/>
        <v>0.97371428571428487</v>
      </c>
      <c r="AG9" s="489"/>
    </row>
    <row r="10" spans="1:33">
      <c r="A10" s="531" t="s">
        <v>1961</v>
      </c>
      <c r="B10" s="42" t="s">
        <v>1962</v>
      </c>
      <c r="C10" s="494"/>
      <c r="D10" s="494"/>
      <c r="E10" s="341"/>
      <c r="F10" s="44"/>
      <c r="G10" s="17"/>
      <c r="H10" s="340"/>
      <c r="I10" s="30">
        <v>17.600000000000001</v>
      </c>
      <c r="J10" s="37">
        <v>2000</v>
      </c>
      <c r="K10" s="17">
        <f t="shared" si="1"/>
        <v>113.63636363636363</v>
      </c>
      <c r="L10" s="30">
        <v>17.600000000000001</v>
      </c>
      <c r="M10" s="18">
        <f>AVERAGE(M5:M9)</f>
        <v>1941.7035714285689</v>
      </c>
      <c r="N10" s="17">
        <f t="shared" si="3"/>
        <v>110.3240665584414</v>
      </c>
      <c r="O10" s="19">
        <f t="shared" si="4"/>
        <v>0</v>
      </c>
      <c r="P10" s="20">
        <f t="shared" si="5"/>
        <v>-3.3122970779222243</v>
      </c>
      <c r="Q10" s="337">
        <f t="shared" si="6"/>
        <v>0.97085178571428443</v>
      </c>
      <c r="R10" s="489"/>
      <c r="S10" s="40"/>
      <c r="T10" s="40"/>
      <c r="U10" s="336"/>
      <c r="V10" s="338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-58.296428571431079</v>
      </c>
      <c r="AF10" s="337">
        <f t="shared" si="9"/>
        <v>0.97085178571428443</v>
      </c>
      <c r="AG10" s="489"/>
    </row>
    <row r="11" spans="1:33" ht="15.75" customHeight="1">
      <c r="A11" s="527" t="s">
        <v>1963</v>
      </c>
      <c r="B11" s="42" t="s">
        <v>100</v>
      </c>
      <c r="C11" s="523" t="s">
        <v>124</v>
      </c>
      <c r="D11" s="524"/>
      <c r="E11" s="42">
        <v>39.619999999999997</v>
      </c>
      <c r="F11" s="340">
        <v>2719</v>
      </c>
      <c r="G11" s="336">
        <f t="shared" ref="G11:G12" si="11">E11*F11</f>
        <v>107726.78</v>
      </c>
      <c r="H11" s="345" t="s">
        <v>79</v>
      </c>
      <c r="I11" s="335">
        <v>19</v>
      </c>
      <c r="J11" s="37">
        <v>1500</v>
      </c>
      <c r="K11" s="17">
        <f t="shared" si="1"/>
        <v>78.94736842105263</v>
      </c>
      <c r="L11" s="335">
        <v>19</v>
      </c>
      <c r="M11" s="18">
        <f t="shared" ref="M11:M12" si="12">F11/V11*60</f>
        <v>1431.052631578948</v>
      </c>
      <c r="N11" s="17">
        <f t="shared" si="3"/>
        <v>75.318559556786738</v>
      </c>
      <c r="O11" s="19">
        <f t="shared" si="4"/>
        <v>0</v>
      </c>
      <c r="P11" s="20">
        <f t="shared" si="5"/>
        <v>-3.628808864265892</v>
      </c>
      <c r="Q11" s="337">
        <f t="shared" si="6"/>
        <v>0.95403508771929868</v>
      </c>
      <c r="R11" s="489">
        <f>Q13</f>
        <v>0.95356516290726845</v>
      </c>
      <c r="S11" s="40">
        <v>0.20833333333333334</v>
      </c>
      <c r="T11" s="40">
        <v>0.28749999999999998</v>
      </c>
      <c r="U11" s="336"/>
      <c r="V11" s="338">
        <f t="shared" ref="V11:V12" si="13">(T11-S11)*24*60</f>
        <v>113.99999999999996</v>
      </c>
      <c r="W11" s="23"/>
      <c r="X11" s="23"/>
      <c r="Y11" s="23"/>
      <c r="Z11" s="23"/>
      <c r="AA11" s="491"/>
      <c r="AB11" s="491"/>
      <c r="AC11" s="154">
        <v>2</v>
      </c>
      <c r="AD11" s="25"/>
      <c r="AE11" s="19">
        <f t="shared" si="8"/>
        <v>-68.947368421052033</v>
      </c>
      <c r="AF11" s="337">
        <f t="shared" si="9"/>
        <v>0.95403508771929868</v>
      </c>
      <c r="AG11" s="489">
        <f>AF13</f>
        <v>0.95356516290726845</v>
      </c>
    </row>
    <row r="12" spans="1:33" ht="15.75" customHeight="1">
      <c r="A12" s="527" t="s">
        <v>1963</v>
      </c>
      <c r="B12" s="42" t="s">
        <v>100</v>
      </c>
      <c r="C12" s="523" t="s">
        <v>125</v>
      </c>
      <c r="D12" s="524"/>
      <c r="E12" s="42">
        <v>39.799999999999997</v>
      </c>
      <c r="F12" s="340">
        <v>4003</v>
      </c>
      <c r="G12" s="336">
        <f t="shared" si="11"/>
        <v>159319.4</v>
      </c>
      <c r="H12" s="345" t="s">
        <v>79</v>
      </c>
      <c r="I12" s="335">
        <v>17</v>
      </c>
      <c r="J12" s="37">
        <v>1500</v>
      </c>
      <c r="K12" s="17">
        <f t="shared" si="1"/>
        <v>88.235294117647058</v>
      </c>
      <c r="L12" s="335">
        <v>17</v>
      </c>
      <c r="M12" s="18">
        <f t="shared" si="12"/>
        <v>1429.6428571428573</v>
      </c>
      <c r="N12" s="17">
        <f t="shared" si="3"/>
        <v>84.096638655462201</v>
      </c>
      <c r="O12" s="19">
        <f t="shared" si="4"/>
        <v>0</v>
      </c>
      <c r="P12" s="20">
        <f t="shared" si="5"/>
        <v>-4.1386554621848575</v>
      </c>
      <c r="Q12" s="337">
        <f t="shared" si="6"/>
        <v>0.95309523809523833</v>
      </c>
      <c r="R12" s="489"/>
      <c r="S12" s="40">
        <v>0.29097222222222219</v>
      </c>
      <c r="T12" s="40">
        <v>0.40763888888888883</v>
      </c>
      <c r="U12" s="336">
        <f t="shared" ref="U12" si="14">IF(S12=TIME(17,0,0),"",(S12-T11)*24*60)</f>
        <v>4.9999999999999822</v>
      </c>
      <c r="V12" s="338">
        <f t="shared" si="13"/>
        <v>167.99999999999997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-70.357142857142662</v>
      </c>
      <c r="AF12" s="337">
        <f t="shared" si="9"/>
        <v>0.95309523809523822</v>
      </c>
      <c r="AG12" s="489"/>
    </row>
    <row r="13" spans="1:33" ht="16.5" customHeight="1">
      <c r="A13" s="527" t="s">
        <v>1963</v>
      </c>
      <c r="B13" s="42" t="s">
        <v>1962</v>
      </c>
      <c r="C13" s="494"/>
      <c r="D13" s="494"/>
      <c r="E13" s="341"/>
      <c r="F13" s="37"/>
      <c r="G13" s="18"/>
      <c r="H13" s="340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1430.3477443609027</v>
      </c>
      <c r="N13" s="17">
        <f t="shared" si="3"/>
        <v>79.463763575605697</v>
      </c>
      <c r="O13" s="19">
        <f t="shared" si="4"/>
        <v>0</v>
      </c>
      <c r="P13" s="20">
        <f t="shared" si="5"/>
        <v>-3.869569757727632</v>
      </c>
      <c r="Q13" s="337">
        <f t="shared" si="6"/>
        <v>0.95356516290726845</v>
      </c>
      <c r="R13" s="489"/>
      <c r="S13" s="40"/>
      <c r="T13" s="40"/>
      <c r="U13" s="17"/>
      <c r="V13" s="338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-69.652255639097348</v>
      </c>
      <c r="AF13" s="337">
        <f t="shared" si="9"/>
        <v>0.95356516290726845</v>
      </c>
      <c r="AG13" s="489"/>
    </row>
    <row r="14" spans="1:33" ht="16.5" customHeight="1">
      <c r="A14" s="525" t="s">
        <v>1964</v>
      </c>
      <c r="B14" s="340" t="s">
        <v>126</v>
      </c>
      <c r="C14" s="515" t="s">
        <v>127</v>
      </c>
      <c r="D14" s="515"/>
      <c r="E14" s="42">
        <v>41</v>
      </c>
      <c r="F14" s="340">
        <v>2353</v>
      </c>
      <c r="G14" s="336">
        <f t="shared" ref="G14:G19" si="15">E14*F14</f>
        <v>96473</v>
      </c>
      <c r="H14" s="345" t="s">
        <v>79</v>
      </c>
      <c r="I14" s="335">
        <v>26</v>
      </c>
      <c r="J14" s="37">
        <v>1500</v>
      </c>
      <c r="K14" s="17">
        <f t="shared" si="1"/>
        <v>57.692307692307693</v>
      </c>
      <c r="L14" s="335">
        <v>26</v>
      </c>
      <c r="M14" s="18">
        <f t="shared" ref="M14:M19" si="16">F14/V14*60</f>
        <v>1440.612244897959</v>
      </c>
      <c r="N14" s="17">
        <f t="shared" si="3"/>
        <v>55.408163265306115</v>
      </c>
      <c r="O14" s="19">
        <f t="shared" si="4"/>
        <v>0</v>
      </c>
      <c r="P14" s="20">
        <f t="shared" si="5"/>
        <v>-2.2841444270015785</v>
      </c>
      <c r="Q14" s="337">
        <f t="shared" si="6"/>
        <v>0.96040816326530598</v>
      </c>
      <c r="R14" s="489">
        <f>Q20</f>
        <v>0.96220036839760337</v>
      </c>
      <c r="S14" s="40">
        <v>0.20833333333333334</v>
      </c>
      <c r="T14" s="40">
        <v>0.27638888888888891</v>
      </c>
      <c r="U14" s="336"/>
      <c r="V14" s="338">
        <f t="shared" ref="V14:V19" si="17">(T14-S14)*24*60</f>
        <v>98.000000000000014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-59.387755102040956</v>
      </c>
      <c r="AF14" s="337">
        <f t="shared" si="9"/>
        <v>0.96040816326530598</v>
      </c>
      <c r="AG14" s="489">
        <f>AF20</f>
        <v>0.96220036839760337</v>
      </c>
    </row>
    <row r="15" spans="1:33" ht="16.5" customHeight="1">
      <c r="A15" s="526" t="s">
        <v>1964</v>
      </c>
      <c r="B15" s="340" t="s">
        <v>128</v>
      </c>
      <c r="C15" s="515" t="s">
        <v>129</v>
      </c>
      <c r="D15" s="515"/>
      <c r="E15" s="42">
        <v>72.400000000000006</v>
      </c>
      <c r="F15" s="340">
        <v>1192</v>
      </c>
      <c r="G15" s="336">
        <f t="shared" si="15"/>
        <v>86300.800000000003</v>
      </c>
      <c r="H15" s="345" t="s">
        <v>79</v>
      </c>
      <c r="I15" s="335">
        <v>18</v>
      </c>
      <c r="J15" s="37">
        <v>1500</v>
      </c>
      <c r="K15" s="17">
        <f t="shared" si="1"/>
        <v>83.333333333333329</v>
      </c>
      <c r="L15" s="335">
        <v>18</v>
      </c>
      <c r="M15" s="18">
        <f t="shared" si="16"/>
        <v>1430.4000000000003</v>
      </c>
      <c r="N15" s="17">
        <f t="shared" si="3"/>
        <v>79.466666666666683</v>
      </c>
      <c r="O15" s="19">
        <f t="shared" si="4"/>
        <v>0</v>
      </c>
      <c r="P15" s="20">
        <f t="shared" si="5"/>
        <v>-3.8666666666666458</v>
      </c>
      <c r="Q15" s="337">
        <f t="shared" si="6"/>
        <v>0.95360000000000023</v>
      </c>
      <c r="R15" s="489"/>
      <c r="S15" s="40">
        <v>0.27986111111111112</v>
      </c>
      <c r="T15" s="40">
        <v>0.31458333333333333</v>
      </c>
      <c r="U15" s="336">
        <f t="shared" ref="U15:U19" si="18">IF(S15=TIME(17,0,0),"",(S15-T14)*24*60)</f>
        <v>4.9999999999999822</v>
      </c>
      <c r="V15" s="338">
        <f t="shared" si="17"/>
        <v>49.999999999999986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-69.599999999999682</v>
      </c>
      <c r="AF15" s="337">
        <f t="shared" si="9"/>
        <v>0.95360000000000023</v>
      </c>
      <c r="AG15" s="489"/>
    </row>
    <row r="16" spans="1:33" ht="16.5" customHeight="1">
      <c r="A16" s="526" t="s">
        <v>1964</v>
      </c>
      <c r="B16" s="340" t="s">
        <v>103</v>
      </c>
      <c r="C16" s="515" t="s">
        <v>123</v>
      </c>
      <c r="D16" s="515"/>
      <c r="E16" s="42">
        <v>50.98</v>
      </c>
      <c r="F16" s="340">
        <v>1000</v>
      </c>
      <c r="G16" s="336">
        <f t="shared" si="15"/>
        <v>50980</v>
      </c>
      <c r="H16" s="345">
        <v>2</v>
      </c>
      <c r="I16" s="335">
        <v>16</v>
      </c>
      <c r="J16" s="37">
        <v>2000</v>
      </c>
      <c r="K16" s="17">
        <f t="shared" si="1"/>
        <v>125</v>
      </c>
      <c r="L16" s="335">
        <v>16</v>
      </c>
      <c r="M16" s="18">
        <f t="shared" si="16"/>
        <v>1935.483870967739</v>
      </c>
      <c r="N16" s="17">
        <f t="shared" si="3"/>
        <v>120.96774193548369</v>
      </c>
      <c r="O16" s="19">
        <f t="shared" si="4"/>
        <v>0</v>
      </c>
      <c r="P16" s="20">
        <f t="shared" si="5"/>
        <v>-4.0322580645163129</v>
      </c>
      <c r="Q16" s="337">
        <f t="shared" si="6"/>
        <v>0.96774193548386944</v>
      </c>
      <c r="R16" s="489"/>
      <c r="S16" s="40">
        <v>0.70833333333333337</v>
      </c>
      <c r="T16" s="40">
        <v>0.72986111111111118</v>
      </c>
      <c r="U16" s="336" t="str">
        <f t="shared" si="18"/>
        <v/>
      </c>
      <c r="V16" s="338">
        <f t="shared" si="17"/>
        <v>31.00000000000005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-64.516129032261006</v>
      </c>
      <c r="AF16" s="337">
        <f t="shared" si="9"/>
        <v>0.96774193548386944</v>
      </c>
      <c r="AG16" s="489"/>
    </row>
    <row r="17" spans="1:33" ht="16.5" customHeight="1">
      <c r="A17" s="526" t="s">
        <v>1964</v>
      </c>
      <c r="B17" s="340" t="s">
        <v>103</v>
      </c>
      <c r="C17" s="515" t="s">
        <v>132</v>
      </c>
      <c r="D17" s="515"/>
      <c r="E17" s="42">
        <v>50.92</v>
      </c>
      <c r="F17" s="340">
        <v>1739</v>
      </c>
      <c r="G17" s="336">
        <f t="shared" si="15"/>
        <v>88549.88</v>
      </c>
      <c r="H17" s="345" t="s">
        <v>79</v>
      </c>
      <c r="I17" s="335">
        <v>15</v>
      </c>
      <c r="J17" s="37">
        <v>2000</v>
      </c>
      <c r="K17" s="17">
        <f t="shared" si="1"/>
        <v>133.33333333333334</v>
      </c>
      <c r="L17" s="335">
        <v>15</v>
      </c>
      <c r="M17" s="18">
        <f t="shared" si="16"/>
        <v>1932.2222222222235</v>
      </c>
      <c r="N17" s="17">
        <f t="shared" si="3"/>
        <v>128.81481481481489</v>
      </c>
      <c r="O17" s="19">
        <f t="shared" si="4"/>
        <v>0</v>
      </c>
      <c r="P17" s="20">
        <f t="shared" si="5"/>
        <v>-4.518518518518448</v>
      </c>
      <c r="Q17" s="337">
        <f t="shared" si="6"/>
        <v>0.9661111111111117</v>
      </c>
      <c r="R17" s="489"/>
      <c r="S17" s="40">
        <v>0.73472222222222228</v>
      </c>
      <c r="T17" s="40">
        <v>0.77222222222222225</v>
      </c>
      <c r="U17" s="336">
        <f t="shared" si="18"/>
        <v>6.9999999999999751</v>
      </c>
      <c r="V17" s="338">
        <f t="shared" si="17"/>
        <v>53.999999999999972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-67.777777777776464</v>
      </c>
      <c r="AF17" s="337">
        <f t="shared" si="9"/>
        <v>0.96611111111111181</v>
      </c>
      <c r="AG17" s="489"/>
    </row>
    <row r="18" spans="1:33" ht="16.5" customHeight="1">
      <c r="A18" s="526" t="s">
        <v>1964</v>
      </c>
      <c r="B18" s="340" t="s">
        <v>103</v>
      </c>
      <c r="C18" s="515" t="s">
        <v>133</v>
      </c>
      <c r="D18" s="515"/>
      <c r="E18" s="42">
        <v>50.67</v>
      </c>
      <c r="F18" s="340">
        <v>1347</v>
      </c>
      <c r="G18" s="336">
        <f t="shared" si="15"/>
        <v>68252.490000000005</v>
      </c>
      <c r="H18" s="345" t="s">
        <v>79</v>
      </c>
      <c r="I18" s="335">
        <v>15</v>
      </c>
      <c r="J18" s="37">
        <v>2000</v>
      </c>
      <c r="K18" s="17">
        <f t="shared" si="1"/>
        <v>133.33333333333334</v>
      </c>
      <c r="L18" s="335">
        <v>15</v>
      </c>
      <c r="M18" s="18">
        <f t="shared" si="16"/>
        <v>1924.2857142857138</v>
      </c>
      <c r="N18" s="17">
        <f t="shared" si="3"/>
        <v>128.28571428571425</v>
      </c>
      <c r="O18" s="19">
        <f t="shared" si="4"/>
        <v>0</v>
      </c>
      <c r="P18" s="20">
        <f t="shared" si="5"/>
        <v>-5.0476190476190936</v>
      </c>
      <c r="Q18" s="337">
        <f t="shared" si="6"/>
        <v>0.96214285714285686</v>
      </c>
      <c r="R18" s="489"/>
      <c r="S18" s="40">
        <v>0.77708333333333335</v>
      </c>
      <c r="T18" s="40">
        <v>0.80625000000000002</v>
      </c>
      <c r="U18" s="336">
        <f t="shared" si="18"/>
        <v>6.9999999999999751</v>
      </c>
      <c r="V18" s="338">
        <f t="shared" si="17"/>
        <v>42.000000000000014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-75.714285714286234</v>
      </c>
      <c r="AF18" s="337">
        <f t="shared" si="9"/>
        <v>0.96214285714285686</v>
      </c>
      <c r="AG18" s="489"/>
    </row>
    <row r="19" spans="1:33" ht="16.5" customHeight="1">
      <c r="A19" s="526" t="s">
        <v>1964</v>
      </c>
      <c r="B19" s="340" t="s">
        <v>103</v>
      </c>
      <c r="C19" s="521" t="s">
        <v>134</v>
      </c>
      <c r="D19" s="522"/>
      <c r="E19" s="42">
        <v>57.3</v>
      </c>
      <c r="F19" s="340">
        <v>1601</v>
      </c>
      <c r="G19" s="336">
        <f t="shared" si="15"/>
        <v>91737.299999999988</v>
      </c>
      <c r="H19" s="345" t="s">
        <v>79</v>
      </c>
      <c r="I19" s="335">
        <v>13</v>
      </c>
      <c r="J19" s="37">
        <v>2000</v>
      </c>
      <c r="K19" s="17">
        <f t="shared" si="1"/>
        <v>153.84615384615384</v>
      </c>
      <c r="L19" s="335">
        <v>13</v>
      </c>
      <c r="M19" s="18">
        <f t="shared" si="16"/>
        <v>1921.2000000000007</v>
      </c>
      <c r="N19" s="17">
        <f t="shared" si="3"/>
        <v>147.78461538461545</v>
      </c>
      <c r="O19" s="19">
        <f t="shared" si="4"/>
        <v>0</v>
      </c>
      <c r="P19" s="20">
        <f t="shared" si="5"/>
        <v>-6.0615384615383903</v>
      </c>
      <c r="Q19" s="337">
        <f t="shared" si="6"/>
        <v>0.96060000000000045</v>
      </c>
      <c r="R19" s="489"/>
      <c r="S19" s="40">
        <v>0.81041666666666667</v>
      </c>
      <c r="T19" s="40">
        <v>0.84513888888888888</v>
      </c>
      <c r="U19" s="336">
        <f t="shared" si="18"/>
        <v>5.9999999999999787</v>
      </c>
      <c r="V19" s="338">
        <f t="shared" si="17"/>
        <v>49.999999999999986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-78.799999999999272</v>
      </c>
      <c r="AF19" s="337">
        <f t="shared" si="9"/>
        <v>0.96060000000000034</v>
      </c>
      <c r="AG19" s="489"/>
    </row>
    <row r="20" spans="1:33" ht="16.5" customHeight="1">
      <c r="A20" s="526" t="s">
        <v>1964</v>
      </c>
      <c r="B20" s="42" t="s">
        <v>1962</v>
      </c>
      <c r="C20" s="494"/>
      <c r="D20" s="494"/>
      <c r="E20" s="341"/>
      <c r="F20" s="44"/>
      <c r="G20" s="17"/>
      <c r="H20" s="340"/>
      <c r="I20" s="30">
        <v>17.166666666666668</v>
      </c>
      <c r="J20" s="37">
        <v>1833.3333333333333</v>
      </c>
      <c r="K20" s="17">
        <f t="shared" si="1"/>
        <v>106.79611650485435</v>
      </c>
      <c r="L20" s="30">
        <v>17.166666666666668</v>
      </c>
      <c r="M20" s="18">
        <f>AVERAGE(M14:M19)</f>
        <v>1764.0340087289394</v>
      </c>
      <c r="N20" s="17">
        <f t="shared" si="3"/>
        <v>102.75926264440423</v>
      </c>
      <c r="O20" s="19">
        <f t="shared" si="4"/>
        <v>0</v>
      </c>
      <c r="P20" s="20">
        <f t="shared" si="5"/>
        <v>-4.0368538604501225</v>
      </c>
      <c r="Q20" s="337">
        <f t="shared" si="6"/>
        <v>0.96220036839760337</v>
      </c>
      <c r="R20" s="489"/>
      <c r="S20" s="40"/>
      <c r="T20" s="40"/>
      <c r="U20" s="336"/>
      <c r="V20" s="338"/>
      <c r="W20" s="17"/>
      <c r="X20" s="17"/>
      <c r="Y20" s="31">
        <f>SUM(Y14:Y19)</f>
        <v>0</v>
      </c>
      <c r="Z20" s="31">
        <f>SUM(Z14:Z19)</f>
        <v>0</v>
      </c>
      <c r="AA20" s="495"/>
      <c r="AB20" s="495"/>
      <c r="AC20" s="31">
        <v>3</v>
      </c>
      <c r="AD20" s="31">
        <f>SUM(AD14:AD19)</f>
        <v>0</v>
      </c>
      <c r="AE20" s="19">
        <f t="shared" si="8"/>
        <v>-69.29932460439386</v>
      </c>
      <c r="AF20" s="337">
        <f t="shared" si="9"/>
        <v>0.96220036839760337</v>
      </c>
      <c r="AG20" s="489"/>
    </row>
    <row r="21" spans="1:33" ht="15.75" customHeight="1">
      <c r="A21" s="519" t="s">
        <v>1965</v>
      </c>
      <c r="B21" s="42" t="s">
        <v>126</v>
      </c>
      <c r="C21" s="515" t="s">
        <v>135</v>
      </c>
      <c r="D21" s="515"/>
      <c r="E21" s="42">
        <v>43.14</v>
      </c>
      <c r="F21" s="340">
        <v>932</v>
      </c>
      <c r="G21" s="336">
        <f t="shared" ref="G21:G27" si="19">E21*F21</f>
        <v>40206.480000000003</v>
      </c>
      <c r="H21" s="345" t="s">
        <v>79</v>
      </c>
      <c r="I21" s="335">
        <v>17</v>
      </c>
      <c r="J21" s="37">
        <v>2000</v>
      </c>
      <c r="K21" s="17">
        <f t="shared" si="1"/>
        <v>117.64705882352941</v>
      </c>
      <c r="L21" s="335">
        <v>17</v>
      </c>
      <c r="M21" s="18">
        <f t="shared" ref="M21:M27" si="20">F21/V21*60</f>
        <v>1928.2758620689644</v>
      </c>
      <c r="N21" s="17">
        <f t="shared" si="3"/>
        <v>113.42799188640967</v>
      </c>
      <c r="O21" s="19">
        <f t="shared" si="4"/>
        <v>0</v>
      </c>
      <c r="P21" s="20">
        <f t="shared" si="5"/>
        <v>-4.2190669371197345</v>
      </c>
      <c r="Q21" s="337">
        <f t="shared" si="6"/>
        <v>0.96413793103448231</v>
      </c>
      <c r="R21" s="489">
        <f>Q28</f>
        <v>0.96511633281080733</v>
      </c>
      <c r="S21" s="40">
        <v>0.20833333333333334</v>
      </c>
      <c r="T21" s="40">
        <v>0.22847222222222224</v>
      </c>
      <c r="U21" s="336"/>
      <c r="V21" s="338">
        <f t="shared" ref="V21:V27" si="21">(T21-S21)*24*60</f>
        <v>29.000000000000018</v>
      </c>
      <c r="W21" s="28"/>
      <c r="X21" s="28"/>
      <c r="Y21" s="28"/>
      <c r="Z21" s="28"/>
      <c r="AA21" s="491"/>
      <c r="AB21" s="491"/>
      <c r="AC21" s="154">
        <v>3</v>
      </c>
      <c r="AD21" s="25"/>
      <c r="AE21" s="19">
        <f t="shared" si="8"/>
        <v>-71.724137931035557</v>
      </c>
      <c r="AF21" s="337">
        <f t="shared" si="9"/>
        <v>0.9641379310344822</v>
      </c>
      <c r="AG21" s="489">
        <f>AF28</f>
        <v>0.96511633281080733</v>
      </c>
    </row>
    <row r="22" spans="1:33" ht="15.75" customHeight="1">
      <c r="A22" s="520" t="s">
        <v>1965</v>
      </c>
      <c r="B22" s="42" t="s">
        <v>103</v>
      </c>
      <c r="C22" s="515" t="s">
        <v>137</v>
      </c>
      <c r="D22" s="515"/>
      <c r="E22" s="42">
        <v>57.73</v>
      </c>
      <c r="F22" s="340">
        <v>2089</v>
      </c>
      <c r="G22" s="336">
        <f t="shared" si="19"/>
        <v>120597.96999999999</v>
      </c>
      <c r="H22" s="345" t="s">
        <v>79</v>
      </c>
      <c r="I22" s="335">
        <v>14</v>
      </c>
      <c r="J22" s="37">
        <v>2000</v>
      </c>
      <c r="K22" s="17">
        <f t="shared" si="1"/>
        <v>142.85714285714286</v>
      </c>
      <c r="L22" s="335">
        <v>14</v>
      </c>
      <c r="M22" s="18">
        <f t="shared" si="20"/>
        <v>1928.3076923076933</v>
      </c>
      <c r="N22" s="17">
        <f t="shared" si="3"/>
        <v>137.73626373626379</v>
      </c>
      <c r="O22" s="19">
        <f t="shared" si="4"/>
        <v>0</v>
      </c>
      <c r="P22" s="20">
        <f t="shared" si="5"/>
        <v>-5.1208791208790672</v>
      </c>
      <c r="Q22" s="337">
        <f t="shared" si="6"/>
        <v>0.96415384615384658</v>
      </c>
      <c r="R22" s="489"/>
      <c r="S22" s="40">
        <v>0.23402777777777781</v>
      </c>
      <c r="T22" s="40">
        <v>0.27916666666666667</v>
      </c>
      <c r="U22" s="336">
        <f t="shared" ref="U22:U27" si="22">IF(S22=TIME(17,0,0),"",(S22-T21)*24*60)</f>
        <v>8.0000000000000107</v>
      </c>
      <c r="V22" s="338">
        <f t="shared" si="21"/>
        <v>64.999999999999972</v>
      </c>
      <c r="W22" s="23"/>
      <c r="X22" s="336"/>
      <c r="Y22" s="336"/>
      <c r="Z22" s="336"/>
      <c r="AA22" s="491"/>
      <c r="AB22" s="491"/>
      <c r="AC22" s="154"/>
      <c r="AD22" s="25"/>
      <c r="AE22" s="19">
        <f t="shared" si="8"/>
        <v>-71.692307692306713</v>
      </c>
      <c r="AF22" s="337">
        <f t="shared" si="9"/>
        <v>0.96415384615384669</v>
      </c>
      <c r="AG22" s="489"/>
    </row>
    <row r="23" spans="1:33" ht="15.75" customHeight="1">
      <c r="A23" s="520" t="s">
        <v>1965</v>
      </c>
      <c r="B23" s="42" t="s">
        <v>103</v>
      </c>
      <c r="C23" s="515" t="s">
        <v>138</v>
      </c>
      <c r="D23" s="515"/>
      <c r="E23" s="42">
        <v>53.68</v>
      </c>
      <c r="F23" s="340">
        <v>1316</v>
      </c>
      <c r="G23" s="336">
        <f t="shared" si="19"/>
        <v>70642.880000000005</v>
      </c>
      <c r="H23" s="345" t="s">
        <v>79</v>
      </c>
      <c r="I23" s="335">
        <v>16</v>
      </c>
      <c r="J23" s="37">
        <v>2000</v>
      </c>
      <c r="K23" s="17">
        <f t="shared" si="1"/>
        <v>125</v>
      </c>
      <c r="L23" s="335">
        <v>16</v>
      </c>
      <c r="M23" s="18">
        <f t="shared" si="20"/>
        <v>1925.8536585365848</v>
      </c>
      <c r="N23" s="17">
        <f t="shared" si="3"/>
        <v>120.36585365853655</v>
      </c>
      <c r="O23" s="19">
        <f t="shared" si="4"/>
        <v>0</v>
      </c>
      <c r="P23" s="20">
        <f t="shared" si="5"/>
        <v>-4.6341463414634489</v>
      </c>
      <c r="Q23" s="337">
        <f t="shared" si="6"/>
        <v>0.96292682926829243</v>
      </c>
      <c r="R23" s="489"/>
      <c r="S23" s="40">
        <v>0.28472222222222221</v>
      </c>
      <c r="T23" s="40">
        <v>0.31319444444444444</v>
      </c>
      <c r="U23" s="336">
        <f t="shared" si="22"/>
        <v>7.9999999999999716</v>
      </c>
      <c r="V23" s="338">
        <f t="shared" si="21"/>
        <v>41.000000000000014</v>
      </c>
      <c r="W23" s="23"/>
      <c r="X23" s="336"/>
      <c r="Y23" s="336"/>
      <c r="Z23" s="336"/>
      <c r="AA23" s="491"/>
      <c r="AB23" s="491"/>
      <c r="AC23" s="154"/>
      <c r="AD23" s="25"/>
      <c r="AE23" s="19">
        <f t="shared" si="8"/>
        <v>-74.146341463415183</v>
      </c>
      <c r="AF23" s="337">
        <f t="shared" si="9"/>
        <v>0.96292682926829243</v>
      </c>
      <c r="AG23" s="489"/>
    </row>
    <row r="24" spans="1:33" ht="15.75" customHeight="1">
      <c r="A24" s="520" t="s">
        <v>1965</v>
      </c>
      <c r="B24" s="42" t="s">
        <v>103</v>
      </c>
      <c r="C24" s="515" t="s">
        <v>140</v>
      </c>
      <c r="D24" s="515"/>
      <c r="E24" s="42">
        <v>50.49</v>
      </c>
      <c r="F24" s="340">
        <v>1640</v>
      </c>
      <c r="G24" s="336">
        <f t="shared" si="19"/>
        <v>82803.600000000006</v>
      </c>
      <c r="H24" s="345" t="s">
        <v>79</v>
      </c>
      <c r="I24" s="335">
        <v>15</v>
      </c>
      <c r="J24" s="37">
        <v>2000</v>
      </c>
      <c r="K24" s="17">
        <f t="shared" si="1"/>
        <v>133.33333333333334</v>
      </c>
      <c r="L24" s="335">
        <v>15</v>
      </c>
      <c r="M24" s="18">
        <f t="shared" si="20"/>
        <v>1929.4117647058831</v>
      </c>
      <c r="N24" s="17">
        <f t="shared" si="3"/>
        <v>128.62745098039221</v>
      </c>
      <c r="O24" s="19">
        <f t="shared" si="4"/>
        <v>0</v>
      </c>
      <c r="P24" s="20">
        <f t="shared" si="5"/>
        <v>-4.7058823529411313</v>
      </c>
      <c r="Q24" s="337">
        <f t="shared" si="6"/>
        <v>0.96470588235294152</v>
      </c>
      <c r="R24" s="489"/>
      <c r="S24" s="40">
        <v>0.70833333333333337</v>
      </c>
      <c r="T24" s="40">
        <v>0.74375000000000002</v>
      </c>
      <c r="U24" s="336" t="str">
        <f t="shared" si="22"/>
        <v/>
      </c>
      <c r="V24" s="338">
        <f t="shared" si="21"/>
        <v>50.999999999999979</v>
      </c>
      <c r="W24" s="23"/>
      <c r="X24" s="336"/>
      <c r="Y24" s="336"/>
      <c r="Z24" s="336"/>
      <c r="AA24" s="491"/>
      <c r="AB24" s="491"/>
      <c r="AC24" s="154"/>
      <c r="AD24" s="25"/>
      <c r="AE24" s="19">
        <f t="shared" si="8"/>
        <v>-70.588235294116885</v>
      </c>
      <c r="AF24" s="337">
        <f t="shared" si="9"/>
        <v>0.96470588235294152</v>
      </c>
      <c r="AG24" s="489"/>
    </row>
    <row r="25" spans="1:33" ht="15.75" customHeight="1">
      <c r="A25" s="520" t="s">
        <v>1965</v>
      </c>
      <c r="B25" s="42" t="s">
        <v>103</v>
      </c>
      <c r="C25" s="515" t="s">
        <v>516</v>
      </c>
      <c r="D25" s="515"/>
      <c r="E25" s="42">
        <v>50.67</v>
      </c>
      <c r="F25" s="340">
        <v>1225</v>
      </c>
      <c r="G25" s="336">
        <f t="shared" si="19"/>
        <v>62070.75</v>
      </c>
      <c r="H25" s="345" t="s">
        <v>79</v>
      </c>
      <c r="I25" s="335">
        <v>16</v>
      </c>
      <c r="J25" s="37">
        <v>2000</v>
      </c>
      <c r="K25" s="17">
        <f t="shared" si="1"/>
        <v>125</v>
      </c>
      <c r="L25" s="335">
        <v>16</v>
      </c>
      <c r="M25" s="18">
        <f t="shared" si="20"/>
        <v>1934.2105263157882</v>
      </c>
      <c r="N25" s="17">
        <f t="shared" si="3"/>
        <v>120.88815789473676</v>
      </c>
      <c r="O25" s="19">
        <f t="shared" si="4"/>
        <v>0</v>
      </c>
      <c r="P25" s="20">
        <f t="shared" si="5"/>
        <v>-4.1118421052632357</v>
      </c>
      <c r="Q25" s="337">
        <f t="shared" si="6"/>
        <v>0.96710526315789413</v>
      </c>
      <c r="R25" s="489"/>
      <c r="S25" s="40">
        <v>0.74930555555555556</v>
      </c>
      <c r="T25" s="40">
        <v>0.77569444444444446</v>
      </c>
      <c r="U25" s="336">
        <f t="shared" si="22"/>
        <v>7.9999999999999716</v>
      </c>
      <c r="V25" s="338">
        <f t="shared" si="21"/>
        <v>38.000000000000028</v>
      </c>
      <c r="W25" s="23"/>
      <c r="X25" s="336"/>
      <c r="Y25" s="336"/>
      <c r="Z25" s="336"/>
      <c r="AA25" s="491"/>
      <c r="AB25" s="491"/>
      <c r="AC25" s="154"/>
      <c r="AD25" s="25"/>
      <c r="AE25" s="19">
        <f t="shared" si="8"/>
        <v>-65.789473684211771</v>
      </c>
      <c r="AF25" s="337">
        <f t="shared" si="9"/>
        <v>0.96710526315789413</v>
      </c>
      <c r="AG25" s="489"/>
    </row>
    <row r="26" spans="1:33" ht="15.75" customHeight="1">
      <c r="A26" s="520" t="s">
        <v>1965</v>
      </c>
      <c r="B26" s="42" t="s">
        <v>103</v>
      </c>
      <c r="C26" s="515" t="s">
        <v>142</v>
      </c>
      <c r="D26" s="515"/>
      <c r="E26" s="42">
        <v>53.68</v>
      </c>
      <c r="F26" s="340">
        <v>1571</v>
      </c>
      <c r="G26" s="336">
        <f t="shared" si="19"/>
        <v>84331.28</v>
      </c>
      <c r="H26" s="345" t="s">
        <v>79</v>
      </c>
      <c r="I26" s="335">
        <v>16</v>
      </c>
      <c r="J26" s="37">
        <v>1500</v>
      </c>
      <c r="K26" s="17">
        <f t="shared" si="1"/>
        <v>93.75</v>
      </c>
      <c r="L26" s="335">
        <v>16</v>
      </c>
      <c r="M26" s="18">
        <f t="shared" si="20"/>
        <v>1450.1538461538478</v>
      </c>
      <c r="N26" s="17">
        <f t="shared" si="3"/>
        <v>90.634615384615486</v>
      </c>
      <c r="O26" s="19">
        <f t="shared" si="4"/>
        <v>0</v>
      </c>
      <c r="P26" s="20">
        <f t="shared" si="5"/>
        <v>-3.1153846153845137</v>
      </c>
      <c r="Q26" s="337">
        <f t="shared" si="6"/>
        <v>0.96676923076923182</v>
      </c>
      <c r="R26" s="489"/>
      <c r="S26" s="40">
        <v>0.78125</v>
      </c>
      <c r="T26" s="40">
        <v>0.82638888888888884</v>
      </c>
      <c r="U26" s="336">
        <f t="shared" si="22"/>
        <v>7.9999999999999716</v>
      </c>
      <c r="V26" s="338">
        <f t="shared" si="21"/>
        <v>64.999999999999929</v>
      </c>
      <c r="W26" s="23"/>
      <c r="X26" s="28"/>
      <c r="Y26" s="28"/>
      <c r="Z26" s="28"/>
      <c r="AA26" s="491"/>
      <c r="AB26" s="491"/>
      <c r="AC26" s="154"/>
      <c r="AD26" s="25"/>
      <c r="AE26" s="19">
        <f t="shared" si="8"/>
        <v>-49.84615384615222</v>
      </c>
      <c r="AF26" s="337">
        <f t="shared" si="9"/>
        <v>0.96676923076923182</v>
      </c>
      <c r="AG26" s="489"/>
    </row>
    <row r="27" spans="1:33" ht="15.75" customHeight="1">
      <c r="A27" s="520" t="s">
        <v>1965</v>
      </c>
      <c r="B27" s="42" t="s">
        <v>103</v>
      </c>
      <c r="C27" s="515" t="s">
        <v>123</v>
      </c>
      <c r="D27" s="515"/>
      <c r="E27" s="42">
        <v>50.98</v>
      </c>
      <c r="F27" s="340">
        <v>902</v>
      </c>
      <c r="G27" s="336">
        <f t="shared" si="19"/>
        <v>45983.96</v>
      </c>
      <c r="H27" s="345" t="s">
        <v>79</v>
      </c>
      <c r="I27" s="335">
        <v>16</v>
      </c>
      <c r="J27" s="37">
        <v>2000</v>
      </c>
      <c r="K27" s="17">
        <f t="shared" si="1"/>
        <v>125</v>
      </c>
      <c r="L27" s="335">
        <v>16</v>
      </c>
      <c r="M27" s="18">
        <f t="shared" si="20"/>
        <v>1932.8571428571386</v>
      </c>
      <c r="N27" s="17">
        <f t="shared" si="3"/>
        <v>120.80357142857116</v>
      </c>
      <c r="O27" s="19">
        <f t="shared" si="4"/>
        <v>0</v>
      </c>
      <c r="P27" s="20">
        <f t="shared" si="5"/>
        <v>-4.1964285714288394</v>
      </c>
      <c r="Q27" s="337">
        <f t="shared" si="6"/>
        <v>0.96642857142856931</v>
      </c>
      <c r="R27" s="489"/>
      <c r="S27" s="40">
        <v>0.83194444444444438</v>
      </c>
      <c r="T27" s="40">
        <v>0.85138888888888886</v>
      </c>
      <c r="U27" s="336">
        <f t="shared" si="22"/>
        <v>7.9999999999999716</v>
      </c>
      <c r="V27" s="338">
        <f t="shared" si="21"/>
        <v>28.00000000000006</v>
      </c>
      <c r="W27" s="23"/>
      <c r="X27" s="28"/>
      <c r="Y27" s="29"/>
      <c r="Z27" s="29"/>
      <c r="AA27" s="503"/>
      <c r="AB27" s="504"/>
      <c r="AC27" s="154"/>
      <c r="AD27" s="25"/>
      <c r="AE27" s="19">
        <f t="shared" si="8"/>
        <v>-67.14285714286143</v>
      </c>
      <c r="AF27" s="337">
        <f t="shared" si="9"/>
        <v>0.96642857142856931</v>
      </c>
      <c r="AG27" s="489"/>
    </row>
    <row r="28" spans="1:33" ht="15.75" customHeight="1">
      <c r="A28" s="520" t="s">
        <v>1965</v>
      </c>
      <c r="B28" s="42" t="s">
        <v>1962</v>
      </c>
      <c r="C28" s="494"/>
      <c r="D28" s="494"/>
      <c r="E28" s="341"/>
      <c r="F28" s="340"/>
      <c r="G28" s="336"/>
      <c r="H28" s="340"/>
      <c r="I28" s="30">
        <v>15.714285714285714</v>
      </c>
      <c r="J28" s="37">
        <v>1928.5714285714287</v>
      </c>
      <c r="K28" s="17">
        <f t="shared" si="1"/>
        <v>122.72727272727273</v>
      </c>
      <c r="L28" s="30">
        <v>15.714285714285714</v>
      </c>
      <c r="M28" s="18">
        <f>AVERAGE(M21:M27)</f>
        <v>1861.295784706557</v>
      </c>
      <c r="N28" s="17">
        <f t="shared" si="3"/>
        <v>118.44609539041727</v>
      </c>
      <c r="O28" s="19">
        <f t="shared" si="4"/>
        <v>0</v>
      </c>
      <c r="P28" s="20">
        <f t="shared" si="5"/>
        <v>-4.281177336855464</v>
      </c>
      <c r="Q28" s="337">
        <f t="shared" si="6"/>
        <v>0.96511633281080733</v>
      </c>
      <c r="R28" s="489"/>
      <c r="S28" s="40"/>
      <c r="T28" s="40"/>
      <c r="U28" s="17"/>
      <c r="V28" s="338"/>
      <c r="W28" s="17"/>
      <c r="X28" s="17"/>
      <c r="Y28" s="31">
        <f>SUM(Y21:Y27)</f>
        <v>0</v>
      </c>
      <c r="Z28" s="31">
        <f>SUM(Z21:Z27)</f>
        <v>0</v>
      </c>
      <c r="AA28" s="495"/>
      <c r="AB28" s="495"/>
      <c r="AC28" s="31">
        <v>3</v>
      </c>
      <c r="AD28" s="31">
        <f>SUM(AD21:AD27)</f>
        <v>0</v>
      </c>
      <c r="AE28" s="19">
        <f t="shared" si="8"/>
        <v>-67.275643864871654</v>
      </c>
      <c r="AF28" s="337">
        <f t="shared" si="9"/>
        <v>0.96511633281080733</v>
      </c>
      <c r="AG28" s="489"/>
    </row>
    <row r="29" spans="1:33" ht="15.75" customHeight="1">
      <c r="A29" s="518" t="s">
        <v>1966</v>
      </c>
      <c r="B29" s="42" t="s">
        <v>80</v>
      </c>
      <c r="C29" s="515" t="s">
        <v>81</v>
      </c>
      <c r="D29" s="515"/>
      <c r="E29" s="42">
        <v>31.29</v>
      </c>
      <c r="F29" s="340">
        <v>7678</v>
      </c>
      <c r="G29" s="336">
        <f t="shared" ref="G29:G33" si="23">E29*F29</f>
        <v>240244.62</v>
      </c>
      <c r="H29" s="345" t="s">
        <v>79</v>
      </c>
      <c r="I29" s="335">
        <v>18</v>
      </c>
      <c r="J29" s="37">
        <v>2400</v>
      </c>
      <c r="K29" s="17">
        <f t="shared" si="1"/>
        <v>133.33333333333334</v>
      </c>
      <c r="L29" s="335">
        <v>18</v>
      </c>
      <c r="M29" s="18">
        <f t="shared" ref="M29:M33" si="24">F29/V29*60</f>
        <v>2280.5940594059407</v>
      </c>
      <c r="N29" s="17">
        <f t="shared" si="3"/>
        <v>126.69966996699671</v>
      </c>
      <c r="O29" s="19">
        <f t="shared" si="4"/>
        <v>0</v>
      </c>
      <c r="P29" s="20">
        <f t="shared" si="5"/>
        <v>-6.6336633663366342</v>
      </c>
      <c r="Q29" s="337">
        <f t="shared" si="6"/>
        <v>0.9502475247524752</v>
      </c>
      <c r="R29" s="489">
        <f>Q34</f>
        <v>0.9553939182993727</v>
      </c>
      <c r="S29" s="40">
        <v>8.3333333333333329E-2</v>
      </c>
      <c r="T29" s="40">
        <v>0.22361111111111109</v>
      </c>
      <c r="U29" s="336"/>
      <c r="V29" s="338">
        <f t="shared" ref="V29:V33" si="25">(T29-S29)*24*60</f>
        <v>202</v>
      </c>
      <c r="W29" s="23">
        <f>T29</f>
        <v>0.22361111111111109</v>
      </c>
      <c r="X29" s="23">
        <f>S30</f>
        <v>0.24236111111111111</v>
      </c>
      <c r="Y29" s="23"/>
      <c r="Z29" s="23"/>
      <c r="AA29" s="491"/>
      <c r="AB29" s="491"/>
      <c r="AC29" s="154">
        <v>7</v>
      </c>
      <c r="AD29" s="25"/>
      <c r="AE29" s="19">
        <f t="shared" si="8"/>
        <v>-119.4059405940593</v>
      </c>
      <c r="AF29" s="337">
        <f t="shared" si="9"/>
        <v>0.95024752475247531</v>
      </c>
      <c r="AG29" s="489">
        <f>AF34</f>
        <v>0.95539391829937281</v>
      </c>
    </row>
    <row r="30" spans="1:33" ht="15.75" customHeight="1">
      <c r="A30" s="518" t="s">
        <v>1966</v>
      </c>
      <c r="B30" s="42" t="s">
        <v>80</v>
      </c>
      <c r="C30" s="515" t="s">
        <v>82</v>
      </c>
      <c r="D30" s="515"/>
      <c r="E30" s="42">
        <v>26.2</v>
      </c>
      <c r="F30" s="340">
        <v>4211</v>
      </c>
      <c r="G30" s="336">
        <f t="shared" si="23"/>
        <v>110328.2</v>
      </c>
      <c r="H30" s="345" t="s">
        <v>79</v>
      </c>
      <c r="I30" s="335">
        <v>20</v>
      </c>
      <c r="J30" s="37">
        <v>2400</v>
      </c>
      <c r="K30" s="17">
        <f t="shared" si="1"/>
        <v>120</v>
      </c>
      <c r="L30" s="335">
        <v>20</v>
      </c>
      <c r="M30" s="18">
        <f t="shared" si="24"/>
        <v>2296.9090909090914</v>
      </c>
      <c r="N30" s="17">
        <f t="shared" si="3"/>
        <v>114.84545454545457</v>
      </c>
      <c r="O30" s="19">
        <f t="shared" si="4"/>
        <v>0</v>
      </c>
      <c r="P30" s="20">
        <f t="shared" si="5"/>
        <v>-5.1545454545454277</v>
      </c>
      <c r="Q30" s="337">
        <f t="shared" si="6"/>
        <v>0.95704545454545475</v>
      </c>
      <c r="R30" s="489"/>
      <c r="S30" s="40">
        <v>0.24236111111111111</v>
      </c>
      <c r="T30" s="40">
        <v>0.31874999999999998</v>
      </c>
      <c r="U30" s="336">
        <f t="shared" ref="U30:U33" si="26">(S30-T29)*24*60</f>
        <v>27.000000000000025</v>
      </c>
      <c r="V30" s="338">
        <f t="shared" si="25"/>
        <v>109.99999999999997</v>
      </c>
      <c r="W30" s="23"/>
      <c r="X30" s="23"/>
      <c r="Y30" s="23"/>
      <c r="Z30" s="23"/>
      <c r="AA30" s="491"/>
      <c r="AB30" s="491"/>
      <c r="AC30" s="154"/>
      <c r="AD30" s="25"/>
      <c r="AE30" s="19">
        <f t="shared" si="8"/>
        <v>-103.09090909090855</v>
      </c>
      <c r="AF30" s="337">
        <f t="shared" si="9"/>
        <v>0.95704545454545475</v>
      </c>
      <c r="AG30" s="489"/>
    </row>
    <row r="31" spans="1:33" ht="15.75" customHeight="1">
      <c r="A31" s="518" t="s">
        <v>1966</v>
      </c>
      <c r="B31" s="42" t="s">
        <v>80</v>
      </c>
      <c r="C31" s="515" t="s">
        <v>83</v>
      </c>
      <c r="D31" s="515"/>
      <c r="E31" s="42">
        <v>25.99</v>
      </c>
      <c r="F31" s="340">
        <v>3743</v>
      </c>
      <c r="G31" s="336">
        <f t="shared" si="23"/>
        <v>97280.569999999992</v>
      </c>
      <c r="H31" s="345" t="s">
        <v>79</v>
      </c>
      <c r="I31" s="335">
        <v>14</v>
      </c>
      <c r="J31" s="37">
        <v>2400</v>
      </c>
      <c r="K31" s="17">
        <f t="shared" si="1"/>
        <v>171.42857142857142</v>
      </c>
      <c r="L31" s="335">
        <v>14</v>
      </c>
      <c r="M31" s="18">
        <f t="shared" si="24"/>
        <v>2291.632653061225</v>
      </c>
      <c r="N31" s="17">
        <f t="shared" si="3"/>
        <v>163.68804664723035</v>
      </c>
      <c r="O31" s="19">
        <f t="shared" si="4"/>
        <v>0</v>
      </c>
      <c r="P31" s="20">
        <f t="shared" si="5"/>
        <v>-7.7405247813410654</v>
      </c>
      <c r="Q31" s="337">
        <f t="shared" si="6"/>
        <v>0.95484693877551041</v>
      </c>
      <c r="R31" s="489"/>
      <c r="S31" s="40">
        <v>0.32291666666666663</v>
      </c>
      <c r="T31" s="40">
        <v>0.39097222222222217</v>
      </c>
      <c r="U31" s="336">
        <f t="shared" si="26"/>
        <v>5.9999999999999787</v>
      </c>
      <c r="V31" s="338">
        <f t="shared" si="25"/>
        <v>97.999999999999972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-108.36734693877497</v>
      </c>
      <c r="AF31" s="337">
        <f t="shared" si="9"/>
        <v>0.95484693877551041</v>
      </c>
      <c r="AG31" s="489"/>
    </row>
    <row r="32" spans="1:33" ht="15.75" customHeight="1">
      <c r="A32" s="518" t="s">
        <v>1966</v>
      </c>
      <c r="B32" s="42" t="s">
        <v>80</v>
      </c>
      <c r="C32" s="515" t="s">
        <v>84</v>
      </c>
      <c r="D32" s="515"/>
      <c r="E32" s="42">
        <v>20.52</v>
      </c>
      <c r="F32" s="340">
        <v>3679</v>
      </c>
      <c r="G32" s="336">
        <f t="shared" si="23"/>
        <v>75493.08</v>
      </c>
      <c r="H32" s="345" t="s">
        <v>79</v>
      </c>
      <c r="I32" s="335">
        <v>18</v>
      </c>
      <c r="J32" s="37">
        <v>2400</v>
      </c>
      <c r="K32" s="17">
        <f t="shared" si="1"/>
        <v>133.33333333333334</v>
      </c>
      <c r="L32" s="335">
        <v>18</v>
      </c>
      <c r="M32" s="18">
        <f t="shared" si="24"/>
        <v>2299.3750000000009</v>
      </c>
      <c r="N32" s="17">
        <f t="shared" si="3"/>
        <v>127.7430555555556</v>
      </c>
      <c r="O32" s="19">
        <f t="shared" si="4"/>
        <v>0</v>
      </c>
      <c r="P32" s="20">
        <f t="shared" si="5"/>
        <v>-5.590277777777743</v>
      </c>
      <c r="Q32" s="337">
        <f t="shared" si="6"/>
        <v>0.95807291666666694</v>
      </c>
      <c r="R32" s="489"/>
      <c r="S32" s="40">
        <v>0.39444444444444438</v>
      </c>
      <c r="T32" s="40">
        <v>0.46111111111111103</v>
      </c>
      <c r="U32" s="336">
        <f t="shared" si="26"/>
        <v>4.9999999999999822</v>
      </c>
      <c r="V32" s="338">
        <f t="shared" si="25"/>
        <v>95.999999999999972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-100.62499999999909</v>
      </c>
      <c r="AF32" s="337">
        <f t="shared" si="9"/>
        <v>0.95807291666666705</v>
      </c>
      <c r="AG32" s="489"/>
    </row>
    <row r="33" spans="1:33" ht="15.75" customHeight="1">
      <c r="A33" s="518" t="s">
        <v>1966</v>
      </c>
      <c r="B33" s="42" t="s">
        <v>80</v>
      </c>
      <c r="C33" s="515" t="s">
        <v>85</v>
      </c>
      <c r="D33" s="515"/>
      <c r="E33" s="42">
        <v>25.98</v>
      </c>
      <c r="F33" s="340">
        <v>2832</v>
      </c>
      <c r="G33" s="336">
        <f t="shared" si="23"/>
        <v>73575.360000000001</v>
      </c>
      <c r="H33" s="345" t="s">
        <v>79</v>
      </c>
      <c r="I33" s="335">
        <v>21</v>
      </c>
      <c r="J33" s="37">
        <v>2400</v>
      </c>
      <c r="K33" s="17">
        <f t="shared" si="1"/>
        <v>114.28571428571429</v>
      </c>
      <c r="L33" s="335">
        <v>21</v>
      </c>
      <c r="M33" s="18">
        <f t="shared" si="24"/>
        <v>2296.2162162162144</v>
      </c>
      <c r="N33" s="17">
        <f t="shared" si="3"/>
        <v>109.34362934362926</v>
      </c>
      <c r="O33" s="19">
        <f t="shared" si="4"/>
        <v>0</v>
      </c>
      <c r="P33" s="20">
        <f t="shared" si="5"/>
        <v>-4.9420849420850317</v>
      </c>
      <c r="Q33" s="337">
        <f t="shared" si="6"/>
        <v>0.95675675675675598</v>
      </c>
      <c r="R33" s="489"/>
      <c r="S33" s="40">
        <v>0.46666666666666656</v>
      </c>
      <c r="T33" s="40">
        <v>0.51805555555555549</v>
      </c>
      <c r="U33" s="336">
        <f t="shared" si="26"/>
        <v>7.9999999999999716</v>
      </c>
      <c r="V33" s="338">
        <f t="shared" si="25"/>
        <v>74.000000000000057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-103.78378378378557</v>
      </c>
      <c r="AF33" s="337">
        <f t="shared" si="9"/>
        <v>0.95675675675675598</v>
      </c>
      <c r="AG33" s="489"/>
    </row>
    <row r="34" spans="1:33" ht="15.75" customHeight="1">
      <c r="A34" s="518" t="s">
        <v>1966</v>
      </c>
      <c r="B34" s="42" t="s">
        <v>1962</v>
      </c>
      <c r="C34" s="494"/>
      <c r="D34" s="494"/>
      <c r="E34" s="341"/>
      <c r="F34" s="340"/>
      <c r="G34" s="336"/>
      <c r="H34" s="340"/>
      <c r="I34" s="30">
        <v>18.2</v>
      </c>
      <c r="J34" s="37">
        <v>2400</v>
      </c>
      <c r="K34" s="17">
        <f t="shared" si="1"/>
        <v>131.86813186813188</v>
      </c>
      <c r="L34" s="30">
        <v>18.2</v>
      </c>
      <c r="M34" s="18">
        <f>AVERAGE(M29:M33)</f>
        <v>2292.9454039184948</v>
      </c>
      <c r="N34" s="17">
        <f t="shared" si="3"/>
        <v>125.9860112043129</v>
      </c>
      <c r="O34" s="19">
        <f t="shared" si="4"/>
        <v>0</v>
      </c>
      <c r="P34" s="20">
        <f t="shared" si="5"/>
        <v>-5.8821206638189807</v>
      </c>
      <c r="Q34" s="337">
        <f t="shared" si="6"/>
        <v>0.9553939182993727</v>
      </c>
      <c r="R34" s="489"/>
      <c r="S34" s="40"/>
      <c r="T34" s="40"/>
      <c r="U34" s="336"/>
      <c r="V34" s="338"/>
      <c r="W34" s="336"/>
      <c r="X34" s="336"/>
      <c r="Y34" s="31">
        <f>SUM(Y29:Y33)</f>
        <v>0</v>
      </c>
      <c r="Z34" s="31">
        <f>SUM(Z29:Z33)</f>
        <v>0</v>
      </c>
      <c r="AA34" s="495"/>
      <c r="AB34" s="495"/>
      <c r="AC34" s="31">
        <v>7</v>
      </c>
      <c r="AD34" s="31">
        <f>SUM(AD29:AD33)</f>
        <v>0</v>
      </c>
      <c r="AE34" s="19">
        <f t="shared" si="8"/>
        <v>-107.05459608150522</v>
      </c>
      <c r="AF34" s="337">
        <f t="shared" si="9"/>
        <v>0.95539391829937281</v>
      </c>
      <c r="AG34" s="489"/>
    </row>
    <row r="35" spans="1:33" ht="15.75" customHeight="1">
      <c r="A35" s="516" t="s">
        <v>1967</v>
      </c>
      <c r="B35" s="42" t="s">
        <v>80</v>
      </c>
      <c r="C35" s="490" t="s">
        <v>87</v>
      </c>
      <c r="D35" s="490"/>
      <c r="E35" s="42">
        <v>26.2</v>
      </c>
      <c r="F35" s="340">
        <v>5138</v>
      </c>
      <c r="G35" s="336">
        <f t="shared" ref="G35:G41" si="27">E35*F35</f>
        <v>134615.6</v>
      </c>
      <c r="H35" s="345" t="s">
        <v>79</v>
      </c>
      <c r="I35" s="335">
        <v>18</v>
      </c>
      <c r="J35" s="37">
        <v>2400</v>
      </c>
      <c r="K35" s="17">
        <f t="shared" si="1"/>
        <v>133.33333333333334</v>
      </c>
      <c r="L35" s="335">
        <v>18</v>
      </c>
      <c r="M35" s="18">
        <f t="shared" ref="M35:M41" si="28">F35/V35*60</f>
        <v>2283.5555555555557</v>
      </c>
      <c r="N35" s="17">
        <f t="shared" si="3"/>
        <v>126.8641975308642</v>
      </c>
      <c r="O35" s="19">
        <f t="shared" si="4"/>
        <v>0</v>
      </c>
      <c r="P35" s="20">
        <f t="shared" si="5"/>
        <v>-6.4691358024691397</v>
      </c>
      <c r="Q35" s="337">
        <f t="shared" si="6"/>
        <v>0.95148148148148148</v>
      </c>
      <c r="R35" s="489">
        <f>Q42</f>
        <v>0.95435793482620601</v>
      </c>
      <c r="S35" s="40">
        <v>8.3333333333333329E-2</v>
      </c>
      <c r="T35" s="40">
        <v>0.17708333333333331</v>
      </c>
      <c r="U35" s="336"/>
      <c r="V35" s="338">
        <f t="shared" ref="V35:V41" si="29">(T35-S35)*24*60</f>
        <v>134.99999999999997</v>
      </c>
      <c r="W35" s="28">
        <f>T35</f>
        <v>0.17708333333333331</v>
      </c>
      <c r="X35" s="28">
        <f>S36</f>
        <v>0.19652777777777777</v>
      </c>
      <c r="Y35" s="28"/>
      <c r="Z35" s="28"/>
      <c r="AA35" s="491"/>
      <c r="AB35" s="491"/>
      <c r="AC35" s="154">
        <v>8</v>
      </c>
      <c r="AD35" s="25"/>
      <c r="AE35" s="19">
        <f t="shared" si="8"/>
        <v>-116.44444444444434</v>
      </c>
      <c r="AF35" s="337">
        <f t="shared" si="9"/>
        <v>0.95148148148148148</v>
      </c>
      <c r="AG35" s="489">
        <f>AF42</f>
        <v>0.95435793482620601</v>
      </c>
    </row>
    <row r="36" spans="1:33" ht="15.75" customHeight="1">
      <c r="A36" s="516" t="s">
        <v>1967</v>
      </c>
      <c r="B36" s="42" t="s">
        <v>80</v>
      </c>
      <c r="C36" s="490" t="s">
        <v>88</v>
      </c>
      <c r="D36" s="490"/>
      <c r="E36" s="42">
        <v>26.18</v>
      </c>
      <c r="F36" s="340">
        <v>2210</v>
      </c>
      <c r="G36" s="336">
        <f t="shared" si="27"/>
        <v>57857.8</v>
      </c>
      <c r="H36" s="345" t="s">
        <v>79</v>
      </c>
      <c r="I36" s="335">
        <v>19</v>
      </c>
      <c r="J36" s="37">
        <v>2400</v>
      </c>
      <c r="K36" s="17">
        <f t="shared" si="1"/>
        <v>126.31578947368421</v>
      </c>
      <c r="L36" s="335">
        <v>19</v>
      </c>
      <c r="M36" s="18">
        <f t="shared" si="28"/>
        <v>2286.2068965517242</v>
      </c>
      <c r="N36" s="17">
        <f t="shared" si="3"/>
        <v>120.32667876588022</v>
      </c>
      <c r="O36" s="19">
        <f t="shared" si="4"/>
        <v>0</v>
      </c>
      <c r="P36" s="20">
        <f t="shared" si="5"/>
        <v>-5.989110707803988</v>
      </c>
      <c r="Q36" s="337">
        <f t="shared" si="6"/>
        <v>0.95258620689655171</v>
      </c>
      <c r="R36" s="489"/>
      <c r="S36" s="40">
        <v>0.19652777777777777</v>
      </c>
      <c r="T36" s="40">
        <v>0.23680555555555555</v>
      </c>
      <c r="U36" s="336">
        <f t="shared" ref="U36:U41" si="30">(S36-T35)*24*60</f>
        <v>28.000000000000021</v>
      </c>
      <c r="V36" s="338">
        <f t="shared" si="29"/>
        <v>57.999999999999993</v>
      </c>
      <c r="W36" s="336"/>
      <c r="X36" s="336"/>
      <c r="Y36" s="336"/>
      <c r="Z36" s="336"/>
      <c r="AA36" s="491"/>
      <c r="AB36" s="491"/>
      <c r="AC36" s="154"/>
      <c r="AD36" s="25"/>
      <c r="AE36" s="19">
        <f t="shared" si="8"/>
        <v>-113.79310344827582</v>
      </c>
      <c r="AF36" s="337">
        <f t="shared" si="9"/>
        <v>0.95258620689655171</v>
      </c>
      <c r="AG36" s="489"/>
    </row>
    <row r="37" spans="1:33">
      <c r="A37" s="517" t="s">
        <v>1967</v>
      </c>
      <c r="B37" s="42" t="s">
        <v>80</v>
      </c>
      <c r="C37" s="490" t="s">
        <v>89</v>
      </c>
      <c r="D37" s="490"/>
      <c r="E37" s="42">
        <v>26.39</v>
      </c>
      <c r="F37" s="340">
        <v>5057</v>
      </c>
      <c r="G37" s="336">
        <f t="shared" si="27"/>
        <v>133454.23000000001</v>
      </c>
      <c r="H37" s="345" t="s">
        <v>79</v>
      </c>
      <c r="I37" s="335">
        <v>19</v>
      </c>
      <c r="J37" s="37">
        <v>2400</v>
      </c>
      <c r="K37" s="17">
        <f t="shared" si="1"/>
        <v>126.31578947368421</v>
      </c>
      <c r="L37" s="335">
        <v>19</v>
      </c>
      <c r="M37" s="18">
        <f t="shared" si="28"/>
        <v>2298.6363636363626</v>
      </c>
      <c r="N37" s="17">
        <f t="shared" si="3"/>
        <v>120.98086124401908</v>
      </c>
      <c r="O37" s="19">
        <f t="shared" si="4"/>
        <v>0</v>
      </c>
      <c r="P37" s="20">
        <f t="shared" si="5"/>
        <v>-5.3349282296651239</v>
      </c>
      <c r="Q37" s="337">
        <f t="shared" si="6"/>
        <v>0.95776515151515107</v>
      </c>
      <c r="R37" s="489"/>
      <c r="S37" s="40">
        <v>0.24166666666666667</v>
      </c>
      <c r="T37" s="40">
        <v>0.33333333333333337</v>
      </c>
      <c r="U37" s="336">
        <f t="shared" si="30"/>
        <v>7.0000000000000151</v>
      </c>
      <c r="V37" s="338">
        <f t="shared" si="29"/>
        <v>132.00000000000006</v>
      </c>
      <c r="W37" s="336"/>
      <c r="X37" s="336"/>
      <c r="Y37" s="336"/>
      <c r="Z37" s="336"/>
      <c r="AA37" s="491"/>
      <c r="AB37" s="491"/>
      <c r="AC37" s="154"/>
      <c r="AD37" s="25"/>
      <c r="AE37" s="19">
        <f t="shared" si="8"/>
        <v>-101.3636363636374</v>
      </c>
      <c r="AF37" s="337">
        <f t="shared" si="9"/>
        <v>0.95776515151515107</v>
      </c>
      <c r="AG37" s="489"/>
    </row>
    <row r="38" spans="1:33">
      <c r="A38" s="517" t="s">
        <v>1967</v>
      </c>
      <c r="B38" s="42" t="s">
        <v>80</v>
      </c>
      <c r="C38" s="490" t="s">
        <v>90</v>
      </c>
      <c r="D38" s="490"/>
      <c r="E38" s="42">
        <v>22.69</v>
      </c>
      <c r="F38" s="340">
        <v>1640</v>
      </c>
      <c r="G38" s="336">
        <f t="shared" si="27"/>
        <v>37211.599999999999</v>
      </c>
      <c r="H38" s="345" t="s">
        <v>79</v>
      </c>
      <c r="I38" s="335">
        <v>15</v>
      </c>
      <c r="J38" s="37">
        <v>2400</v>
      </c>
      <c r="K38" s="17">
        <f t="shared" si="1"/>
        <v>160</v>
      </c>
      <c r="L38" s="335">
        <v>15</v>
      </c>
      <c r="M38" s="18">
        <f t="shared" si="28"/>
        <v>2288.3720930232557</v>
      </c>
      <c r="N38" s="17">
        <f t="shared" si="3"/>
        <v>152.55813953488371</v>
      </c>
      <c r="O38" s="19">
        <f t="shared" si="4"/>
        <v>0</v>
      </c>
      <c r="P38" s="20">
        <f t="shared" si="5"/>
        <v>-7.4418604651162923</v>
      </c>
      <c r="Q38" s="337">
        <f t="shared" si="6"/>
        <v>0.95348837209302317</v>
      </c>
      <c r="R38" s="489"/>
      <c r="S38" s="40">
        <v>0.33888888888888891</v>
      </c>
      <c r="T38" s="40">
        <v>0.36875000000000002</v>
      </c>
      <c r="U38" s="336">
        <f t="shared" si="30"/>
        <v>7.9999999999999716</v>
      </c>
      <c r="V38" s="338">
        <f t="shared" si="29"/>
        <v>43.000000000000007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-111.62790697674427</v>
      </c>
      <c r="AF38" s="337">
        <f t="shared" si="9"/>
        <v>0.95348837209302317</v>
      </c>
      <c r="AG38" s="489"/>
    </row>
    <row r="39" spans="1:33">
      <c r="A39" s="517" t="s">
        <v>1967</v>
      </c>
      <c r="B39" s="42" t="s">
        <v>80</v>
      </c>
      <c r="C39" s="490" t="s">
        <v>91</v>
      </c>
      <c r="D39" s="490"/>
      <c r="E39" s="42">
        <v>24.45</v>
      </c>
      <c r="F39" s="340">
        <v>2360</v>
      </c>
      <c r="G39" s="336">
        <f t="shared" si="27"/>
        <v>57702</v>
      </c>
      <c r="H39" s="345" t="s">
        <v>79</v>
      </c>
      <c r="I39" s="335">
        <v>20</v>
      </c>
      <c r="J39" s="37">
        <v>2400</v>
      </c>
      <c r="K39" s="17">
        <f t="shared" si="1"/>
        <v>120</v>
      </c>
      <c r="L39" s="335">
        <v>20</v>
      </c>
      <c r="M39" s="18">
        <f t="shared" si="28"/>
        <v>2283.8709677419347</v>
      </c>
      <c r="N39" s="17">
        <f t="shared" si="3"/>
        <v>114.19354838709674</v>
      </c>
      <c r="O39" s="19">
        <f t="shared" si="4"/>
        <v>0</v>
      </c>
      <c r="P39" s="20">
        <f t="shared" si="5"/>
        <v>-5.8064516129032597</v>
      </c>
      <c r="Q39" s="337">
        <f t="shared" si="6"/>
        <v>0.95161290322580616</v>
      </c>
      <c r="R39" s="489"/>
      <c r="S39" s="40">
        <v>0.37430555555555556</v>
      </c>
      <c r="T39" s="40">
        <v>0.41736111111111113</v>
      </c>
      <c r="U39" s="336">
        <f t="shared" si="30"/>
        <v>7.9999999999999716</v>
      </c>
      <c r="V39" s="338">
        <f t="shared" si="29"/>
        <v>62.000000000000021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-116.12903225806531</v>
      </c>
      <c r="AF39" s="337">
        <f t="shared" si="9"/>
        <v>0.95161290322580616</v>
      </c>
      <c r="AG39" s="489"/>
    </row>
    <row r="40" spans="1:33">
      <c r="A40" s="517" t="s">
        <v>1967</v>
      </c>
      <c r="B40" s="42" t="s">
        <v>80</v>
      </c>
      <c r="C40" s="490" t="s">
        <v>1224</v>
      </c>
      <c r="D40" s="490"/>
      <c r="E40" s="42">
        <v>22.69</v>
      </c>
      <c r="F40" s="340">
        <v>4300</v>
      </c>
      <c r="G40" s="336">
        <f t="shared" si="27"/>
        <v>97567</v>
      </c>
      <c r="H40" s="345">
        <v>2</v>
      </c>
      <c r="I40" s="335">
        <v>16</v>
      </c>
      <c r="J40" s="37">
        <v>2400</v>
      </c>
      <c r="K40" s="17">
        <f t="shared" si="1"/>
        <v>150</v>
      </c>
      <c r="L40" s="335">
        <v>16</v>
      </c>
      <c r="M40" s="18">
        <f t="shared" si="28"/>
        <v>2303.5714285714289</v>
      </c>
      <c r="N40" s="17">
        <f t="shared" si="3"/>
        <v>143.97321428571431</v>
      </c>
      <c r="O40" s="19">
        <f t="shared" si="4"/>
        <v>0</v>
      </c>
      <c r="P40" s="20">
        <f t="shared" si="5"/>
        <v>-6.026785714285694</v>
      </c>
      <c r="Q40" s="337">
        <f t="shared" si="6"/>
        <v>0.95982142857142871</v>
      </c>
      <c r="R40" s="489"/>
      <c r="S40" s="40">
        <v>0.42152777777777778</v>
      </c>
      <c r="T40" s="40">
        <v>0.49930555555555556</v>
      </c>
      <c r="U40" s="336">
        <f t="shared" si="30"/>
        <v>5.9999999999999787</v>
      </c>
      <c r="V40" s="338">
        <f t="shared" si="29"/>
        <v>112</v>
      </c>
      <c r="W40" s="23">
        <f>T40</f>
        <v>0.49930555555555556</v>
      </c>
      <c r="X40" s="23">
        <f>S41</f>
        <v>0.54027777777777775</v>
      </c>
      <c r="Y40" s="23"/>
      <c r="Z40" s="23"/>
      <c r="AA40" s="491"/>
      <c r="AB40" s="491"/>
      <c r="AC40" s="154"/>
      <c r="AD40" s="25"/>
      <c r="AE40" s="19">
        <f t="shared" si="8"/>
        <v>-96.428571428571104</v>
      </c>
      <c r="AF40" s="337">
        <f t="shared" si="9"/>
        <v>0.95982142857142871</v>
      </c>
      <c r="AG40" s="489"/>
    </row>
    <row r="41" spans="1:33">
      <c r="A41" s="517" t="s">
        <v>1967</v>
      </c>
      <c r="B41" s="42" t="s">
        <v>80</v>
      </c>
      <c r="C41" s="490" t="s">
        <v>1224</v>
      </c>
      <c r="D41" s="490"/>
      <c r="E41" s="42">
        <v>22.69</v>
      </c>
      <c r="F41" s="340">
        <v>5341</v>
      </c>
      <c r="G41" s="336">
        <f t="shared" si="27"/>
        <v>121187.29000000001</v>
      </c>
      <c r="H41" s="345" t="s">
        <v>79</v>
      </c>
      <c r="I41" s="335">
        <v>16</v>
      </c>
      <c r="J41" s="37">
        <v>2400</v>
      </c>
      <c r="K41" s="17">
        <f t="shared" si="1"/>
        <v>150</v>
      </c>
      <c r="L41" s="335">
        <v>16</v>
      </c>
      <c r="M41" s="18">
        <f t="shared" si="28"/>
        <v>2289.0000000000005</v>
      </c>
      <c r="N41" s="17">
        <f t="shared" si="3"/>
        <v>143.06250000000003</v>
      </c>
      <c r="O41" s="19">
        <f t="shared" si="4"/>
        <v>0</v>
      </c>
      <c r="P41" s="20">
        <f t="shared" si="5"/>
        <v>-6.9374999999999716</v>
      </c>
      <c r="Q41" s="337">
        <f t="shared" si="6"/>
        <v>0.95375000000000021</v>
      </c>
      <c r="R41" s="489"/>
      <c r="S41" s="40">
        <v>0.54027777777777775</v>
      </c>
      <c r="T41" s="40">
        <v>0.63749999999999996</v>
      </c>
      <c r="U41" s="336">
        <f t="shared" si="30"/>
        <v>58.99999999999995</v>
      </c>
      <c r="V41" s="338">
        <f t="shared" si="29"/>
        <v>139.99999999999997</v>
      </c>
      <c r="W41" s="23"/>
      <c r="X41" s="23"/>
      <c r="Y41" s="26"/>
      <c r="Z41" s="26"/>
      <c r="AA41" s="503"/>
      <c r="AB41" s="504"/>
      <c r="AC41" s="154"/>
      <c r="AD41" s="25"/>
      <c r="AE41" s="19">
        <f t="shared" si="8"/>
        <v>-110.99999999999955</v>
      </c>
      <c r="AF41" s="337">
        <f t="shared" si="9"/>
        <v>0.95375000000000021</v>
      </c>
      <c r="AG41" s="489"/>
    </row>
    <row r="42" spans="1:33">
      <c r="A42" s="517" t="s">
        <v>1967</v>
      </c>
      <c r="B42" s="44" t="s">
        <v>1962</v>
      </c>
      <c r="C42" s="494"/>
      <c r="D42" s="494"/>
      <c r="E42" s="341"/>
      <c r="F42" s="44"/>
      <c r="G42" s="17"/>
      <c r="H42" s="340"/>
      <c r="I42" s="30">
        <v>17.571428571428573</v>
      </c>
      <c r="J42" s="37">
        <v>2400</v>
      </c>
      <c r="K42" s="17">
        <f t="shared" si="1"/>
        <v>136.58536585365852</v>
      </c>
      <c r="L42" s="30">
        <v>17.571428571428573</v>
      </c>
      <c r="M42" s="18">
        <f>AVERAGE(M35:M41)</f>
        <v>2290.4590435828945</v>
      </c>
      <c r="N42" s="17">
        <f t="shared" si="3"/>
        <v>130.35132768357934</v>
      </c>
      <c r="O42" s="19">
        <f t="shared" si="4"/>
        <v>0</v>
      </c>
      <c r="P42" s="20">
        <f t="shared" si="5"/>
        <v>-6.2340381700791738</v>
      </c>
      <c r="Q42" s="337">
        <f t="shared" si="6"/>
        <v>0.95435793482620601</v>
      </c>
      <c r="R42" s="489"/>
      <c r="S42" s="40"/>
      <c r="T42" s="40"/>
      <c r="U42" s="17"/>
      <c r="V42" s="338"/>
      <c r="W42" s="17"/>
      <c r="X42" s="17"/>
      <c r="Y42" s="31">
        <f>SUM(Y35:Y41)</f>
        <v>0</v>
      </c>
      <c r="Z42" s="31">
        <f>SUM(Z35:Z41)</f>
        <v>0</v>
      </c>
      <c r="AA42" s="495"/>
      <c r="AB42" s="495"/>
      <c r="AC42" s="31">
        <v>8</v>
      </c>
      <c r="AD42" s="31">
        <f>SUM(AD35:AD41)</f>
        <v>0</v>
      </c>
      <c r="AE42" s="19">
        <f t="shared" si="8"/>
        <v>-109.54095641710546</v>
      </c>
      <c r="AF42" s="337">
        <f t="shared" si="9"/>
        <v>0.95435793482620601</v>
      </c>
      <c r="AG42" s="489"/>
    </row>
    <row r="43" spans="1:33" ht="15.75" customHeight="1">
      <c r="A43" s="512" t="s">
        <v>1968</v>
      </c>
      <c r="B43" s="42" t="s">
        <v>93</v>
      </c>
      <c r="C43" s="501" t="s">
        <v>94</v>
      </c>
      <c r="D43" s="502"/>
      <c r="E43" s="42">
        <v>21.13</v>
      </c>
      <c r="F43" s="340">
        <v>4491</v>
      </c>
      <c r="G43" s="336">
        <f t="shared" ref="G43:G49" si="31">E43*F43</f>
        <v>94894.83</v>
      </c>
      <c r="H43" s="345" t="s">
        <v>79</v>
      </c>
      <c r="I43" s="335">
        <v>10</v>
      </c>
      <c r="J43" s="37">
        <v>3000</v>
      </c>
      <c r="K43" s="17">
        <f t="shared" si="1"/>
        <v>300</v>
      </c>
      <c r="L43" s="335">
        <v>10</v>
      </c>
      <c r="M43" s="18">
        <f t="shared" ref="M43:M49" si="32">F43/V43*60</f>
        <v>2866.5957446808507</v>
      </c>
      <c r="N43" s="18">
        <f t="shared" si="3"/>
        <v>286.65957446808505</v>
      </c>
      <c r="O43" s="19">
        <f t="shared" si="4"/>
        <v>0</v>
      </c>
      <c r="P43" s="20">
        <f t="shared" si="5"/>
        <v>-13.340425531914946</v>
      </c>
      <c r="Q43" s="337">
        <f t="shared" si="6"/>
        <v>0.95553191489361688</v>
      </c>
      <c r="R43" s="509">
        <f>Q50</f>
        <v>0.95666153098935447</v>
      </c>
      <c r="S43" s="40">
        <v>8.3333333333333329E-2</v>
      </c>
      <c r="T43" s="40">
        <v>0.14861111111111111</v>
      </c>
      <c r="U43" s="28"/>
      <c r="V43" s="338">
        <f t="shared" ref="V43:V49" si="33">(T43-S43)*24*60</f>
        <v>94.000000000000014</v>
      </c>
      <c r="W43" s="23">
        <f>T43</f>
        <v>0.14861111111111111</v>
      </c>
      <c r="X43" s="23">
        <f>S44</f>
        <v>0.1673611111111111</v>
      </c>
      <c r="Y43" s="26"/>
      <c r="Z43" s="26"/>
      <c r="AA43" s="503"/>
      <c r="AB43" s="504"/>
      <c r="AC43" s="154" t="s">
        <v>79</v>
      </c>
      <c r="AD43" s="25"/>
      <c r="AE43" s="19">
        <f t="shared" si="8"/>
        <v>-133.40425531914934</v>
      </c>
      <c r="AF43" s="337">
        <f t="shared" si="9"/>
        <v>0.95553191489361688</v>
      </c>
      <c r="AG43" s="509">
        <f>AF50</f>
        <v>0.95666153098935458</v>
      </c>
    </row>
    <row r="44" spans="1:33" ht="15.75" customHeight="1">
      <c r="A44" s="513" t="s">
        <v>1968</v>
      </c>
      <c r="B44" s="42" t="s">
        <v>93</v>
      </c>
      <c r="C44" s="501" t="s">
        <v>95</v>
      </c>
      <c r="D44" s="502"/>
      <c r="E44" s="42">
        <v>27.17</v>
      </c>
      <c r="F44" s="340">
        <v>6042</v>
      </c>
      <c r="G44" s="336">
        <f t="shared" si="31"/>
        <v>164161.14000000001</v>
      </c>
      <c r="H44" s="345" t="s">
        <v>79</v>
      </c>
      <c r="I44" s="335">
        <v>10</v>
      </c>
      <c r="J44" s="37">
        <v>3000</v>
      </c>
      <c r="K44" s="17">
        <f t="shared" si="1"/>
        <v>300</v>
      </c>
      <c r="L44" s="335">
        <v>10</v>
      </c>
      <c r="M44" s="18">
        <f t="shared" si="32"/>
        <v>2877.1428571428578</v>
      </c>
      <c r="N44" s="18">
        <f t="shared" si="3"/>
        <v>287.71428571428578</v>
      </c>
      <c r="O44" s="19">
        <f t="shared" si="4"/>
        <v>0</v>
      </c>
      <c r="P44" s="20">
        <f t="shared" si="5"/>
        <v>-12.285714285714221</v>
      </c>
      <c r="Q44" s="337">
        <f t="shared" si="6"/>
        <v>0.95904761904761926</v>
      </c>
      <c r="R44" s="510"/>
      <c r="S44" s="40">
        <v>0.1673611111111111</v>
      </c>
      <c r="T44" s="40">
        <v>0.25486111111111109</v>
      </c>
      <c r="U44" s="336">
        <f t="shared" ref="U44:U49" si="34">(S44-T43)*24*60</f>
        <v>26.999999999999986</v>
      </c>
      <c r="V44" s="338">
        <f t="shared" si="33"/>
        <v>125.99999999999997</v>
      </c>
      <c r="W44" s="23"/>
      <c r="X44" s="23"/>
      <c r="Y44" s="26"/>
      <c r="Z44" s="26"/>
      <c r="AA44" s="503"/>
      <c r="AB44" s="504"/>
      <c r="AC44" s="154">
        <v>1</v>
      </c>
      <c r="AD44" s="25"/>
      <c r="AE44" s="19">
        <f t="shared" si="8"/>
        <v>-122.85714285714221</v>
      </c>
      <c r="AF44" s="337">
        <f t="shared" si="9"/>
        <v>0.95904761904761926</v>
      </c>
      <c r="AG44" s="510"/>
    </row>
    <row r="45" spans="1:33" ht="15.75" customHeight="1">
      <c r="A45" s="513" t="s">
        <v>1968</v>
      </c>
      <c r="B45" s="42" t="s">
        <v>93</v>
      </c>
      <c r="C45" s="501" t="s">
        <v>96</v>
      </c>
      <c r="D45" s="502"/>
      <c r="E45" s="42">
        <v>35.119999999999997</v>
      </c>
      <c r="F45" s="340">
        <v>4145</v>
      </c>
      <c r="G45" s="336">
        <f t="shared" si="31"/>
        <v>145572.4</v>
      </c>
      <c r="H45" s="345" t="s">
        <v>79</v>
      </c>
      <c r="I45" s="335">
        <v>10</v>
      </c>
      <c r="J45" s="37">
        <v>3000</v>
      </c>
      <c r="K45" s="17">
        <f t="shared" si="1"/>
        <v>300</v>
      </c>
      <c r="L45" s="335">
        <v>10</v>
      </c>
      <c r="M45" s="18">
        <f t="shared" si="32"/>
        <v>2858.6206896551721</v>
      </c>
      <c r="N45" s="18">
        <f t="shared" si="3"/>
        <v>285.86206896551721</v>
      </c>
      <c r="O45" s="19">
        <f t="shared" si="4"/>
        <v>0</v>
      </c>
      <c r="P45" s="20">
        <f t="shared" si="5"/>
        <v>-14.13793103448279</v>
      </c>
      <c r="Q45" s="337">
        <f t="shared" si="6"/>
        <v>0.95287356321839067</v>
      </c>
      <c r="R45" s="510"/>
      <c r="S45" s="40">
        <v>0.25972222222222219</v>
      </c>
      <c r="T45" s="40">
        <v>0.32013888888888886</v>
      </c>
      <c r="U45" s="336">
        <f t="shared" si="34"/>
        <v>6.9999999999999751</v>
      </c>
      <c r="V45" s="338">
        <f t="shared" si="33"/>
        <v>87.000000000000014</v>
      </c>
      <c r="W45" s="23"/>
      <c r="X45" s="23"/>
      <c r="Y45" s="26"/>
      <c r="Z45" s="26"/>
      <c r="AA45" s="503"/>
      <c r="AB45" s="504"/>
      <c r="AC45" s="154" t="s">
        <v>79</v>
      </c>
      <c r="AD45" s="25"/>
      <c r="AE45" s="19">
        <f t="shared" si="8"/>
        <v>-141.3793103448279</v>
      </c>
      <c r="AF45" s="337">
        <f t="shared" si="9"/>
        <v>0.95287356321839067</v>
      </c>
      <c r="AG45" s="510"/>
    </row>
    <row r="46" spans="1:33" ht="15.75" customHeight="1">
      <c r="A46" s="513" t="s">
        <v>1968</v>
      </c>
      <c r="B46" s="42" t="s">
        <v>93</v>
      </c>
      <c r="C46" s="501" t="s">
        <v>110</v>
      </c>
      <c r="D46" s="502"/>
      <c r="E46" s="42">
        <v>26.78</v>
      </c>
      <c r="F46" s="340">
        <v>2428</v>
      </c>
      <c r="G46" s="336">
        <f t="shared" si="31"/>
        <v>65021.840000000004</v>
      </c>
      <c r="H46" s="345" t="s">
        <v>79</v>
      </c>
      <c r="I46" s="335">
        <v>10</v>
      </c>
      <c r="J46" s="37">
        <v>3000</v>
      </c>
      <c r="K46" s="17">
        <f t="shared" si="1"/>
        <v>300</v>
      </c>
      <c r="L46" s="335">
        <v>10</v>
      </c>
      <c r="M46" s="18">
        <f t="shared" si="32"/>
        <v>2856.4705882352955</v>
      </c>
      <c r="N46" s="18">
        <f t="shared" si="3"/>
        <v>285.64705882352956</v>
      </c>
      <c r="O46" s="19">
        <f t="shared" si="4"/>
        <v>0</v>
      </c>
      <c r="P46" s="20">
        <f t="shared" si="5"/>
        <v>-14.352941176470438</v>
      </c>
      <c r="Q46" s="337">
        <f t="shared" si="6"/>
        <v>0.95215686274509859</v>
      </c>
      <c r="R46" s="510"/>
      <c r="S46" s="40">
        <v>0.3256944444444444</v>
      </c>
      <c r="T46" s="40">
        <v>0.36111111111111105</v>
      </c>
      <c r="U46" s="336">
        <f t="shared" si="34"/>
        <v>7.9999999999999716</v>
      </c>
      <c r="V46" s="338">
        <f t="shared" si="33"/>
        <v>50.999999999999979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-143.52941176470449</v>
      </c>
      <c r="AF46" s="337">
        <f t="shared" si="9"/>
        <v>0.95215686274509848</v>
      </c>
      <c r="AG46" s="510"/>
    </row>
    <row r="47" spans="1:33" ht="15.75" customHeight="1">
      <c r="A47" s="513" t="s">
        <v>1968</v>
      </c>
      <c r="B47" s="42" t="s">
        <v>93</v>
      </c>
      <c r="C47" s="501" t="s">
        <v>99</v>
      </c>
      <c r="D47" s="502"/>
      <c r="E47" s="42">
        <v>32.020000000000003</v>
      </c>
      <c r="F47" s="340">
        <v>1886</v>
      </c>
      <c r="G47" s="336">
        <f t="shared" si="31"/>
        <v>60389.720000000008</v>
      </c>
      <c r="H47" s="345" t="s">
        <v>79</v>
      </c>
      <c r="I47" s="335">
        <v>11</v>
      </c>
      <c r="J47" s="37">
        <v>3000</v>
      </c>
      <c r="K47" s="17">
        <f t="shared" si="1"/>
        <v>272.72727272727275</v>
      </c>
      <c r="L47" s="335">
        <v>11</v>
      </c>
      <c r="M47" s="18">
        <f t="shared" si="32"/>
        <v>2901.5384615384596</v>
      </c>
      <c r="N47" s="18">
        <f t="shared" si="3"/>
        <v>263.77622377622362</v>
      </c>
      <c r="O47" s="19">
        <f t="shared" si="4"/>
        <v>0</v>
      </c>
      <c r="P47" s="20">
        <f t="shared" si="5"/>
        <v>-8.9510489510491311</v>
      </c>
      <c r="Q47" s="337">
        <f t="shared" si="6"/>
        <v>0.96717948717948654</v>
      </c>
      <c r="R47" s="510"/>
      <c r="S47" s="40">
        <v>0.36458333333333326</v>
      </c>
      <c r="T47" s="40">
        <v>0.39166666666666661</v>
      </c>
      <c r="U47" s="336">
        <f t="shared" si="34"/>
        <v>4.9999999999999822</v>
      </c>
      <c r="V47" s="338">
        <f t="shared" si="33"/>
        <v>39.000000000000021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-98.461538461540385</v>
      </c>
      <c r="AF47" s="337">
        <f t="shared" si="9"/>
        <v>0.96717948717948654</v>
      </c>
      <c r="AG47" s="510"/>
    </row>
    <row r="48" spans="1:33" ht="15.75" customHeight="1">
      <c r="A48" s="513" t="s">
        <v>1968</v>
      </c>
      <c r="B48" s="42" t="s">
        <v>93</v>
      </c>
      <c r="C48" s="501" t="s">
        <v>112</v>
      </c>
      <c r="D48" s="502"/>
      <c r="E48" s="42">
        <v>35.869999999999997</v>
      </c>
      <c r="F48" s="340">
        <v>3001</v>
      </c>
      <c r="G48" s="336">
        <f t="shared" si="31"/>
        <v>107645.87</v>
      </c>
      <c r="H48" s="345" t="s">
        <v>79</v>
      </c>
      <c r="I48" s="335">
        <v>9</v>
      </c>
      <c r="J48" s="37">
        <v>3000</v>
      </c>
      <c r="K48" s="17">
        <f t="shared" si="1"/>
        <v>333.33333333333331</v>
      </c>
      <c r="L48" s="335">
        <v>9</v>
      </c>
      <c r="M48" s="18">
        <f t="shared" si="32"/>
        <v>2858.0952380952376</v>
      </c>
      <c r="N48" s="18">
        <f t="shared" si="3"/>
        <v>317.56613756613751</v>
      </c>
      <c r="O48" s="19">
        <f t="shared" si="4"/>
        <v>0</v>
      </c>
      <c r="P48" s="20">
        <f t="shared" si="5"/>
        <v>-15.767195767195801</v>
      </c>
      <c r="Q48" s="337">
        <f t="shared" si="6"/>
        <v>0.9526984126984126</v>
      </c>
      <c r="R48" s="510"/>
      <c r="S48" s="40">
        <v>0.39513888888888882</v>
      </c>
      <c r="T48" s="40">
        <v>0.43888888888888883</v>
      </c>
      <c r="U48" s="336">
        <f t="shared" si="34"/>
        <v>4.9999999999999822</v>
      </c>
      <c r="V48" s="338">
        <f t="shared" si="33"/>
        <v>63.000000000000014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-141.90476190476238</v>
      </c>
      <c r="AF48" s="337">
        <f t="shared" si="9"/>
        <v>0.95269841269841249</v>
      </c>
      <c r="AG48" s="510"/>
    </row>
    <row r="49" spans="1:33" ht="15.75" customHeight="1">
      <c r="A49" s="513" t="s">
        <v>1968</v>
      </c>
      <c r="B49" s="42" t="s">
        <v>93</v>
      </c>
      <c r="C49" s="501" t="s">
        <v>1778</v>
      </c>
      <c r="D49" s="502"/>
      <c r="E49" s="42">
        <v>42.09</v>
      </c>
      <c r="F49" s="340">
        <v>5360</v>
      </c>
      <c r="G49" s="336">
        <f t="shared" si="31"/>
        <v>225602.40000000002</v>
      </c>
      <c r="H49" s="345" t="s">
        <v>79</v>
      </c>
      <c r="I49" s="335">
        <v>10</v>
      </c>
      <c r="J49" s="37">
        <v>3000</v>
      </c>
      <c r="K49" s="17">
        <f t="shared" si="1"/>
        <v>300</v>
      </c>
      <c r="L49" s="335">
        <v>10</v>
      </c>
      <c r="M49" s="18">
        <f t="shared" si="32"/>
        <v>2871.4285714285711</v>
      </c>
      <c r="N49" s="18">
        <f t="shared" si="3"/>
        <v>287.14285714285711</v>
      </c>
      <c r="O49" s="19">
        <f t="shared" si="4"/>
        <v>0</v>
      </c>
      <c r="P49" s="20">
        <f t="shared" si="5"/>
        <v>-12.85714285714289</v>
      </c>
      <c r="Q49" s="337">
        <f t="shared" si="6"/>
        <v>0.95714285714285707</v>
      </c>
      <c r="R49" s="510"/>
      <c r="S49" s="40">
        <v>0.44444444444444436</v>
      </c>
      <c r="T49" s="40">
        <v>0.52222222222222214</v>
      </c>
      <c r="U49" s="336">
        <f t="shared" si="34"/>
        <v>7.9999999999999716</v>
      </c>
      <c r="V49" s="338">
        <f t="shared" si="33"/>
        <v>112</v>
      </c>
      <c r="W49" s="23"/>
      <c r="X49" s="23"/>
      <c r="Y49" s="26"/>
      <c r="Z49" s="26"/>
      <c r="AA49" s="503"/>
      <c r="AB49" s="504"/>
      <c r="AC49" s="154">
        <v>1</v>
      </c>
      <c r="AD49" s="25"/>
      <c r="AE49" s="19">
        <f t="shared" si="8"/>
        <v>-128.5714285714289</v>
      </c>
      <c r="AF49" s="337">
        <f t="shared" si="9"/>
        <v>0.95714285714285707</v>
      </c>
      <c r="AG49" s="510"/>
    </row>
    <row r="50" spans="1:33" ht="15.75" customHeight="1">
      <c r="A50" s="514" t="s">
        <v>1968</v>
      </c>
      <c r="B50" s="42" t="s">
        <v>1962</v>
      </c>
      <c r="C50" s="492"/>
      <c r="D50" s="493"/>
      <c r="E50" s="344"/>
      <c r="F50" s="340"/>
      <c r="G50" s="336"/>
      <c r="H50" s="340"/>
      <c r="I50" s="30">
        <v>10</v>
      </c>
      <c r="J50" s="37">
        <v>3000</v>
      </c>
      <c r="K50" s="17">
        <f t="shared" si="1"/>
        <v>300</v>
      </c>
      <c r="L50" s="30">
        <v>10</v>
      </c>
      <c r="M50" s="18">
        <f>AVERAGE(M43:M49)</f>
        <v>2869.9845929680637</v>
      </c>
      <c r="N50" s="17">
        <f t="shared" si="3"/>
        <v>286.99845929680635</v>
      </c>
      <c r="O50" s="19">
        <f t="shared" si="4"/>
        <v>0</v>
      </c>
      <c r="P50" s="20">
        <f t="shared" si="5"/>
        <v>-13.001540703193655</v>
      </c>
      <c r="Q50" s="337">
        <f t="shared" si="6"/>
        <v>0.95666153098935447</v>
      </c>
      <c r="R50" s="511"/>
      <c r="S50" s="40"/>
      <c r="T50" s="40"/>
      <c r="U50" s="336"/>
      <c r="V50" s="338"/>
      <c r="W50" s="23"/>
      <c r="X50" s="23"/>
      <c r="Y50" s="31">
        <f>SUM(Y43:Y49)</f>
        <v>0</v>
      </c>
      <c r="Z50" s="31">
        <f>SUM(Z43:Z49)</f>
        <v>0</v>
      </c>
      <c r="AA50" s="505"/>
      <c r="AB50" s="506"/>
      <c r="AC50" s="31">
        <v>2</v>
      </c>
      <c r="AD50" s="31">
        <f>SUM(AD43:AD49)</f>
        <v>0</v>
      </c>
      <c r="AE50" s="19">
        <f t="shared" si="8"/>
        <v>-130.01540703193632</v>
      </c>
      <c r="AF50" s="337">
        <f t="shared" si="9"/>
        <v>0.95666153098935458</v>
      </c>
      <c r="AG50" s="511"/>
    </row>
    <row r="51" spans="1:33" ht="15.75" customHeight="1">
      <c r="A51" s="507" t="s">
        <v>1969</v>
      </c>
      <c r="B51" s="42" t="s">
        <v>100</v>
      </c>
      <c r="C51" s="490" t="s">
        <v>101</v>
      </c>
      <c r="D51" s="490"/>
      <c r="E51" s="42">
        <v>46</v>
      </c>
      <c r="F51" s="46">
        <v>1399</v>
      </c>
      <c r="G51" s="336">
        <f t="shared" ref="G51:G59" si="35">E51*F51</f>
        <v>64354</v>
      </c>
      <c r="H51" s="345" t="s">
        <v>79</v>
      </c>
      <c r="I51" s="335">
        <v>17</v>
      </c>
      <c r="J51" s="37">
        <v>2000</v>
      </c>
      <c r="K51" s="17">
        <f t="shared" si="1"/>
        <v>117.64705882352941</v>
      </c>
      <c r="L51" s="335">
        <v>17</v>
      </c>
      <c r="M51" s="18">
        <f t="shared" ref="M51:M59" si="36">F51/V51*60</f>
        <v>1907.7272727272727</v>
      </c>
      <c r="N51" s="18">
        <f t="shared" si="3"/>
        <v>112.2192513368984</v>
      </c>
      <c r="O51" s="19">
        <f t="shared" si="4"/>
        <v>0</v>
      </c>
      <c r="P51" s="20">
        <f t="shared" si="5"/>
        <v>-5.4278074866310106</v>
      </c>
      <c r="Q51" s="337">
        <f t="shared" si="6"/>
        <v>0.95386363636363636</v>
      </c>
      <c r="R51" s="489">
        <f>Q60</f>
        <v>0.93650153896020372</v>
      </c>
      <c r="S51" s="40">
        <v>0.20833333333333334</v>
      </c>
      <c r="T51" s="40">
        <v>0.2388888888888889</v>
      </c>
      <c r="U51" s="28"/>
      <c r="V51" s="338">
        <f t="shared" ref="V51:V59" si="37">(T51-S51)*24*60</f>
        <v>44</v>
      </c>
      <c r="W51" s="28"/>
      <c r="X51" s="28"/>
      <c r="Y51" s="28"/>
      <c r="Z51" s="28"/>
      <c r="AA51" s="491"/>
      <c r="AB51" s="491"/>
      <c r="AC51" s="154">
        <v>4</v>
      </c>
      <c r="AD51" s="25"/>
      <c r="AE51" s="19">
        <f t="shared" si="8"/>
        <v>-92.272727272727252</v>
      </c>
      <c r="AF51" s="337">
        <f t="shared" si="9"/>
        <v>0.95386363636363636</v>
      </c>
      <c r="AG51" s="489">
        <f>AF60</f>
        <v>0.93650153896020383</v>
      </c>
    </row>
    <row r="52" spans="1:33" ht="15.75" customHeight="1">
      <c r="A52" s="507" t="s">
        <v>1969</v>
      </c>
      <c r="B52" s="42" t="s">
        <v>100</v>
      </c>
      <c r="C52" s="490" t="s">
        <v>102</v>
      </c>
      <c r="D52" s="490"/>
      <c r="E52" s="42">
        <v>46</v>
      </c>
      <c r="F52" s="46">
        <v>1521</v>
      </c>
      <c r="G52" s="336">
        <f t="shared" si="35"/>
        <v>69966</v>
      </c>
      <c r="H52" s="345" t="s">
        <v>79</v>
      </c>
      <c r="I52" s="335">
        <v>17</v>
      </c>
      <c r="J52" s="37">
        <v>2000</v>
      </c>
      <c r="K52" s="17">
        <f t="shared" si="1"/>
        <v>117.64705882352941</v>
      </c>
      <c r="L52" s="335">
        <v>17</v>
      </c>
      <c r="M52" s="18">
        <f t="shared" si="36"/>
        <v>1941.7021276595729</v>
      </c>
      <c r="N52" s="18">
        <f t="shared" si="3"/>
        <v>114.21777221526899</v>
      </c>
      <c r="O52" s="19">
        <f t="shared" si="4"/>
        <v>0</v>
      </c>
      <c r="P52" s="20">
        <f t="shared" si="5"/>
        <v>-3.4292866082604121</v>
      </c>
      <c r="Q52" s="337">
        <f t="shared" si="6"/>
        <v>0.97085106382978648</v>
      </c>
      <c r="R52" s="489"/>
      <c r="S52" s="40">
        <v>0.24236111111111111</v>
      </c>
      <c r="T52" s="40">
        <v>0.27500000000000002</v>
      </c>
      <c r="U52" s="336">
        <f t="shared" ref="U52:U59" si="38">IF(S52=TIME(17,0,0),"",(S52-T51)*24*60)</f>
        <v>4.9999999999999822</v>
      </c>
      <c r="V52" s="338">
        <f t="shared" si="37"/>
        <v>47.000000000000036</v>
      </c>
      <c r="W52" s="23"/>
      <c r="X52" s="23"/>
      <c r="Y52" s="23"/>
      <c r="Z52" s="23"/>
      <c r="AA52" s="491"/>
      <c r="AB52" s="491"/>
      <c r="AC52" s="154"/>
      <c r="AD52" s="25"/>
      <c r="AE52" s="19">
        <f t="shared" si="8"/>
        <v>-58.297872340427148</v>
      </c>
      <c r="AF52" s="337">
        <f t="shared" si="9"/>
        <v>0.97085106382978648</v>
      </c>
      <c r="AG52" s="489"/>
    </row>
    <row r="53" spans="1:33" ht="15.75" customHeight="1">
      <c r="A53" s="507" t="s">
        <v>1969</v>
      </c>
      <c r="B53" s="42" t="s">
        <v>103</v>
      </c>
      <c r="C53" s="501" t="s">
        <v>105</v>
      </c>
      <c r="D53" s="502"/>
      <c r="E53" s="42">
        <v>56.43</v>
      </c>
      <c r="F53" s="46">
        <v>1614</v>
      </c>
      <c r="G53" s="336">
        <f t="shared" si="35"/>
        <v>91078.02</v>
      </c>
      <c r="H53" s="345" t="s">
        <v>79</v>
      </c>
      <c r="I53" s="335">
        <v>22</v>
      </c>
      <c r="J53" s="37">
        <v>2000</v>
      </c>
      <c r="K53" s="17">
        <f t="shared" si="1"/>
        <v>90.909090909090907</v>
      </c>
      <c r="L53" s="335">
        <v>22</v>
      </c>
      <c r="M53" s="18">
        <f t="shared" si="36"/>
        <v>1729.2857142857156</v>
      </c>
      <c r="N53" s="18">
        <f t="shared" si="3"/>
        <v>78.603896103896162</v>
      </c>
      <c r="O53" s="19">
        <f t="shared" si="4"/>
        <v>0</v>
      </c>
      <c r="P53" s="20">
        <f t="shared" si="5"/>
        <v>-12.305194805194745</v>
      </c>
      <c r="Q53" s="337">
        <f t="shared" si="6"/>
        <v>0.86464285714285782</v>
      </c>
      <c r="R53" s="489"/>
      <c r="S53" s="40">
        <v>0.27916666666666667</v>
      </c>
      <c r="T53" s="40">
        <v>0.31805555555555554</v>
      </c>
      <c r="U53" s="336">
        <f t="shared" si="38"/>
        <v>5.9999999999999787</v>
      </c>
      <c r="V53" s="338">
        <f t="shared" si="37"/>
        <v>55.999999999999957</v>
      </c>
      <c r="W53" s="23"/>
      <c r="X53" s="23"/>
      <c r="Y53" s="26"/>
      <c r="Z53" s="26"/>
      <c r="AA53" s="491"/>
      <c r="AB53" s="491"/>
      <c r="AC53" s="154"/>
      <c r="AD53" s="25"/>
      <c r="AE53" s="19">
        <f t="shared" si="8"/>
        <v>-270.71428571428442</v>
      </c>
      <c r="AF53" s="337">
        <f t="shared" si="9"/>
        <v>0.86464285714285782</v>
      </c>
      <c r="AG53" s="489"/>
    </row>
    <row r="54" spans="1:33" ht="15.75" customHeight="1">
      <c r="A54" s="507" t="s">
        <v>1969</v>
      </c>
      <c r="B54" s="42" t="s">
        <v>103</v>
      </c>
      <c r="C54" s="342" t="s">
        <v>518</v>
      </c>
      <c r="D54" s="343"/>
      <c r="E54" s="42">
        <v>51.75</v>
      </c>
      <c r="F54" s="46">
        <v>1735</v>
      </c>
      <c r="G54" s="336">
        <f t="shared" si="35"/>
        <v>89786.25</v>
      </c>
      <c r="H54" s="345" t="s">
        <v>79</v>
      </c>
      <c r="I54" s="335">
        <v>25</v>
      </c>
      <c r="J54" s="37">
        <v>2000</v>
      </c>
      <c r="K54" s="17">
        <f t="shared" si="1"/>
        <v>80</v>
      </c>
      <c r="L54" s="335">
        <v>25</v>
      </c>
      <c r="M54" s="18">
        <f t="shared" si="36"/>
        <v>1706.5573770491796</v>
      </c>
      <c r="N54" s="18">
        <f t="shared" si="3"/>
        <v>68.262295081967181</v>
      </c>
      <c r="O54" s="19">
        <f t="shared" si="4"/>
        <v>0</v>
      </c>
      <c r="P54" s="20">
        <f t="shared" si="5"/>
        <v>-11.737704918032819</v>
      </c>
      <c r="Q54" s="337">
        <f t="shared" si="6"/>
        <v>0.85327868852458977</v>
      </c>
      <c r="R54" s="489"/>
      <c r="S54" s="40">
        <v>0.32222222222222219</v>
      </c>
      <c r="T54" s="40">
        <v>0.36458333333333331</v>
      </c>
      <c r="U54" s="336">
        <f t="shared" si="38"/>
        <v>5.9999999999999787</v>
      </c>
      <c r="V54" s="338">
        <f t="shared" si="37"/>
        <v>61.000000000000021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-293.44262295082035</v>
      </c>
      <c r="AF54" s="337">
        <f t="shared" si="9"/>
        <v>0.85327868852458988</v>
      </c>
      <c r="AG54" s="489"/>
    </row>
    <row r="55" spans="1:33" ht="15.75" customHeight="1">
      <c r="A55" s="507" t="s">
        <v>1969</v>
      </c>
      <c r="B55" s="42" t="s">
        <v>103</v>
      </c>
      <c r="C55" s="342" t="s">
        <v>1781</v>
      </c>
      <c r="D55" s="343"/>
      <c r="E55" s="42">
        <v>51.62</v>
      </c>
      <c r="F55" s="46">
        <v>2879</v>
      </c>
      <c r="G55" s="336">
        <f t="shared" si="35"/>
        <v>148613.97999999998</v>
      </c>
      <c r="H55" s="345" t="s">
        <v>79</v>
      </c>
      <c r="I55" s="335">
        <v>19</v>
      </c>
      <c r="J55" s="37">
        <v>1700</v>
      </c>
      <c r="K55" s="17">
        <f t="shared" si="1"/>
        <v>89.473684210526315</v>
      </c>
      <c r="L55" s="335">
        <v>19</v>
      </c>
      <c r="M55" s="18">
        <f t="shared" si="36"/>
        <v>1614.3925233644857</v>
      </c>
      <c r="N55" s="18">
        <f t="shared" si="3"/>
        <v>84.96802754549924</v>
      </c>
      <c r="O55" s="19">
        <f t="shared" si="4"/>
        <v>0</v>
      </c>
      <c r="P55" s="20">
        <f t="shared" si="5"/>
        <v>-4.5056566650270753</v>
      </c>
      <c r="Q55" s="337">
        <f t="shared" si="6"/>
        <v>0.94964266080263859</v>
      </c>
      <c r="R55" s="489"/>
      <c r="S55" s="40">
        <v>0.36944444444444441</v>
      </c>
      <c r="T55" s="40">
        <v>0.44374999999999998</v>
      </c>
      <c r="U55" s="336">
        <f t="shared" si="38"/>
        <v>6.9999999999999751</v>
      </c>
      <c r="V55" s="338">
        <f t="shared" si="37"/>
        <v>107.00000000000001</v>
      </c>
      <c r="W55" s="23"/>
      <c r="X55" s="23"/>
      <c r="Y55" s="26"/>
      <c r="Z55" s="26"/>
      <c r="AA55" s="491"/>
      <c r="AB55" s="491"/>
      <c r="AC55" s="154"/>
      <c r="AD55" s="25"/>
      <c r="AE55" s="19">
        <f t="shared" si="8"/>
        <v>-85.607476635514331</v>
      </c>
      <c r="AF55" s="337">
        <f t="shared" si="9"/>
        <v>0.94964266080263859</v>
      </c>
      <c r="AG55" s="489"/>
    </row>
    <row r="56" spans="1:33" ht="15.75" customHeight="1">
      <c r="A56" s="507" t="s">
        <v>1969</v>
      </c>
      <c r="B56" s="42" t="s">
        <v>103</v>
      </c>
      <c r="C56" s="501" t="s">
        <v>106</v>
      </c>
      <c r="D56" s="502"/>
      <c r="E56" s="42">
        <v>55.56</v>
      </c>
      <c r="F56" s="46">
        <v>1411</v>
      </c>
      <c r="G56" s="336">
        <f t="shared" si="35"/>
        <v>78395.16</v>
      </c>
      <c r="H56" s="345" t="s">
        <v>79</v>
      </c>
      <c r="I56" s="335">
        <v>17</v>
      </c>
      <c r="J56" s="37">
        <v>2000</v>
      </c>
      <c r="K56" s="17">
        <f t="shared" si="1"/>
        <v>117.64705882352941</v>
      </c>
      <c r="L56" s="335">
        <v>17</v>
      </c>
      <c r="M56" s="18">
        <f t="shared" si="36"/>
        <v>1924.0909090909092</v>
      </c>
      <c r="N56" s="18">
        <f t="shared" si="3"/>
        <v>113.18181818181819</v>
      </c>
      <c r="O56" s="19">
        <f t="shared" si="4"/>
        <v>0</v>
      </c>
      <c r="P56" s="20">
        <f t="shared" si="5"/>
        <v>-4.4652406417112189</v>
      </c>
      <c r="Q56" s="337">
        <f t="shared" si="6"/>
        <v>0.96204545454545465</v>
      </c>
      <c r="R56" s="489"/>
      <c r="S56" s="40">
        <v>0.70833333333333337</v>
      </c>
      <c r="T56" s="40">
        <v>0.73888888888888893</v>
      </c>
      <c r="U56" s="336" t="str">
        <f t="shared" si="38"/>
        <v/>
      </c>
      <c r="V56" s="338">
        <f t="shared" si="37"/>
        <v>44</v>
      </c>
      <c r="W56" s="23"/>
      <c r="X56" s="23"/>
      <c r="Y56" s="26"/>
      <c r="Z56" s="26"/>
      <c r="AA56" s="503"/>
      <c r="AB56" s="504"/>
      <c r="AC56" s="154"/>
      <c r="AD56" s="25"/>
      <c r="AE56" s="19">
        <f t="shared" si="8"/>
        <v>-75.909090909090764</v>
      </c>
      <c r="AF56" s="337">
        <f t="shared" si="9"/>
        <v>0.96204545454545465</v>
      </c>
      <c r="AG56" s="489"/>
    </row>
    <row r="57" spans="1:33" ht="15.75" customHeight="1">
      <c r="A57" s="507" t="s">
        <v>1969</v>
      </c>
      <c r="B57" s="42" t="s">
        <v>103</v>
      </c>
      <c r="C57" s="501" t="s">
        <v>107</v>
      </c>
      <c r="D57" s="502"/>
      <c r="E57" s="42">
        <v>55.32</v>
      </c>
      <c r="F57" s="46">
        <v>999</v>
      </c>
      <c r="G57" s="336">
        <f t="shared" si="35"/>
        <v>55264.68</v>
      </c>
      <c r="H57" s="345" t="s">
        <v>79</v>
      </c>
      <c r="I57" s="335">
        <v>15</v>
      </c>
      <c r="J57" s="37">
        <v>2000</v>
      </c>
      <c r="K57" s="17">
        <f t="shared" si="1"/>
        <v>133.33333333333334</v>
      </c>
      <c r="L57" s="335">
        <v>15</v>
      </c>
      <c r="M57" s="18">
        <f t="shared" si="36"/>
        <v>1933.5483870967712</v>
      </c>
      <c r="N57" s="18">
        <f t="shared" si="3"/>
        <v>128.90322580645142</v>
      </c>
      <c r="O57" s="19">
        <f t="shared" si="4"/>
        <v>0</v>
      </c>
      <c r="P57" s="20">
        <f t="shared" si="5"/>
        <v>-4.4301075268819261</v>
      </c>
      <c r="Q57" s="337">
        <f t="shared" si="6"/>
        <v>0.96677419354838556</v>
      </c>
      <c r="R57" s="489"/>
      <c r="S57" s="40">
        <v>0.74444444444444446</v>
      </c>
      <c r="T57" s="40">
        <v>0.76597222222222228</v>
      </c>
      <c r="U57" s="336">
        <f t="shared" si="38"/>
        <v>7.9999999999999716</v>
      </c>
      <c r="V57" s="338">
        <f t="shared" si="37"/>
        <v>31.00000000000005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-66.451612903228806</v>
      </c>
      <c r="AF57" s="337">
        <f t="shared" si="9"/>
        <v>0.96677419354838556</v>
      </c>
      <c r="AG57" s="489"/>
    </row>
    <row r="58" spans="1:33" ht="15.75" customHeight="1">
      <c r="A58" s="507" t="s">
        <v>1969</v>
      </c>
      <c r="B58" s="42" t="s">
        <v>103</v>
      </c>
      <c r="C58" s="501" t="s">
        <v>108</v>
      </c>
      <c r="D58" s="502"/>
      <c r="E58" s="42">
        <v>54.29</v>
      </c>
      <c r="F58" s="46">
        <v>1679</v>
      </c>
      <c r="G58" s="336">
        <f t="shared" si="35"/>
        <v>91152.91</v>
      </c>
      <c r="H58" s="345" t="s">
        <v>79</v>
      </c>
      <c r="I58" s="335">
        <v>20</v>
      </c>
      <c r="J58" s="37">
        <v>2000</v>
      </c>
      <c r="K58" s="17">
        <f t="shared" si="1"/>
        <v>100</v>
      </c>
      <c r="L58" s="335">
        <v>20</v>
      </c>
      <c r="M58" s="18">
        <f t="shared" si="36"/>
        <v>1900.7547169811332</v>
      </c>
      <c r="N58" s="18">
        <f t="shared" si="3"/>
        <v>95.037735849056659</v>
      </c>
      <c r="O58" s="19">
        <f t="shared" si="4"/>
        <v>0</v>
      </c>
      <c r="P58" s="20">
        <f t="shared" si="5"/>
        <v>-4.9622641509433407</v>
      </c>
      <c r="Q58" s="337">
        <f t="shared" si="6"/>
        <v>0.95037735849056659</v>
      </c>
      <c r="R58" s="489"/>
      <c r="S58" s="40">
        <v>0.77152777777777781</v>
      </c>
      <c r="T58" s="40">
        <v>0.80833333333333335</v>
      </c>
      <c r="U58" s="336">
        <f t="shared" si="38"/>
        <v>7.9999999999999716</v>
      </c>
      <c r="V58" s="338">
        <f t="shared" si="37"/>
        <v>52.999999999999972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-99.245283018866758</v>
      </c>
      <c r="AF58" s="337">
        <f t="shared" si="9"/>
        <v>0.95037735849056659</v>
      </c>
      <c r="AG58" s="489"/>
    </row>
    <row r="59" spans="1:33">
      <c r="A59" s="507" t="s">
        <v>1969</v>
      </c>
      <c r="B59" s="42" t="s">
        <v>103</v>
      </c>
      <c r="C59" s="501" t="s">
        <v>141</v>
      </c>
      <c r="D59" s="502"/>
      <c r="E59" s="42">
        <v>57.73</v>
      </c>
      <c r="F59" s="46">
        <v>1039</v>
      </c>
      <c r="G59" s="336">
        <f t="shared" si="35"/>
        <v>59981.469999999994</v>
      </c>
      <c r="H59" s="345" t="s">
        <v>79</v>
      </c>
      <c r="I59" s="335">
        <v>16</v>
      </c>
      <c r="J59" s="37">
        <v>1500</v>
      </c>
      <c r="K59" s="17">
        <f t="shared" si="1"/>
        <v>93.75</v>
      </c>
      <c r="L59" s="335">
        <v>16</v>
      </c>
      <c r="M59" s="18">
        <f t="shared" si="36"/>
        <v>1449.7674418604647</v>
      </c>
      <c r="N59" s="18">
        <f t="shared" si="3"/>
        <v>90.610465116279045</v>
      </c>
      <c r="O59" s="19">
        <f t="shared" si="4"/>
        <v>0</v>
      </c>
      <c r="P59" s="20">
        <f t="shared" si="5"/>
        <v>-3.1395348837209553</v>
      </c>
      <c r="Q59" s="337">
        <f t="shared" si="6"/>
        <v>0.96651162790697642</v>
      </c>
      <c r="R59" s="489"/>
      <c r="S59" s="40">
        <v>0.81319444444444444</v>
      </c>
      <c r="T59" s="40">
        <v>0.84305555555555556</v>
      </c>
      <c r="U59" s="336">
        <f t="shared" si="38"/>
        <v>6.9999999999999751</v>
      </c>
      <c r="V59" s="338">
        <f t="shared" si="37"/>
        <v>43.000000000000007</v>
      </c>
      <c r="W59" s="23"/>
      <c r="X59" s="23"/>
      <c r="Y59" s="26"/>
      <c r="Z59" s="26"/>
      <c r="AA59" s="503"/>
      <c r="AB59" s="504"/>
      <c r="AC59" s="154"/>
      <c r="AD59" s="25"/>
      <c r="AE59" s="19">
        <f t="shared" si="8"/>
        <v>-50.232558139535286</v>
      </c>
      <c r="AF59" s="337">
        <f t="shared" si="9"/>
        <v>0.96651162790697642</v>
      </c>
      <c r="AG59" s="489"/>
    </row>
    <row r="60" spans="1:33">
      <c r="A60" s="508" t="s">
        <v>1969</v>
      </c>
      <c r="B60" s="42" t="s">
        <v>1962</v>
      </c>
      <c r="C60" s="494"/>
      <c r="D60" s="494"/>
      <c r="E60" s="341"/>
      <c r="F60" s="44"/>
      <c r="G60" s="17"/>
      <c r="H60" s="340"/>
      <c r="I60" s="30">
        <v>18.666666666666668</v>
      </c>
      <c r="J60" s="37">
        <v>1911.1111111111111</v>
      </c>
      <c r="K60" s="17">
        <f t="shared" si="1"/>
        <v>102.38095238095238</v>
      </c>
      <c r="L60" s="30">
        <v>18.666666666666668</v>
      </c>
      <c r="M60" s="18">
        <f>AVERAGE(M51:M59)</f>
        <v>1789.7584966795007</v>
      </c>
      <c r="N60" s="17">
        <f t="shared" si="3"/>
        <v>95.879919464973241</v>
      </c>
      <c r="O60" s="19">
        <f t="shared" si="4"/>
        <v>0</v>
      </c>
      <c r="P60" s="20">
        <f t="shared" si="5"/>
        <v>-6.5010329159791382</v>
      </c>
      <c r="Q60" s="337">
        <f t="shared" si="6"/>
        <v>0.93650153896020372</v>
      </c>
      <c r="R60" s="489"/>
      <c r="S60" s="41"/>
      <c r="T60" s="40"/>
      <c r="U60" s="17"/>
      <c r="V60" s="338"/>
      <c r="W60" s="17"/>
      <c r="X60" s="17"/>
      <c r="Y60" s="31">
        <f>SUM(Y51:Y59)</f>
        <v>0</v>
      </c>
      <c r="Z60" s="31">
        <f>SUM(Z51:Z59)</f>
        <v>0</v>
      </c>
      <c r="AA60" s="495"/>
      <c r="AB60" s="495"/>
      <c r="AC60" s="31">
        <v>4</v>
      </c>
      <c r="AD60" s="31">
        <f>SUM(AD51:AD59)</f>
        <v>0</v>
      </c>
      <c r="AE60" s="19">
        <f t="shared" si="8"/>
        <v>-121.35261443161039</v>
      </c>
      <c r="AF60" s="337">
        <f t="shared" si="9"/>
        <v>0.93650153896020383</v>
      </c>
      <c r="AG60" s="489"/>
    </row>
    <row r="61" spans="1:33" ht="15.75" customHeight="1">
      <c r="A61" s="499" t="s">
        <v>1970</v>
      </c>
      <c r="B61" s="340" t="s">
        <v>100</v>
      </c>
      <c r="C61" s="490" t="s">
        <v>109</v>
      </c>
      <c r="D61" s="490"/>
      <c r="E61" s="42">
        <v>26.97</v>
      </c>
      <c r="F61" s="46">
        <v>2098</v>
      </c>
      <c r="G61" s="336">
        <f t="shared" ref="G61:G65" si="39">E61*F61</f>
        <v>56583.06</v>
      </c>
      <c r="H61" s="345" t="s">
        <v>79</v>
      </c>
      <c r="I61" s="335">
        <v>8</v>
      </c>
      <c r="J61" s="37">
        <v>1500</v>
      </c>
      <c r="K61" s="17">
        <f t="shared" si="1"/>
        <v>187.5</v>
      </c>
      <c r="L61" s="335">
        <v>8</v>
      </c>
      <c r="M61" s="18">
        <f t="shared" ref="M61:M65" si="40">F61/V61*60</f>
        <v>1430.4545454545457</v>
      </c>
      <c r="N61" s="17">
        <f t="shared" si="3"/>
        <v>178.80681818181822</v>
      </c>
      <c r="O61" s="19">
        <f t="shared" si="4"/>
        <v>0</v>
      </c>
      <c r="P61" s="20">
        <f t="shared" si="5"/>
        <v>-8.6931818181817846</v>
      </c>
      <c r="Q61" s="337">
        <f t="shared" si="6"/>
        <v>0.95363636363636384</v>
      </c>
      <c r="R61" s="489">
        <f>Q66</f>
        <v>0.96139924898630846</v>
      </c>
      <c r="S61" s="40">
        <v>0.20833333333333334</v>
      </c>
      <c r="T61" s="40">
        <v>0.26944444444444443</v>
      </c>
      <c r="U61" s="336"/>
      <c r="V61" s="338">
        <f t="shared" ref="V61:V65" si="41">(T61-S61)*24*60</f>
        <v>87.999999999999972</v>
      </c>
      <c r="W61" s="28"/>
      <c r="X61" s="28"/>
      <c r="Y61" s="28"/>
      <c r="Z61" s="28"/>
      <c r="AA61" s="491"/>
      <c r="AB61" s="491"/>
      <c r="AC61" s="154">
        <v>1</v>
      </c>
      <c r="AD61" s="25"/>
      <c r="AE61" s="19">
        <f t="shared" si="8"/>
        <v>-69.545454545454277</v>
      </c>
      <c r="AF61" s="337">
        <f t="shared" si="9"/>
        <v>0.95363636363636384</v>
      </c>
      <c r="AG61" s="489">
        <f>AF66</f>
        <v>0.96139924898630857</v>
      </c>
    </row>
    <row r="62" spans="1:33" ht="15.75" customHeight="1">
      <c r="A62" s="499" t="s">
        <v>1970</v>
      </c>
      <c r="B62" s="340" t="s">
        <v>100</v>
      </c>
      <c r="C62" s="490" t="s">
        <v>519</v>
      </c>
      <c r="D62" s="490"/>
      <c r="E62" s="42">
        <v>27.4</v>
      </c>
      <c r="F62" s="46">
        <v>2181</v>
      </c>
      <c r="G62" s="336">
        <f t="shared" si="39"/>
        <v>59759.399999999994</v>
      </c>
      <c r="H62" s="345" t="s">
        <v>79</v>
      </c>
      <c r="I62" s="335">
        <v>10</v>
      </c>
      <c r="J62" s="37">
        <v>1500</v>
      </c>
      <c r="K62" s="17">
        <f t="shared" si="1"/>
        <v>150</v>
      </c>
      <c r="L62" s="335">
        <v>10</v>
      </c>
      <c r="M62" s="18">
        <f t="shared" si="40"/>
        <v>1438.0219780219779</v>
      </c>
      <c r="N62" s="17">
        <f t="shared" si="3"/>
        <v>143.80219780219778</v>
      </c>
      <c r="O62" s="19">
        <f t="shared" si="4"/>
        <v>0</v>
      </c>
      <c r="P62" s="20">
        <f t="shared" si="5"/>
        <v>-6.1978021978022184</v>
      </c>
      <c r="Q62" s="337">
        <f t="shared" si="6"/>
        <v>0.95868131868131856</v>
      </c>
      <c r="R62" s="489"/>
      <c r="S62" s="40">
        <v>0.27361111111111108</v>
      </c>
      <c r="T62" s="40">
        <v>0.33680555555555552</v>
      </c>
      <c r="U62" s="336">
        <f t="shared" ref="U62:U65" si="42">(S62-T61)*24*60</f>
        <v>5.9999999999999787</v>
      </c>
      <c r="V62" s="338">
        <f t="shared" si="41"/>
        <v>91</v>
      </c>
      <c r="W62" s="336"/>
      <c r="X62" s="336"/>
      <c r="Y62" s="336"/>
      <c r="Z62" s="336"/>
      <c r="AA62" s="491"/>
      <c r="AB62" s="491"/>
      <c r="AC62" s="154"/>
      <c r="AD62" s="25"/>
      <c r="AE62" s="19">
        <f t="shared" si="8"/>
        <v>-61.97802197802207</v>
      </c>
      <c r="AF62" s="337">
        <f t="shared" si="9"/>
        <v>0.95868131868131867</v>
      </c>
      <c r="AG62" s="489"/>
    </row>
    <row r="63" spans="1:33" ht="15.75" customHeight="1">
      <c r="A63" s="499" t="s">
        <v>1970</v>
      </c>
      <c r="B63" s="340" t="s">
        <v>93</v>
      </c>
      <c r="C63" s="490" t="s">
        <v>97</v>
      </c>
      <c r="D63" s="490"/>
      <c r="E63" s="42">
        <v>31</v>
      </c>
      <c r="F63" s="46">
        <v>916</v>
      </c>
      <c r="G63" s="336">
        <f t="shared" si="39"/>
        <v>28396</v>
      </c>
      <c r="H63" s="345" t="s">
        <v>79</v>
      </c>
      <c r="I63" s="335">
        <v>13</v>
      </c>
      <c r="J63" s="37">
        <v>2000</v>
      </c>
      <c r="K63" s="17">
        <f t="shared" si="1"/>
        <v>153.84615384615384</v>
      </c>
      <c r="L63" s="335">
        <v>13</v>
      </c>
      <c r="M63" s="18">
        <f t="shared" si="40"/>
        <v>1962.8571428571443</v>
      </c>
      <c r="N63" s="17">
        <f t="shared" si="3"/>
        <v>150.98901098901109</v>
      </c>
      <c r="O63" s="19">
        <f t="shared" si="4"/>
        <v>0</v>
      </c>
      <c r="P63" s="20">
        <f t="shared" si="5"/>
        <v>-2.8571428571427475</v>
      </c>
      <c r="Q63" s="337">
        <f t="shared" si="6"/>
        <v>0.98142857142857209</v>
      </c>
      <c r="R63" s="489"/>
      <c r="S63" s="40">
        <v>0.34236111111111106</v>
      </c>
      <c r="T63" s="40">
        <v>0.36180555555555549</v>
      </c>
      <c r="U63" s="336">
        <f t="shared" si="42"/>
        <v>7.9999999999999716</v>
      </c>
      <c r="V63" s="338">
        <f t="shared" si="41"/>
        <v>27.999999999999979</v>
      </c>
      <c r="W63" s="336"/>
      <c r="X63" s="336"/>
      <c r="Y63" s="336"/>
      <c r="Z63" s="336"/>
      <c r="AA63" s="491"/>
      <c r="AB63" s="491"/>
      <c r="AC63" s="154" t="s">
        <v>79</v>
      </c>
      <c r="AD63" s="25"/>
      <c r="AE63" s="19">
        <f t="shared" si="8"/>
        <v>-37.142857142855746</v>
      </c>
      <c r="AF63" s="337">
        <f t="shared" si="9"/>
        <v>0.98142857142857209</v>
      </c>
      <c r="AG63" s="489"/>
    </row>
    <row r="64" spans="1:33" ht="15.75" customHeight="1">
      <c r="A64" s="499" t="s">
        <v>1970</v>
      </c>
      <c r="B64" s="340" t="s">
        <v>93</v>
      </c>
      <c r="C64" s="490" t="s">
        <v>1235</v>
      </c>
      <c r="D64" s="490"/>
      <c r="E64" s="42">
        <v>37.85</v>
      </c>
      <c r="F64" s="46">
        <v>2407</v>
      </c>
      <c r="G64" s="336">
        <f t="shared" si="39"/>
        <v>91104.95</v>
      </c>
      <c r="H64" s="345" t="s">
        <v>79</v>
      </c>
      <c r="I64" s="335">
        <v>12</v>
      </c>
      <c r="J64" s="37">
        <v>2000</v>
      </c>
      <c r="K64" s="17">
        <f t="shared" si="1"/>
        <v>166.66666666666666</v>
      </c>
      <c r="L64" s="335">
        <v>12</v>
      </c>
      <c r="M64" s="18">
        <f t="shared" si="40"/>
        <v>1925.6000000000008</v>
      </c>
      <c r="N64" s="17">
        <f t="shared" si="3"/>
        <v>160.46666666666673</v>
      </c>
      <c r="O64" s="19">
        <f t="shared" si="4"/>
        <v>0</v>
      </c>
      <c r="P64" s="20">
        <f t="shared" si="5"/>
        <v>-6.1999999999999318</v>
      </c>
      <c r="Q64" s="337">
        <f t="shared" si="6"/>
        <v>0.96280000000000043</v>
      </c>
      <c r="R64" s="489"/>
      <c r="S64" s="40">
        <v>0.3652777777777777</v>
      </c>
      <c r="T64" s="40">
        <v>0.41736111111111102</v>
      </c>
      <c r="U64" s="336">
        <f t="shared" si="42"/>
        <v>4.9999999999999822</v>
      </c>
      <c r="V64" s="338">
        <f t="shared" si="41"/>
        <v>74.999999999999972</v>
      </c>
      <c r="W64" s="336"/>
      <c r="X64" s="336"/>
      <c r="Y64" s="336"/>
      <c r="Z64" s="336"/>
      <c r="AA64" s="491"/>
      <c r="AB64" s="491"/>
      <c r="AC64" s="154" t="s">
        <v>79</v>
      </c>
      <c r="AD64" s="25"/>
      <c r="AE64" s="19">
        <f t="shared" si="8"/>
        <v>-74.399999999999181</v>
      </c>
      <c r="AF64" s="337">
        <f t="shared" si="9"/>
        <v>0.96280000000000043</v>
      </c>
      <c r="AG64" s="489"/>
    </row>
    <row r="65" spans="1:33">
      <c r="A65" s="500" t="s">
        <v>1970</v>
      </c>
      <c r="B65" s="340" t="s">
        <v>93</v>
      </c>
      <c r="C65" s="490" t="s">
        <v>113</v>
      </c>
      <c r="D65" s="490"/>
      <c r="E65" s="42">
        <v>34.36</v>
      </c>
      <c r="F65" s="46">
        <v>1619</v>
      </c>
      <c r="G65" s="336">
        <f t="shared" si="39"/>
        <v>55628.84</v>
      </c>
      <c r="H65" s="345" t="s">
        <v>79</v>
      </c>
      <c r="I65" s="335">
        <v>10</v>
      </c>
      <c r="J65" s="37">
        <v>3000</v>
      </c>
      <c r="K65" s="17">
        <f t="shared" si="1"/>
        <v>300</v>
      </c>
      <c r="L65" s="335">
        <v>10</v>
      </c>
      <c r="M65" s="18">
        <f t="shared" si="40"/>
        <v>2857.0588235294153</v>
      </c>
      <c r="N65" s="17">
        <f t="shared" si="3"/>
        <v>285.70588235294156</v>
      </c>
      <c r="O65" s="19">
        <f t="shared" si="4"/>
        <v>0</v>
      </c>
      <c r="P65" s="20">
        <f t="shared" si="5"/>
        <v>-14.294117647058442</v>
      </c>
      <c r="Q65" s="337">
        <f t="shared" si="6"/>
        <v>0.95235294117647185</v>
      </c>
      <c r="R65" s="489"/>
      <c r="S65" s="40">
        <v>0.42083333333333323</v>
      </c>
      <c r="T65" s="40">
        <v>0.44444444444444431</v>
      </c>
      <c r="U65" s="336">
        <f t="shared" si="42"/>
        <v>4.9999999999999822</v>
      </c>
      <c r="V65" s="338">
        <f t="shared" si="41"/>
        <v>33.999999999999957</v>
      </c>
      <c r="W65" s="23"/>
      <c r="X65" s="23"/>
      <c r="Y65" s="23"/>
      <c r="Z65" s="23"/>
      <c r="AA65" s="491"/>
      <c r="AB65" s="491"/>
      <c r="AC65" s="154" t="s">
        <v>79</v>
      </c>
      <c r="AD65" s="25"/>
      <c r="AE65" s="19">
        <f t="shared" si="8"/>
        <v>-142.94117647058465</v>
      </c>
      <c r="AF65" s="337">
        <f t="shared" si="9"/>
        <v>0.95235294117647173</v>
      </c>
      <c r="AG65" s="489"/>
    </row>
    <row r="66" spans="1:33">
      <c r="A66" s="500" t="s">
        <v>1970</v>
      </c>
      <c r="B66" s="42" t="s">
        <v>1962</v>
      </c>
      <c r="C66" s="494"/>
      <c r="D66" s="494"/>
      <c r="E66" s="341"/>
      <c r="F66" s="44"/>
      <c r="G66" s="17"/>
      <c r="H66" s="340"/>
      <c r="I66" s="30">
        <v>10.6</v>
      </c>
      <c r="J66" s="37">
        <v>2000</v>
      </c>
      <c r="K66" s="17">
        <f t="shared" si="1"/>
        <v>188.67924528301887</v>
      </c>
      <c r="L66" s="30">
        <v>10.6</v>
      </c>
      <c r="M66" s="18">
        <f>AVERAGE(M61:M65)</f>
        <v>1922.798497972617</v>
      </c>
      <c r="N66" s="17">
        <f t="shared" si="3"/>
        <v>181.39608471439783</v>
      </c>
      <c r="O66" s="19">
        <f t="shared" si="4"/>
        <v>0</v>
      </c>
      <c r="P66" s="20">
        <f t="shared" si="5"/>
        <v>-7.2831605686210423</v>
      </c>
      <c r="Q66" s="337">
        <f t="shared" si="6"/>
        <v>0.96139924898630846</v>
      </c>
      <c r="R66" s="489"/>
      <c r="S66" s="40"/>
      <c r="T66" s="40"/>
      <c r="U66" s="17"/>
      <c r="V66" s="338"/>
      <c r="W66" s="17"/>
      <c r="X66" s="17"/>
      <c r="Y66" s="31">
        <f>SUM(Y61:Y65)</f>
        <v>0</v>
      </c>
      <c r="Z66" s="31">
        <f>SUM(Z61:Z65)</f>
        <v>0</v>
      </c>
      <c r="AA66" s="495"/>
      <c r="AB66" s="495"/>
      <c r="AC66" s="31">
        <v>1</v>
      </c>
      <c r="AD66" s="31">
        <f>SUM(AD61:AD65)</f>
        <v>0</v>
      </c>
      <c r="AE66" s="19">
        <f t="shared" si="8"/>
        <v>-77.201502027382958</v>
      </c>
      <c r="AF66" s="337">
        <f t="shared" si="9"/>
        <v>0.96139924898630857</v>
      </c>
      <c r="AG66" s="489"/>
    </row>
    <row r="67" spans="1:33" ht="15.75" customHeight="1">
      <c r="A67" s="496" t="s">
        <v>1971</v>
      </c>
      <c r="B67" s="340" t="s">
        <v>80</v>
      </c>
      <c r="C67" s="490" t="s">
        <v>115</v>
      </c>
      <c r="D67" s="490"/>
      <c r="E67" s="42">
        <v>20.2</v>
      </c>
      <c r="F67" s="340">
        <v>2057</v>
      </c>
      <c r="G67" s="336">
        <f t="shared" ref="G67:G71" si="43">E67*F67</f>
        <v>41551.4</v>
      </c>
      <c r="H67" s="345" t="s">
        <v>79</v>
      </c>
      <c r="I67" s="335">
        <v>19</v>
      </c>
      <c r="J67" s="37">
        <v>2400</v>
      </c>
      <c r="K67" s="17">
        <f t="shared" si="1"/>
        <v>126.31578947368421</v>
      </c>
      <c r="L67" s="335">
        <v>19</v>
      </c>
      <c r="M67" s="18">
        <f t="shared" ref="M67:M71" si="44">F67/V67*60</f>
        <v>2285.5555555555561</v>
      </c>
      <c r="N67" s="17">
        <f t="shared" si="3"/>
        <v>120.29239766081874</v>
      </c>
      <c r="O67" s="19">
        <f t="shared" si="4"/>
        <v>0</v>
      </c>
      <c r="P67" s="20">
        <f t="shared" si="5"/>
        <v>-6.0233918128654693</v>
      </c>
      <c r="Q67" s="337">
        <f t="shared" si="6"/>
        <v>0.95231481481481506</v>
      </c>
      <c r="R67" s="489">
        <f>Q72</f>
        <v>0.95680667275330933</v>
      </c>
      <c r="S67" s="40">
        <v>8.3333333333333329E-2</v>
      </c>
      <c r="T67" s="40">
        <v>0.12083333333333332</v>
      </c>
      <c r="U67" s="28"/>
      <c r="V67" s="338">
        <f t="shared" ref="V67:V71" si="45">(T67-S67)*24*60</f>
        <v>53.999999999999986</v>
      </c>
      <c r="W67" s="23">
        <f>T67</f>
        <v>0.12083333333333332</v>
      </c>
      <c r="X67" s="23">
        <f>S68</f>
        <v>0.14027777777777778</v>
      </c>
      <c r="Y67" s="23"/>
      <c r="Z67" s="23"/>
      <c r="AA67" s="491"/>
      <c r="AB67" s="491"/>
      <c r="AC67" s="154">
        <v>7</v>
      </c>
      <c r="AD67" s="25"/>
      <c r="AE67" s="19">
        <f t="shared" si="8"/>
        <v>-114.44444444444389</v>
      </c>
      <c r="AF67" s="337">
        <f t="shared" si="9"/>
        <v>0.95231481481481506</v>
      </c>
      <c r="AG67" s="489">
        <f>AF72</f>
        <v>0.95680667275330922</v>
      </c>
    </row>
    <row r="68" spans="1:33" ht="15.75" customHeight="1">
      <c r="A68" s="497" t="s">
        <v>1971</v>
      </c>
      <c r="B68" s="340" t="s">
        <v>80</v>
      </c>
      <c r="C68" s="490" t="s">
        <v>116</v>
      </c>
      <c r="D68" s="490"/>
      <c r="E68" s="42">
        <v>20.52</v>
      </c>
      <c r="F68" s="340">
        <v>2888</v>
      </c>
      <c r="G68" s="336">
        <f t="shared" si="43"/>
        <v>59261.760000000002</v>
      </c>
      <c r="H68" s="345" t="s">
        <v>79</v>
      </c>
      <c r="I68" s="335">
        <v>18</v>
      </c>
      <c r="J68" s="37">
        <v>2400</v>
      </c>
      <c r="K68" s="17">
        <f t="shared" si="1"/>
        <v>133.33333333333334</v>
      </c>
      <c r="L68" s="335">
        <v>18</v>
      </c>
      <c r="M68" s="18">
        <f t="shared" si="44"/>
        <v>2310.3999999999996</v>
      </c>
      <c r="N68" s="17">
        <f t="shared" si="3"/>
        <v>128.35555555555553</v>
      </c>
      <c r="O68" s="19">
        <f t="shared" si="4"/>
        <v>0</v>
      </c>
      <c r="P68" s="20">
        <f t="shared" si="5"/>
        <v>-4.9777777777778169</v>
      </c>
      <c r="Q68" s="337">
        <f t="shared" si="6"/>
        <v>0.96266666666666634</v>
      </c>
      <c r="R68" s="489"/>
      <c r="S68" s="40">
        <v>0.14027777777777778</v>
      </c>
      <c r="T68" s="40">
        <v>0.19236111111111112</v>
      </c>
      <c r="U68" s="336">
        <f t="shared" ref="U68:U71" si="46">(S68-T67)*24*60</f>
        <v>28.000000000000021</v>
      </c>
      <c r="V68" s="338">
        <f t="shared" si="45"/>
        <v>75.000000000000014</v>
      </c>
      <c r="W68" s="23"/>
      <c r="X68" s="23"/>
      <c r="Y68" s="23"/>
      <c r="Z68" s="23"/>
      <c r="AA68" s="491"/>
      <c r="AB68" s="491"/>
      <c r="AC68" s="154"/>
      <c r="AD68" s="25"/>
      <c r="AE68" s="19">
        <f t="shared" si="8"/>
        <v>-89.600000000000364</v>
      </c>
      <c r="AF68" s="337">
        <f t="shared" si="9"/>
        <v>0.96266666666666656</v>
      </c>
      <c r="AG68" s="489"/>
    </row>
    <row r="69" spans="1:33" ht="15.75" customHeight="1">
      <c r="A69" s="497" t="s">
        <v>1971</v>
      </c>
      <c r="B69" s="340" t="s">
        <v>80</v>
      </c>
      <c r="C69" s="490" t="s">
        <v>119</v>
      </c>
      <c r="D69" s="490"/>
      <c r="E69" s="42">
        <v>19.02</v>
      </c>
      <c r="F69" s="340">
        <v>8099</v>
      </c>
      <c r="G69" s="336">
        <f t="shared" si="43"/>
        <v>154042.98000000001</v>
      </c>
      <c r="H69" s="345" t="s">
        <v>79</v>
      </c>
      <c r="I69" s="335">
        <v>15</v>
      </c>
      <c r="J69" s="37">
        <v>2400</v>
      </c>
      <c r="K69" s="17">
        <f t="shared" ref="K69:K72" si="47">J69/I69</f>
        <v>160</v>
      </c>
      <c r="L69" s="335">
        <v>15</v>
      </c>
      <c r="M69" s="18">
        <f t="shared" si="44"/>
        <v>2292.1698113207549</v>
      </c>
      <c r="N69" s="17">
        <f t="shared" ref="N69:N72" si="48">M69/L69</f>
        <v>152.811320754717</v>
      </c>
      <c r="O69" s="19">
        <f t="shared" ref="O69:O72" si="49">L69-I69</f>
        <v>0</v>
      </c>
      <c r="P69" s="20">
        <f t="shared" ref="P69:P72" si="50">N69-K69</f>
        <v>-7.188679245282998</v>
      </c>
      <c r="Q69" s="337">
        <f t="shared" ref="Q69:Q72" si="51">N69/K69</f>
        <v>0.95507075471698122</v>
      </c>
      <c r="R69" s="489"/>
      <c r="S69" s="40">
        <v>0.1965277777777778</v>
      </c>
      <c r="T69" s="40">
        <v>0.34375</v>
      </c>
      <c r="U69" s="336">
        <f t="shared" si="46"/>
        <v>6.0000000000000187</v>
      </c>
      <c r="V69" s="338">
        <f t="shared" si="45"/>
        <v>211.99999999999997</v>
      </c>
      <c r="W69" s="23"/>
      <c r="X69" s="23"/>
      <c r="Y69" s="23"/>
      <c r="Z69" s="23"/>
      <c r="AA69" s="491"/>
      <c r="AB69" s="491"/>
      <c r="AC69" s="154"/>
      <c r="AD69" s="25"/>
      <c r="AE69" s="19">
        <f t="shared" ref="AE69:AE72" si="52">M69-J69</f>
        <v>-107.83018867924511</v>
      </c>
      <c r="AF69" s="337">
        <f t="shared" ref="AF69:AF72" si="53">M69/J69</f>
        <v>0.95507075471698122</v>
      </c>
      <c r="AG69" s="489"/>
    </row>
    <row r="70" spans="1:33" ht="15.75" customHeight="1">
      <c r="A70" s="497" t="s">
        <v>1971</v>
      </c>
      <c r="B70" s="340" t="s">
        <v>80</v>
      </c>
      <c r="C70" s="490" t="s">
        <v>117</v>
      </c>
      <c r="D70" s="490"/>
      <c r="E70" s="42">
        <v>24.43</v>
      </c>
      <c r="F70" s="340">
        <v>5259</v>
      </c>
      <c r="G70" s="336">
        <f t="shared" si="43"/>
        <v>128477.37</v>
      </c>
      <c r="H70" s="345" t="s">
        <v>79</v>
      </c>
      <c r="I70" s="335">
        <v>14</v>
      </c>
      <c r="J70" s="37">
        <v>2400</v>
      </c>
      <c r="K70" s="17">
        <f t="shared" si="47"/>
        <v>171.42857142857142</v>
      </c>
      <c r="L70" s="335">
        <v>14</v>
      </c>
      <c r="M70" s="18">
        <f t="shared" si="44"/>
        <v>2286.521739130435</v>
      </c>
      <c r="N70" s="17">
        <f t="shared" si="48"/>
        <v>163.32298136645963</v>
      </c>
      <c r="O70" s="19">
        <f t="shared" si="49"/>
        <v>0</v>
      </c>
      <c r="P70" s="20">
        <f t="shared" si="50"/>
        <v>-8.1055900621117871</v>
      </c>
      <c r="Q70" s="337">
        <f t="shared" si="51"/>
        <v>0.95271739130434796</v>
      </c>
      <c r="R70" s="489"/>
      <c r="S70" s="40">
        <v>0.34791666666666665</v>
      </c>
      <c r="T70" s="40">
        <v>0.44374999999999998</v>
      </c>
      <c r="U70" s="336">
        <f t="shared" si="46"/>
        <v>5.9999999999999787</v>
      </c>
      <c r="V70" s="338">
        <f t="shared" si="45"/>
        <v>138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52"/>
        <v>-113.47826086956502</v>
      </c>
      <c r="AF70" s="337">
        <f t="shared" si="53"/>
        <v>0.95271739130434796</v>
      </c>
      <c r="AG70" s="489"/>
    </row>
    <row r="71" spans="1:33" ht="15.75" customHeight="1">
      <c r="A71" s="497" t="s">
        <v>1971</v>
      </c>
      <c r="B71" s="340" t="s">
        <v>80</v>
      </c>
      <c r="C71" s="490" t="s">
        <v>118</v>
      </c>
      <c r="D71" s="490"/>
      <c r="E71" s="42">
        <v>20.21</v>
      </c>
      <c r="F71" s="340">
        <v>3499</v>
      </c>
      <c r="G71" s="336">
        <f t="shared" si="43"/>
        <v>70714.790000000008</v>
      </c>
      <c r="H71" s="345" t="s">
        <v>79</v>
      </c>
      <c r="I71" s="335">
        <v>16</v>
      </c>
      <c r="J71" s="37">
        <v>2400</v>
      </c>
      <c r="K71" s="17">
        <f t="shared" si="47"/>
        <v>150</v>
      </c>
      <c r="L71" s="335">
        <v>16</v>
      </c>
      <c r="M71" s="18">
        <f t="shared" si="44"/>
        <v>2307.032967032967</v>
      </c>
      <c r="N71" s="17">
        <f t="shared" si="48"/>
        <v>144.18956043956044</v>
      </c>
      <c r="O71" s="19">
        <f t="shared" si="49"/>
        <v>0</v>
      </c>
      <c r="P71" s="20">
        <f t="shared" si="50"/>
        <v>-5.810439560439562</v>
      </c>
      <c r="Q71" s="337">
        <f t="shared" si="51"/>
        <v>0.96126373626373629</v>
      </c>
      <c r="R71" s="489"/>
      <c r="S71" s="40">
        <v>0.44861111111111107</v>
      </c>
      <c r="T71" s="40">
        <v>0.51180555555555551</v>
      </c>
      <c r="U71" s="336">
        <f t="shared" si="46"/>
        <v>6.9999999999999751</v>
      </c>
      <c r="V71" s="338">
        <f t="shared" si="45"/>
        <v>91</v>
      </c>
      <c r="W71" s="23"/>
      <c r="X71" s="23"/>
      <c r="Y71" s="23"/>
      <c r="Z71" s="23"/>
      <c r="AA71" s="491"/>
      <c r="AB71" s="491"/>
      <c r="AC71" s="154"/>
      <c r="AD71" s="25"/>
      <c r="AE71" s="19">
        <f t="shared" si="52"/>
        <v>-92.967032967032992</v>
      </c>
      <c r="AF71" s="337">
        <f t="shared" si="53"/>
        <v>0.96126373626373629</v>
      </c>
      <c r="AG71" s="489"/>
    </row>
    <row r="72" spans="1:33" ht="16.5" customHeight="1">
      <c r="A72" s="498" t="s">
        <v>1971</v>
      </c>
      <c r="B72" s="42" t="s">
        <v>1962</v>
      </c>
      <c r="C72" s="492"/>
      <c r="D72" s="493"/>
      <c r="E72" s="341"/>
      <c r="F72" s="44"/>
      <c r="G72" s="17"/>
      <c r="H72" s="340"/>
      <c r="I72" s="30">
        <v>16.399999999999999</v>
      </c>
      <c r="J72" s="37">
        <v>2400</v>
      </c>
      <c r="K72" s="17">
        <f t="shared" si="47"/>
        <v>146.34146341463415</v>
      </c>
      <c r="L72" s="30">
        <v>16.399999999999999</v>
      </c>
      <c r="M72" s="18">
        <f>AVERAGE(M67:M71)</f>
        <v>2296.3360146079422</v>
      </c>
      <c r="N72" s="17">
        <f t="shared" si="48"/>
        <v>140.02048869560625</v>
      </c>
      <c r="O72" s="19">
        <f t="shared" si="49"/>
        <v>0</v>
      </c>
      <c r="P72" s="20">
        <f t="shared" si="50"/>
        <v>-6.3209747190279018</v>
      </c>
      <c r="Q72" s="337">
        <f t="shared" si="51"/>
        <v>0.95680667275330933</v>
      </c>
      <c r="R72" s="489"/>
      <c r="S72" s="40"/>
      <c r="T72" s="40"/>
      <c r="U72" s="17"/>
      <c r="V72" s="338"/>
      <c r="W72" s="17"/>
      <c r="X72" s="17"/>
      <c r="Y72" s="31">
        <f>SUM(Y67:Y71)</f>
        <v>0</v>
      </c>
      <c r="Z72" s="31">
        <f>SUM(Z67:Z71)</f>
        <v>0</v>
      </c>
      <c r="AA72" s="495"/>
      <c r="AB72" s="495"/>
      <c r="AC72" s="31">
        <v>7</v>
      </c>
      <c r="AD72" s="31">
        <f>SUM(AD67:AD71)</f>
        <v>0</v>
      </c>
      <c r="AE72" s="19">
        <f t="shared" si="52"/>
        <v>-103.66398539205784</v>
      </c>
      <c r="AF72" s="337">
        <f t="shared" si="53"/>
        <v>0.95680667275330922</v>
      </c>
      <c r="AG72" s="489"/>
    </row>
    <row r="73" spans="1:33">
      <c r="D73" s="33"/>
      <c r="E73" s="33"/>
    </row>
  </sheetData>
  <mergeCells count="197">
    <mergeCell ref="A67:A72"/>
    <mergeCell ref="C67:D67"/>
    <mergeCell ref="R67:R72"/>
    <mergeCell ref="AA67:AB67"/>
    <mergeCell ref="AA72:AB72"/>
    <mergeCell ref="A61:A66"/>
    <mergeCell ref="AG67:AG72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  <mergeCell ref="C64:D64"/>
    <mergeCell ref="C66:D66"/>
    <mergeCell ref="AA66:AB66"/>
    <mergeCell ref="A51:A60"/>
    <mergeCell ref="C51:D51"/>
    <mergeCell ref="R51:R60"/>
    <mergeCell ref="AA51:AB51"/>
    <mergeCell ref="C52:D52"/>
    <mergeCell ref="AA52:AB52"/>
    <mergeCell ref="C53:D53"/>
    <mergeCell ref="AA53:AB53"/>
    <mergeCell ref="C58:D58"/>
    <mergeCell ref="AA58:AB58"/>
    <mergeCell ref="C59:D59"/>
    <mergeCell ref="AA59:AB59"/>
    <mergeCell ref="C60:D60"/>
    <mergeCell ref="AA60:AB60"/>
    <mergeCell ref="AG51:AG60"/>
    <mergeCell ref="AA64:AB64"/>
    <mergeCell ref="C65:D65"/>
    <mergeCell ref="AA65:AB65"/>
    <mergeCell ref="AA54:AB54"/>
    <mergeCell ref="AA55:AB55"/>
    <mergeCell ref="C56:D56"/>
    <mergeCell ref="AA56:AB56"/>
    <mergeCell ref="C57:D57"/>
    <mergeCell ref="AA57:AB57"/>
    <mergeCell ref="C61:D61"/>
    <mergeCell ref="R61:R66"/>
    <mergeCell ref="AA61:AB61"/>
    <mergeCell ref="AG61:AG66"/>
    <mergeCell ref="C62:D62"/>
    <mergeCell ref="AA62:AB62"/>
    <mergeCell ref="C63:D63"/>
    <mergeCell ref="AA63:AB63"/>
    <mergeCell ref="AG43:AG50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50:AB50"/>
    <mergeCell ref="A35:A42"/>
    <mergeCell ref="C35:D35"/>
    <mergeCell ref="R35:R42"/>
    <mergeCell ref="AA35:AB35"/>
    <mergeCell ref="C42:D42"/>
    <mergeCell ref="AA42:AB42"/>
    <mergeCell ref="A43:A50"/>
    <mergeCell ref="C43:D43"/>
    <mergeCell ref="R43:R50"/>
    <mergeCell ref="AA43:AB43"/>
    <mergeCell ref="AA48:AB48"/>
    <mergeCell ref="C49:D49"/>
    <mergeCell ref="AA49:AB49"/>
    <mergeCell ref="C50:D50"/>
    <mergeCell ref="AG35:AG42"/>
    <mergeCell ref="C36:D36"/>
    <mergeCell ref="AA36:AB36"/>
    <mergeCell ref="C37:D37"/>
    <mergeCell ref="AA37:AB37"/>
    <mergeCell ref="C38:D38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8:AB38"/>
    <mergeCell ref="C39:D39"/>
    <mergeCell ref="AA39:AB39"/>
    <mergeCell ref="C40:D40"/>
    <mergeCell ref="AA40:AB40"/>
    <mergeCell ref="C41:D41"/>
    <mergeCell ref="AA41:AB41"/>
    <mergeCell ref="A29:A34"/>
    <mergeCell ref="C29:D29"/>
    <mergeCell ref="R29:R34"/>
    <mergeCell ref="AA29:AB29"/>
    <mergeCell ref="AA34:AB34"/>
    <mergeCell ref="AA24:AB24"/>
    <mergeCell ref="C25:D25"/>
    <mergeCell ref="AA25:AB25"/>
    <mergeCell ref="C26:D26"/>
    <mergeCell ref="AA26:AB26"/>
    <mergeCell ref="C27:D27"/>
    <mergeCell ref="AA27:AB27"/>
    <mergeCell ref="A21:A28"/>
    <mergeCell ref="C21:D21"/>
    <mergeCell ref="R21:R28"/>
    <mergeCell ref="AA21:AB21"/>
    <mergeCell ref="AG21:AG28"/>
    <mergeCell ref="C22:D22"/>
    <mergeCell ref="AA22:AB22"/>
    <mergeCell ref="C23:D23"/>
    <mergeCell ref="AA23:AB23"/>
    <mergeCell ref="C24:D24"/>
    <mergeCell ref="C18:D18"/>
    <mergeCell ref="AA18:AB18"/>
    <mergeCell ref="C19:D19"/>
    <mergeCell ref="AA19:AB19"/>
    <mergeCell ref="C20:D20"/>
    <mergeCell ref="AA20:AB20"/>
    <mergeCell ref="C28:D28"/>
    <mergeCell ref="AA28:AB28"/>
    <mergeCell ref="A14:A20"/>
    <mergeCell ref="C14:D14"/>
    <mergeCell ref="R14:R20"/>
    <mergeCell ref="AA14:AB14"/>
    <mergeCell ref="AG14:AG20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61 O64:O72 O5:O11 O13:O15 O50:O56 O20:O48">
    <cfRule type="cellIs" dxfId="1839" priority="59" operator="greaterThan">
      <formula>0</formula>
    </cfRule>
  </conditionalFormatting>
  <conditionalFormatting sqref="P5:P9 P64:P65 AE64:AE65 P67:P71 P29:P33 P61 P11 P13:P15 P21:P27 P51:P56 P35:P48 AE5:AE61 AE67:AE72">
    <cfRule type="cellIs" dxfId="1838" priority="63" operator="lessThan">
      <formula>0</formula>
    </cfRule>
  </conditionalFormatting>
  <conditionalFormatting sqref="AF64:AF65 Q60:Q61 Q64:Q72 Q5:Q11 Q13:Q15 Q50:Q56 Q20:Q48 AF5:AF61 AF67:AF72">
    <cfRule type="cellIs" dxfId="1837" priority="60" operator="greaterThan">
      <formula>1</formula>
    </cfRule>
    <cfRule type="cellIs" dxfId="1836" priority="61" operator="lessThan">
      <formula>0.8</formula>
    </cfRule>
  </conditionalFormatting>
  <conditionalFormatting sqref="AG14:AG15 R14:R15 AG64 R20:R26 AG20:AG26 AG60:AG61 R60:R61 R64:R72 AG5:AG11 R5:R11 R28:R48 AG28:AG48 AG50:AG56 R50:R56">
    <cfRule type="cellIs" dxfId="1835" priority="65" operator="lessThan">
      <formula>0.8</formula>
    </cfRule>
  </conditionalFormatting>
  <conditionalFormatting sqref="AG43">
    <cfRule type="cellIs" dxfId="1834" priority="67" operator="lessThan">
      <formula>0.8</formula>
    </cfRule>
  </conditionalFormatting>
  <conditionalFormatting sqref="AG21:AG26">
    <cfRule type="cellIs" dxfId="1833" priority="64" operator="lessThan">
      <formula>0.8</formula>
    </cfRule>
  </conditionalFormatting>
  <conditionalFormatting sqref="AG29">
    <cfRule type="cellIs" dxfId="1832" priority="66" operator="lessThan">
      <formula>0.8</formula>
    </cfRule>
  </conditionalFormatting>
  <conditionalFormatting sqref="AG35:AG41">
    <cfRule type="cellIs" dxfId="1831" priority="62" operator="lessThan">
      <formula>0.8</formula>
    </cfRule>
  </conditionalFormatting>
  <conditionalFormatting sqref="AE66">
    <cfRule type="cellIs" dxfId="1830" priority="58" operator="lessThan">
      <formula>0</formula>
    </cfRule>
  </conditionalFormatting>
  <conditionalFormatting sqref="AF66">
    <cfRule type="cellIs" dxfId="1829" priority="56" operator="greaterThan">
      <formula>1</formula>
    </cfRule>
    <cfRule type="cellIs" dxfId="1828" priority="57" operator="lessThan">
      <formula>0.8</formula>
    </cfRule>
  </conditionalFormatting>
  <conditionalFormatting sqref="O16:O17">
    <cfRule type="cellIs" dxfId="1827" priority="51" operator="greaterThan">
      <formula>0</formula>
    </cfRule>
  </conditionalFormatting>
  <conditionalFormatting sqref="P16:P17">
    <cfRule type="cellIs" dxfId="1826" priority="54" operator="lessThan">
      <formula>0</formula>
    </cfRule>
  </conditionalFormatting>
  <conditionalFormatting sqref="Q16:Q17">
    <cfRule type="cellIs" dxfId="1825" priority="52" operator="greaterThan">
      <formula>1</formula>
    </cfRule>
    <cfRule type="cellIs" dxfId="1824" priority="53" operator="lessThan">
      <formula>0.8</formula>
    </cfRule>
  </conditionalFormatting>
  <conditionalFormatting sqref="R16:R17 AG16:AG17">
    <cfRule type="cellIs" dxfId="1823" priority="55" operator="lessThan">
      <formula>0.8</formula>
    </cfRule>
  </conditionalFormatting>
  <conditionalFormatting sqref="O12">
    <cfRule type="cellIs" dxfId="1822" priority="47" operator="greaterThan">
      <formula>0</formula>
    </cfRule>
  </conditionalFormatting>
  <conditionalFormatting sqref="P12">
    <cfRule type="cellIs" dxfId="1821" priority="50" operator="lessThan">
      <formula>0</formula>
    </cfRule>
  </conditionalFormatting>
  <conditionalFormatting sqref="Q12">
    <cfRule type="cellIs" dxfId="1820" priority="48" operator="greaterThan">
      <formula>1</formula>
    </cfRule>
    <cfRule type="cellIs" dxfId="1819" priority="49" operator="lessThan">
      <formula>0.8</formula>
    </cfRule>
  </conditionalFormatting>
  <conditionalFormatting sqref="O57">
    <cfRule type="cellIs" dxfId="1818" priority="42" operator="greaterThan">
      <formula>0</formula>
    </cfRule>
  </conditionalFormatting>
  <conditionalFormatting sqref="P57">
    <cfRule type="cellIs" dxfId="1817" priority="45" operator="lessThan">
      <formula>0</formula>
    </cfRule>
  </conditionalFormatting>
  <conditionalFormatting sqref="Q57">
    <cfRule type="cellIs" dxfId="1816" priority="43" operator="greaterThan">
      <formula>1</formula>
    </cfRule>
    <cfRule type="cellIs" dxfId="1815" priority="44" operator="lessThan">
      <formula>0.8</formula>
    </cfRule>
  </conditionalFormatting>
  <conditionalFormatting sqref="R57 AG57">
    <cfRule type="cellIs" dxfId="1814" priority="46" operator="lessThan">
      <formula>0.8</formula>
    </cfRule>
  </conditionalFormatting>
  <conditionalFormatting sqref="O63">
    <cfRule type="cellIs" dxfId="1813" priority="37" operator="greaterThan">
      <formula>0</formula>
    </cfRule>
  </conditionalFormatting>
  <conditionalFormatting sqref="P63 AE63">
    <cfRule type="cellIs" dxfId="1812" priority="40" operator="lessThan">
      <formula>0</formula>
    </cfRule>
  </conditionalFormatting>
  <conditionalFormatting sqref="Q63 AF63">
    <cfRule type="cellIs" dxfId="1811" priority="38" operator="greaterThan">
      <formula>1</formula>
    </cfRule>
    <cfRule type="cellIs" dxfId="1810" priority="39" operator="lessThan">
      <formula>0.8</formula>
    </cfRule>
  </conditionalFormatting>
  <conditionalFormatting sqref="R63 AG63">
    <cfRule type="cellIs" dxfId="1809" priority="41" operator="lessThan">
      <formula>0.8</formula>
    </cfRule>
  </conditionalFormatting>
  <conditionalFormatting sqref="O18:O19">
    <cfRule type="cellIs" dxfId="1808" priority="32" operator="greaterThan">
      <formula>0</formula>
    </cfRule>
  </conditionalFormatting>
  <conditionalFormatting sqref="P18:P19">
    <cfRule type="cellIs" dxfId="1807" priority="35" operator="lessThan">
      <formula>0</formula>
    </cfRule>
  </conditionalFormatting>
  <conditionalFormatting sqref="Q18:Q19">
    <cfRule type="cellIs" dxfId="1806" priority="33" operator="greaterThan">
      <formula>1</formula>
    </cfRule>
    <cfRule type="cellIs" dxfId="1805" priority="34" operator="lessThan">
      <formula>0.8</formula>
    </cfRule>
  </conditionalFormatting>
  <conditionalFormatting sqref="R18:R19 AG18:AG19">
    <cfRule type="cellIs" dxfId="1804" priority="36" operator="lessThan">
      <formula>0.8</formula>
    </cfRule>
  </conditionalFormatting>
  <conditionalFormatting sqref="O49">
    <cfRule type="cellIs" dxfId="1803" priority="26" operator="greaterThan">
      <formula>0</formula>
    </cfRule>
  </conditionalFormatting>
  <conditionalFormatting sqref="P49">
    <cfRule type="cellIs" dxfId="1802" priority="30" operator="lessThan">
      <formula>0</formula>
    </cfRule>
  </conditionalFormatting>
  <conditionalFormatting sqref="Q49">
    <cfRule type="cellIs" dxfId="1801" priority="27" operator="greaterThan">
      <formula>1</formula>
    </cfRule>
    <cfRule type="cellIs" dxfId="1800" priority="28" operator="lessThan">
      <formula>0.8</formula>
    </cfRule>
  </conditionalFormatting>
  <conditionalFormatting sqref="R49 AG49">
    <cfRule type="cellIs" dxfId="1799" priority="31" operator="lessThan">
      <formula>0.8</formula>
    </cfRule>
  </conditionalFormatting>
  <conditionalFormatting sqref="AG49">
    <cfRule type="cellIs" dxfId="1798" priority="29" operator="lessThan">
      <formula>0.8</formula>
    </cfRule>
  </conditionalFormatting>
  <conditionalFormatting sqref="O58">
    <cfRule type="cellIs" dxfId="1797" priority="21" operator="greaterThan">
      <formula>0</formula>
    </cfRule>
  </conditionalFormatting>
  <conditionalFormatting sqref="P58">
    <cfRule type="cellIs" dxfId="1796" priority="24" operator="lessThan">
      <formula>0</formula>
    </cfRule>
  </conditionalFormatting>
  <conditionalFormatting sqref="Q58">
    <cfRule type="cellIs" dxfId="1795" priority="22" operator="greaterThan">
      <formula>1</formula>
    </cfRule>
    <cfRule type="cellIs" dxfId="1794" priority="23" operator="lessThan">
      <formula>0.8</formula>
    </cfRule>
  </conditionalFormatting>
  <conditionalFormatting sqref="AG58 R58">
    <cfRule type="cellIs" dxfId="1793" priority="25" operator="lessThan">
      <formula>0.8</formula>
    </cfRule>
  </conditionalFormatting>
  <conditionalFormatting sqref="R27 AG27">
    <cfRule type="cellIs" dxfId="1792" priority="20" operator="lessThan">
      <formula>0.8</formula>
    </cfRule>
  </conditionalFormatting>
  <conditionalFormatting sqref="AG27">
    <cfRule type="cellIs" dxfId="1791" priority="19" operator="lessThan">
      <formula>0.8</formula>
    </cfRule>
  </conditionalFormatting>
  <conditionalFormatting sqref="O62">
    <cfRule type="cellIs" dxfId="1790" priority="14" operator="greaterThan">
      <formula>0</formula>
    </cfRule>
  </conditionalFormatting>
  <conditionalFormatting sqref="P62 AE62">
    <cfRule type="cellIs" dxfId="1789" priority="17" operator="lessThan">
      <formula>0</formula>
    </cfRule>
  </conditionalFormatting>
  <conditionalFormatting sqref="Q62 AF62">
    <cfRule type="cellIs" dxfId="1788" priority="15" operator="greaterThan">
      <formula>1</formula>
    </cfRule>
    <cfRule type="cellIs" dxfId="1787" priority="16" operator="lessThan">
      <formula>0.8</formula>
    </cfRule>
  </conditionalFormatting>
  <conditionalFormatting sqref="R62 AG62">
    <cfRule type="cellIs" dxfId="1786" priority="18" operator="lessThan">
      <formula>0.8</formula>
    </cfRule>
  </conditionalFormatting>
  <conditionalFormatting sqref="P10">
    <cfRule type="cellIs" dxfId="1785" priority="13" operator="lessThan">
      <formula>0</formula>
    </cfRule>
  </conditionalFormatting>
  <conditionalFormatting sqref="P20">
    <cfRule type="cellIs" dxfId="1784" priority="12" operator="lessThan">
      <formula>0</formula>
    </cfRule>
  </conditionalFormatting>
  <conditionalFormatting sqref="P28">
    <cfRule type="cellIs" dxfId="1783" priority="11" operator="lessThan">
      <formula>0</formula>
    </cfRule>
  </conditionalFormatting>
  <conditionalFormatting sqref="P34">
    <cfRule type="cellIs" dxfId="1782" priority="10" operator="lessThan">
      <formula>0</formula>
    </cfRule>
  </conditionalFormatting>
  <conditionalFormatting sqref="P50">
    <cfRule type="cellIs" dxfId="1781" priority="9" operator="lessThan">
      <formula>0</formula>
    </cfRule>
  </conditionalFormatting>
  <conditionalFormatting sqref="P60">
    <cfRule type="cellIs" dxfId="1780" priority="8" operator="lessThan">
      <formula>0</formula>
    </cfRule>
  </conditionalFormatting>
  <conditionalFormatting sqref="P66">
    <cfRule type="cellIs" dxfId="1779" priority="7" operator="lessThan">
      <formula>0</formula>
    </cfRule>
  </conditionalFormatting>
  <conditionalFormatting sqref="P72">
    <cfRule type="cellIs" dxfId="1778" priority="6" operator="lessThan">
      <formula>0</formula>
    </cfRule>
  </conditionalFormatting>
  <conditionalFormatting sqref="O59">
    <cfRule type="cellIs" dxfId="1777" priority="1" operator="greaterThan">
      <formula>0</formula>
    </cfRule>
  </conditionalFormatting>
  <conditionalFormatting sqref="P59">
    <cfRule type="cellIs" dxfId="1776" priority="4" operator="lessThan">
      <formula>0</formula>
    </cfRule>
  </conditionalFormatting>
  <conditionalFormatting sqref="Q59">
    <cfRule type="cellIs" dxfId="1775" priority="2" operator="greaterThan">
      <formula>1</formula>
    </cfRule>
    <cfRule type="cellIs" dxfId="1774" priority="3" operator="lessThan">
      <formula>0.8</formula>
    </cfRule>
  </conditionalFormatting>
  <conditionalFormatting sqref="AG59 R59">
    <cfRule type="cellIs" dxfId="1773" priority="5" operator="lessThan">
      <formula>0.8</formula>
    </cfRule>
  </conditionalFormatting>
  <dataValidations count="1">
    <dataValidation type="list" allowBlank="1" showInputMessage="1" showErrorMessage="1" sqref="AB10 AA5:AB9 AB65 AA10:AA65 AB12:AB61 AA66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6" sqref="G6:H6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1788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1789</v>
      </c>
      <c r="C3" s="478" t="str">
        <f>TEXT('0121 4度C'!A2,"yyyy.mm.ddaaaa")</f>
        <v>2026.01.21星期三</v>
      </c>
      <c r="D3" s="479"/>
      <c r="E3" s="56" t="s">
        <v>1790</v>
      </c>
      <c r="F3" s="480">
        <f>'0121 4度C'!D1</f>
        <v>163522</v>
      </c>
      <c r="G3" s="481"/>
      <c r="H3" s="56" t="s">
        <v>1791</v>
      </c>
      <c r="I3" s="482">
        <f>'0121 4度C'!F1</f>
        <v>5659188.2600000007</v>
      </c>
      <c r="J3" s="483"/>
      <c r="K3" s="57"/>
      <c r="L3" s="58"/>
      <c r="M3" s="59"/>
      <c r="N3" s="59"/>
    </row>
    <row r="4" spans="2:17" ht="28.5" customHeight="1">
      <c r="B4" s="484" t="s">
        <v>164</v>
      </c>
      <c r="C4" s="470" t="s">
        <v>165</v>
      </c>
      <c r="D4" s="471"/>
      <c r="E4" s="487" t="s">
        <v>1792</v>
      </c>
      <c r="F4" s="488"/>
      <c r="G4" s="487" t="s">
        <v>1793</v>
      </c>
      <c r="H4" s="488"/>
      <c r="I4" s="487" t="s">
        <v>1794</v>
      </c>
      <c r="J4" s="488"/>
      <c r="K4" s="468" t="s">
        <v>1795</v>
      </c>
      <c r="L4" s="469"/>
      <c r="M4" s="469" t="s">
        <v>1796</v>
      </c>
      <c r="N4" s="469"/>
    </row>
    <row r="5" spans="2:17" ht="28.5" customHeight="1">
      <c r="B5" s="485"/>
      <c r="C5" s="470" t="s">
        <v>1797</v>
      </c>
      <c r="D5" s="471"/>
      <c r="E5" s="470" t="s">
        <v>1798</v>
      </c>
      <c r="F5" s="471"/>
      <c r="G5" s="472" t="s">
        <v>1799</v>
      </c>
      <c r="H5" s="473"/>
      <c r="I5" s="474" t="s">
        <v>1800</v>
      </c>
      <c r="J5" s="475"/>
      <c r="K5" s="60" t="s">
        <v>1801</v>
      </c>
      <c r="L5" s="61" t="s">
        <v>1802</v>
      </c>
      <c r="M5" s="60" t="s">
        <v>1801</v>
      </c>
      <c r="N5" s="61" t="s">
        <v>1803</v>
      </c>
    </row>
    <row r="6" spans="2:17" ht="28.5" customHeight="1">
      <c r="B6" s="485"/>
      <c r="C6" s="470" t="s">
        <v>144</v>
      </c>
      <c r="D6" s="471"/>
      <c r="E6" s="462">
        <f>AVERAGE(D13:M13)</f>
        <v>146.49894979467447</v>
      </c>
      <c r="F6" s="463">
        <f>AVERAGE(D31:O31,D13:J13)</f>
        <v>149.39025853109837</v>
      </c>
      <c r="G6" s="464">
        <f>AVERAGE(D13:J13)</f>
        <v>149.39025853109837</v>
      </c>
      <c r="H6" s="465"/>
      <c r="I6" s="464">
        <f>AVERAGE(K13:M13)</f>
        <v>139.75256274301873</v>
      </c>
      <c r="J6" s="465"/>
      <c r="K6" s="466">
        <f>'0121 4度C'!Y2</f>
        <v>0</v>
      </c>
      <c r="L6" s="451">
        <f>'0121 4度C'!Z2</f>
        <v>0</v>
      </c>
      <c r="M6" s="467">
        <f>'0121 4度C'!AC2</f>
        <v>42</v>
      </c>
      <c r="N6" s="451">
        <f>'0121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140.41635365522831</v>
      </c>
      <c r="F7" s="455">
        <f>AVERAGE(D32:O32,D14:J14)</f>
        <v>143.24987183936497</v>
      </c>
      <c r="G7" s="456">
        <f>AVERAGE(D14:J14)</f>
        <v>143.24987183936497</v>
      </c>
      <c r="H7" s="457"/>
      <c r="I7" s="456">
        <f>AVERAGE(K14:M14)</f>
        <v>133.80481122557595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0.95798688510674113</v>
      </c>
      <c r="F8" s="459">
        <f>AVERAGE(D15:J15,D33:O33)</f>
        <v>0.95820904483925973</v>
      </c>
      <c r="G8" s="460">
        <f>AVERAGE(D15:J15)</f>
        <v>0.95820904483925973</v>
      </c>
      <c r="H8" s="461"/>
      <c r="I8" s="460">
        <f>AVERAGE(K15:M15)</f>
        <v>0.95746851239753072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1804</v>
      </c>
      <c r="N9" s="59"/>
      <c r="O9" s="59"/>
      <c r="P9" s="59"/>
      <c r="Q9" s="59"/>
    </row>
    <row r="10" spans="2:17" ht="30" customHeight="1">
      <c r="B10" s="434" t="s">
        <v>1805</v>
      </c>
      <c r="C10" s="435"/>
      <c r="D10" s="436" t="s">
        <v>1806</v>
      </c>
      <c r="E10" s="437"/>
      <c r="F10" s="437"/>
      <c r="G10" s="437"/>
      <c r="H10" s="437"/>
      <c r="I10" s="437"/>
      <c r="J10" s="438"/>
      <c r="K10" s="439" t="s">
        <v>1807</v>
      </c>
      <c r="L10" s="440"/>
      <c r="M10" s="441"/>
      <c r="P10" s="65"/>
      <c r="Q10" s="65"/>
    </row>
    <row r="11" spans="2:17" ht="17.25" customHeight="1">
      <c r="B11" s="442" t="s">
        <v>1808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1809</v>
      </c>
      <c r="C13" s="72" t="s">
        <v>1810</v>
      </c>
      <c r="D13" s="73">
        <f>SUMIFS('0121 4度C'!$K:$K,'0121 4度C'!$A:$A,"新豐6線",'0121 4度C'!$B:$B,"平均")</f>
        <v>122.95081967213115</v>
      </c>
      <c r="E13" s="74">
        <f>SUMIFS('0121 4度C'!$K:$K,'0121 4度C'!$A:$A,"新豐2線",'0121 4度C'!$B:$B,"平均")</f>
        <v>83.333333333333329</v>
      </c>
      <c r="F13" s="75">
        <f>SUMIFS('0121 4度C'!$K:$K,'0121 4度C'!$A:$A,"新豐5線",'0121 4度C'!$B:$B,"平均")</f>
        <v>116.43835616438356</v>
      </c>
      <c r="G13" s="75">
        <f>SUMIFS('0121 4度C'!$K:$K,'0121 4度C'!$A:$A,"新豐7線",'0121 4度C'!$B:$B,"平均")</f>
        <v>117.02127659574468</v>
      </c>
      <c r="H13" s="75">
        <f>SUMIFS('0121 4度C'!$K:$K,'0121 4度C'!$A:$A,"新豐3線",'0121 4度C'!$B:$B,"平均")</f>
        <v>300</v>
      </c>
      <c r="I13" s="75">
        <f>SUMIFS('0121 4度C'!$K:$K,'0121 4度C'!$A:$A,"新豐1線",'0121 4度C'!$B:$B,"平均")</f>
        <v>105.9880239520958</v>
      </c>
      <c r="J13" s="76">
        <f>SUMIFS('0121 4度C'!$K:$K,'0121 4度C'!$A:$A,"新豐10線",'0121 4度C'!$B:$B,"平均")</f>
        <v>200.00000000000003</v>
      </c>
      <c r="K13" s="77">
        <f>SUMIFS('0121 4度C'!$K:$K,'0121 4度C'!$A:$A,"新豐8線",'0121 4度C'!$B:$B,"平均")</f>
        <v>146.08695652173915</v>
      </c>
      <c r="L13" s="78">
        <f>SUMIFS('0121 4度C'!$K:$K,'0121 4度C'!$A:$A,"新豐9線",'0121 4度C'!$B:$B,"平均")</f>
        <v>136.58536585365852</v>
      </c>
      <c r="M13" s="76">
        <f>SUMIFS('0121 4度C'!$K:$K,'0121 4度C'!$A:$A,"新豐4線",'0121 4度C'!$B:$B,"平均")</f>
        <v>136.58536585365852</v>
      </c>
    </row>
    <row r="14" spans="2:17" ht="39.6" customHeight="1">
      <c r="B14" s="447"/>
      <c r="C14" s="79" t="s">
        <v>1811</v>
      </c>
      <c r="D14" s="80">
        <f>SUMIFS('0121 4度C'!$N:$N,'0121 4度C'!$A:$A,"新豐6線",'0121 4度C'!$B:$B,"平均")</f>
        <v>118.48171526074087</v>
      </c>
      <c r="E14" s="81">
        <f>SUMIFS('0121 4度C'!$N:$N,'0121 4度C'!$A:$A,"新豐2線",'0121 4度C'!$B:$B,"平均")</f>
        <v>79.614581974696748</v>
      </c>
      <c r="F14" s="81">
        <f>SUMIFS('0121 4度C'!$N:$N,'0121 4度C'!$A:$A,"新豐5線",'0121 4度C'!$B:$B,"平均")</f>
        <v>111.43528253592896</v>
      </c>
      <c r="G14" s="81">
        <f>SUMIFS('0121 4度C'!$N:$N,'0121 4度C'!$A:$A,"新豐7線",'0121 4度C'!$B:$B,"平均")</f>
        <v>112.96365510111156</v>
      </c>
      <c r="H14" s="81">
        <f>SUMIFS('0121 4度C'!$N:$N,'0121 4度C'!$A:$A,"新豐3線",'0121 4度C'!$B:$B,"平均")</f>
        <v>287.09642213441953</v>
      </c>
      <c r="I14" s="81">
        <f>SUMIFS('0121 4度C'!$N:$N,'0121 4度C'!$A:$A,"新豐1線",'0121 4度C'!$B:$B,"平均")</f>
        <v>99.955064916276143</v>
      </c>
      <c r="J14" s="82">
        <f>SUMIFS('0121 4度C'!$N:$N,'0121 4度C'!$A:$A,"新豐10線",'0121 4度C'!$B:$B,"平均")</f>
        <v>193.20238095238105</v>
      </c>
      <c r="K14" s="83">
        <f>SUMIFS('0121 4度C'!$N:$N,'0121 4度C'!$A:$A,"新豐8線",'0121 4度C'!$B:$B,"平均")</f>
        <v>139.69528967524724</v>
      </c>
      <c r="L14" s="84">
        <f>SUMIFS('0121 4度C'!$N:$N,'0121 4度C'!$A:$A,"新豐9線",'0121 4度C'!$B:$B,"平均")</f>
        <v>130.81208197977381</v>
      </c>
      <c r="M14" s="82">
        <f>SUMIFS('0121 4度C'!$N:$N,'0121 4度C'!$A:$A,"新豐4線",'0121 4度C'!$B:$B,"平均")</f>
        <v>130.90706202170679</v>
      </c>
    </row>
    <row r="15" spans="2:17" ht="40.15" customHeight="1">
      <c r="B15" s="448"/>
      <c r="C15" s="85" t="s">
        <v>1812</v>
      </c>
      <c r="D15" s="86">
        <f t="shared" ref="D15:M15" si="0">D14/D13</f>
        <v>0.96365128412069245</v>
      </c>
      <c r="E15" s="87">
        <f t="shared" si="0"/>
        <v>0.95537498369636098</v>
      </c>
      <c r="F15" s="87">
        <f t="shared" si="0"/>
        <v>0.95703242648503695</v>
      </c>
      <c r="G15" s="87">
        <f t="shared" si="0"/>
        <v>0.96532577995495328</v>
      </c>
      <c r="H15" s="87">
        <f t="shared" si="0"/>
        <v>0.95698807378139839</v>
      </c>
      <c r="I15" s="87">
        <f t="shared" si="0"/>
        <v>0.94307886107446992</v>
      </c>
      <c r="J15" s="88">
        <f t="shared" si="0"/>
        <v>0.96601190476190513</v>
      </c>
      <c r="K15" s="86">
        <f t="shared" si="0"/>
        <v>0.9562475186103232</v>
      </c>
      <c r="L15" s="87">
        <f t="shared" si="0"/>
        <v>0.95773131449477267</v>
      </c>
      <c r="M15" s="88">
        <f t="shared" si="0"/>
        <v>0.95842670408749631</v>
      </c>
    </row>
    <row r="16" spans="2:17" ht="17.25" customHeight="1">
      <c r="B16" s="449" t="s">
        <v>1813</v>
      </c>
      <c r="C16" s="89" t="s">
        <v>1814</v>
      </c>
      <c r="D16" s="90">
        <f>VLOOKUP("新豐6線",'0121 4度C'!$A:$T,19,0)</f>
        <v>0.33333333333333331</v>
      </c>
      <c r="E16" s="91">
        <f>VLOOKUP("新豐2線",'0121 4度C'!$A:$T,19,0)</f>
        <v>0.25</v>
      </c>
      <c r="F16" s="91">
        <f>VLOOKUP("新豐5線",'0121 4度C'!$A:$T,19,0)</f>
        <v>0.33333333333333331</v>
      </c>
      <c r="G16" s="91">
        <f>VLOOKUP("新豐7線",'0121 4度C'!$A:$T,19,0)</f>
        <v>0.33333333333333331</v>
      </c>
      <c r="H16" s="91">
        <f>VLOOKUP("新豐3線",'0121 4度C'!$A:$T,19,0)</f>
        <v>8.3333333333333329E-2</v>
      </c>
      <c r="I16" s="91">
        <f>VLOOKUP("新豐1線",'0121 4度C'!$A:$T,19,0)</f>
        <v>0.20833333333333334</v>
      </c>
      <c r="J16" s="92">
        <f>VLOOKUP("新豐10線",'0121 4度C'!$A:$T,19,0)</f>
        <v>0.20833333333333334</v>
      </c>
      <c r="K16" s="93">
        <f>VLOOKUP("新豐8線",'0121 4度C'!$A:$T,19,0)</f>
        <v>8.3333333333333329E-2</v>
      </c>
      <c r="L16" s="94">
        <f>VLOOKUP("新豐9線",'0121 4度C'!$A:$T,19,0)</f>
        <v>8.3333333333333329E-2</v>
      </c>
      <c r="M16" s="95">
        <f>VLOOKUP("新豐4線",'0121 4度C'!$A:$T,19,0)</f>
        <v>8.3333333333333329E-2</v>
      </c>
    </row>
    <row r="17" spans="2:13" ht="17.25" customHeight="1">
      <c r="B17" s="450"/>
      <c r="C17" s="89" t="s">
        <v>1815</v>
      </c>
      <c r="D17" s="93">
        <f>LOOKUP(2,1/(('0121 4度C'!$A:$A="新豐6線")*('0121 4度C'!$T:$T&lt;&gt;"")),'0121 4度C'!$T:$T)</f>
        <v>0.93611111111111112</v>
      </c>
      <c r="E17" s="91">
        <f>LOOKUP(2,1/(('0121 4度C'!$A:$A="新豐2線")*('0121 4度C'!$T:$T&lt;&gt;"")),'0121 4度C'!$T:$T)</f>
        <v>0.46875</v>
      </c>
      <c r="F17" s="91">
        <f>LOOKUP(2,1/(('0121 4度C'!$A:$A="新豐5線")*('0121 4度C'!$T:$T&lt;&gt;"")),'0121 4度C'!$T:$T)</f>
        <v>0.93402777777777779</v>
      </c>
      <c r="G17" s="91">
        <f>LOOKUP(2,1/(('0121 4度C'!$A:$A="新豐7線")*('0121 4度C'!$T:$T&lt;&gt;"")),'0121 4度C'!$T:$T)</f>
        <v>0.92986111111111114</v>
      </c>
      <c r="H17" s="91">
        <f>LOOKUP(2,1/(('0121 4度C'!$A:$A="新豐3線")*('0121 4度C'!$T:$T&lt;&gt;"")),'0121 4度C'!$T:$T)</f>
        <v>0.56319444444444433</v>
      </c>
      <c r="I17" s="91">
        <f>LOOKUP(2,1/(('0121 4度C'!$A:$A="新豐1線")*('0121 4度C'!$T:$T&lt;&gt;"")),'0121 4度C'!$T:$T)</f>
        <v>0.90277777777777768</v>
      </c>
      <c r="J17" s="92">
        <f>LOOKUP(2,1/(('0121 4度C'!$A:$A="新豐10線")*('0121 4度C'!$T:$T&lt;&gt;"")),'0121 4度C'!$T:$T)</f>
        <v>0.31111111111111112</v>
      </c>
      <c r="K17" s="90">
        <f>LOOKUP(2,1/(('0121 4度C'!$A:$A="新豐8線")*('0121 4度C'!$T:$T&lt;&gt;"")),'0121 4度C'!$T:$T)</f>
        <v>0.6645833333333333</v>
      </c>
      <c r="L17" s="91">
        <f>LOOKUP(2,1/(('0121 4度C'!$A:$A="新豐9線")*('0121 4度C'!$T:$T&lt;&gt;"")),'0121 4度C'!$T:$T)</f>
        <v>0.56874999999999998</v>
      </c>
      <c r="M17" s="92">
        <f>LOOKUP(2,1/(('0121 4度C'!$A:$A="新豐4線")*('0121 4度C'!$T:$T&lt;&gt;"")),'0121 4度C'!$T:$T)</f>
        <v>0.56874999999999987</v>
      </c>
    </row>
    <row r="18" spans="2:13" ht="17.25" customHeight="1">
      <c r="B18" s="428" t="s">
        <v>1816</v>
      </c>
      <c r="C18" s="96" t="s">
        <v>1817</v>
      </c>
      <c r="D18" s="97">
        <f>SUMIFS('0121 4度C'!$Y:$Y,'0121 4度C'!$A:$A,"新豐6線",'0121 4度C'!$B:$B,"平均")</f>
        <v>0</v>
      </c>
      <c r="E18" s="98">
        <f>SUMIFS('0121 4度C'!$Y:$Y,'0121 4度C'!$A:$A,"新豐2線",'0121 4度C'!$B:$B,"平均")</f>
        <v>0</v>
      </c>
      <c r="F18" s="98">
        <f>SUMIFS('0121 4度C'!$Y:$Y,'0121 4度C'!$A:$A,"新豐5線",'0121 4度C'!$B:$B,"平均")</f>
        <v>0</v>
      </c>
      <c r="G18" s="98">
        <f>SUMIFS('0121 4度C'!$Y:$Y,'0121 4度C'!$A:$A,"新豐7線",'0121 4度C'!$B:$B,"平均")</f>
        <v>0</v>
      </c>
      <c r="H18" s="98">
        <f>SUMIFS('0121 4度C'!$Y:$Y,'0121 4度C'!$A:$A,"新豐3線",'0121 4度C'!$B:$B,"平均")</f>
        <v>0</v>
      </c>
      <c r="I18" s="98">
        <f>SUMIFS('0121 4度C'!$Y:$Y,'0121 4度C'!$A:$A,"新豐1線",'0121 4度C'!$B:$B,"平均")</f>
        <v>0</v>
      </c>
      <c r="J18" s="99">
        <f>SUMIFS('0121 4度C'!$Y:$Y,'0121 4度C'!$A:$A,"新豐10線",'0121 4度C'!$B:$B,"平均")</f>
        <v>0</v>
      </c>
      <c r="K18" s="100">
        <f>SUMIFS('0121 4度C'!$Y:$Y,'0121 4度C'!$A:$A,"新豐8線",'0121 4度C'!$B:$B,"平均")</f>
        <v>0</v>
      </c>
      <c r="L18" s="98">
        <f>SUMIFS('0121 4度C'!$Y:$Y,'0121 4度C'!$A:$A,"新豐9線",'0121 4度C'!$B:$B,"平均")</f>
        <v>0</v>
      </c>
      <c r="M18" s="99">
        <f>SUMIFS('0121 4度C'!$Y:$Y,'0121 4度C'!$A:$A,"新豐4線",'0121 4度C'!$B:$B,"平均")</f>
        <v>0</v>
      </c>
    </row>
    <row r="19" spans="2:13" ht="17.25" customHeight="1">
      <c r="B19" s="429"/>
      <c r="C19" s="96" t="s">
        <v>1818</v>
      </c>
      <c r="D19" s="97">
        <f>SUMIFS('0121 4度C'!$Z:$Z,'0121 4度C'!$A:$A,"新豐6線",'0121 4度C'!$B:$B,"平均")</f>
        <v>0</v>
      </c>
      <c r="E19" s="98">
        <f>SUMIFS('0121 4度C'!$Z:$Z,'0121 4度C'!$A:$A,"新豐2線",'0121 4度C'!$B:$B,"平均")</f>
        <v>0</v>
      </c>
      <c r="F19" s="98">
        <f>SUMIFS('0121 4度C'!$Z:$Z,'0121 4度C'!$A:$A,"新豐5線",'0121 4度C'!$B:$B,"平均")</f>
        <v>0</v>
      </c>
      <c r="G19" s="98">
        <f>SUMIFS('0121 4度C'!$Z:$Z,'0121 4度C'!$A:$A,"新豐7線",'0121 4度C'!$B:$B,"平均")</f>
        <v>0</v>
      </c>
      <c r="H19" s="98">
        <f>SUMIFS('0121 4度C'!$Z:$Z,'0121 4度C'!$A:$A,"新豐3線",'0121 4度C'!$B:$B,"平均")</f>
        <v>0</v>
      </c>
      <c r="I19" s="98">
        <f>SUMIFS('0121 4度C'!$Z:$Z,'0121 4度C'!$A:$A,"新豐1線",'0121 4度C'!$B:$B,"平均")</f>
        <v>0</v>
      </c>
      <c r="J19" s="99">
        <f>SUMIFS('0121 4度C'!$Z:$Z,'0121 4度C'!$A:$A,"新豐10線",'0121 4度C'!$B:$B,"平均")</f>
        <v>0</v>
      </c>
      <c r="K19" s="100">
        <f>SUMIFS('0121 4度C'!$Z:$Z,'0121 4度C'!$A:$A,"新豐8線",'0121 4度C'!$B:$B,"平均")</f>
        <v>0</v>
      </c>
      <c r="L19" s="98">
        <f>SUMIFS('0121 4度C'!$Z:$Z,'0121 4度C'!$A:$A,"新豐9線",'0121 4度C'!$B:$B,"平均")</f>
        <v>0</v>
      </c>
      <c r="M19" s="99">
        <f>SUMIFS('0121 4度C'!$Z:$Z,'0121 4度C'!$A:$A,"新豐4線",'0121 4度C'!$B:$B,"平均")</f>
        <v>0</v>
      </c>
    </row>
    <row r="20" spans="2:13" ht="17.25" customHeight="1">
      <c r="B20" s="428" t="s">
        <v>1819</v>
      </c>
      <c r="C20" s="96" t="s">
        <v>1817</v>
      </c>
      <c r="D20" s="97">
        <f>SUMIFS('0121 4度C'!$AC:$AC,'0121 4度C'!$A:$A,"新豐6線",'0121 4度C'!$B:$B,"平均")</f>
        <v>4</v>
      </c>
      <c r="E20" s="98">
        <f>SUMIFS('0121 4度C'!$AC:$AC,'0121 4度C'!$A:$A,"新豐2線",'0121 4度C'!$B:$B,"平均")</f>
        <v>2</v>
      </c>
      <c r="F20" s="98">
        <f>SUMIFS('0121 4度C'!$AC:$AC,'0121 4度C'!$A:$A,"新豐5線",'0121 4度C'!$B:$B,"平均")</f>
        <v>3</v>
      </c>
      <c r="G20" s="98">
        <f>SUMIFS('0121 4度C'!$AC:$AC,'0121 4度C'!$A:$A,"新豐7線",'0121 4度C'!$B:$B,"平均")</f>
        <v>3</v>
      </c>
      <c r="H20" s="98">
        <f>SUMIFS('0121 4度C'!$AC:$AC,'0121 4度C'!$A:$A,"新豐3線",'0121 4度C'!$B:$B,"平均")</f>
        <v>1</v>
      </c>
      <c r="I20" s="98">
        <f>SUMIFS('0121 4度C'!$AC:$AC,'0121 4度C'!$A:$A,"新豐1線",'0121 4度C'!$B:$B,"平均")</f>
        <v>5</v>
      </c>
      <c r="J20" s="99">
        <f>SUMIFS('0121 4度C'!$AC:$AC,'0121 4度C'!$A:$A,"新豐10線",'0121 4度C'!$B:$B,"平均")</f>
        <v>1</v>
      </c>
      <c r="K20" s="100">
        <f>SUMIFS('0121 4度C'!$AC:$AC,'0121 4度C'!$A:$A,"新豐8線",'0121 4度C'!$B:$B,"平均")</f>
        <v>9</v>
      </c>
      <c r="L20" s="98">
        <f>SUMIFS('0121 4度C'!$AC:$AC,'0121 4度C'!$A:$A,"新豐9線",'0121 4度C'!$B:$B,"平均")</f>
        <v>7</v>
      </c>
      <c r="M20" s="99">
        <f>SUMIFS('0121 4度C'!$AC:$AC,'0121 4度C'!$A:$A,"新豐4線",'0121 4度C'!$B:$B,"平均")</f>
        <v>7</v>
      </c>
    </row>
    <row r="21" spans="2:13" ht="17.25" customHeight="1">
      <c r="B21" s="429"/>
      <c r="C21" s="96" t="s">
        <v>1820</v>
      </c>
      <c r="D21" s="97">
        <f>SUMIFS('0121 4度C'!$AD:$AD,'0121 4度C'!$A:$A,"新豐6線",'0121 4度C'!$B:$B,"平均")</f>
        <v>0</v>
      </c>
      <c r="E21" s="98">
        <f>SUMIFS('0121 4度C'!$AD:$AD,'0121 4度C'!$A:$A,"新豐2線",'0121 4度C'!$B:$B,"平均")</f>
        <v>0</v>
      </c>
      <c r="F21" s="98">
        <f>SUMIFS('0121 4度C'!$AD:$AD,'0121 4度C'!$A:$A,"新豐5線",'0121 4度C'!$B:$B,"平均")</f>
        <v>0</v>
      </c>
      <c r="G21" s="98">
        <f>SUMIFS('0121 4度C'!$AD:$AD,'0121 4度C'!$A:$A,"新豐7線",'0121 4度C'!$B:$B,"平均")</f>
        <v>0</v>
      </c>
      <c r="H21" s="98">
        <f>SUMIFS('0121 4度C'!$AD:$AD,'0121 4度C'!$A:$A,"新豐3線",'0121 4度C'!$B:$B,"平均")</f>
        <v>0</v>
      </c>
      <c r="I21" s="98">
        <f>SUMIFS('0121 4度C'!$AD:$AD,'0121 4度C'!$A:$A,"新豐1線",'0121 4度C'!$B:$B,"平均")</f>
        <v>0</v>
      </c>
      <c r="J21" s="99">
        <f>SUMIFS('0121 4度C'!$AD:$AD,'0121 4度C'!$A:$A,"新豐10線",'0121 4度C'!$B:$B,"平均")</f>
        <v>0</v>
      </c>
      <c r="K21" s="100">
        <f>SUMIFS('0121 4度C'!$AD:$AD,'0121 4度C'!$A:$A,"新豐8線",'0121 4度C'!$B:$B,"平均")</f>
        <v>0</v>
      </c>
      <c r="L21" s="98">
        <f>SUMIFS('0121 4度C'!$AD:$AD,'0121 4度C'!$A:$A,"新豐9線",'0121 4度C'!$B:$B,"平均")</f>
        <v>0</v>
      </c>
      <c r="M21" s="99">
        <f>SUMIFS('0121 4度C'!$AD:$AD,'0121 4度C'!$A:$A,"新豐4線",'0121 4度C'!$B:$B,"平均")</f>
        <v>0</v>
      </c>
    </row>
    <row r="22" spans="2:13" ht="17.25" customHeight="1">
      <c r="B22" s="430" t="s">
        <v>1821</v>
      </c>
      <c r="C22" s="431"/>
      <c r="D22" s="101">
        <f>SUMIFS('0121 4度C'!$I:$I,'0121 4度C'!$A:$A,"新豐6線",'0121 4度C'!$B:$B,"平均")</f>
        <v>15.25</v>
      </c>
      <c r="E22" s="102">
        <f>SUMIFS('0121 4度C'!$I:$I,'0121 4度C'!$A:$A,"新豐2線",'0121 4度C'!$B:$B,"平均")</f>
        <v>18</v>
      </c>
      <c r="F22" s="102">
        <f>SUMIFS('0121 4度C'!$I:$I,'0121 4度C'!$A:$A,"新豐5線",'0121 4度C'!$B:$B,"平均")</f>
        <v>16.222222222222221</v>
      </c>
      <c r="G22" s="102">
        <f>SUMIFS('0121 4度C'!$I:$I,'0121 4度C'!$A:$A,"新豐7線",'0121 4度C'!$B:$B,"平均")</f>
        <v>15.666666666666666</v>
      </c>
      <c r="H22" s="102">
        <f>SUMIFS('0121 4度C'!$I:$I,'0121 4度C'!$A:$A,"新豐3線",'0121 4度C'!$B:$B,"平均")</f>
        <v>10</v>
      </c>
      <c r="I22" s="102">
        <f>SUMIFS('0121 4度C'!$I:$I,'0121 4度C'!$A:$A,"新豐1線",'0121 4度C'!$B:$B,"平均")</f>
        <v>18.555555555555557</v>
      </c>
      <c r="J22" s="103">
        <f>SUMIFS('0121 4度C'!$I:$I,'0121 4度C'!$A:$A,"新豐10線",'0121 4度C'!$B:$B,"平均")</f>
        <v>11.666666666666666</v>
      </c>
      <c r="K22" s="101">
        <f>SUMIFS('0121 4度C'!$I:$I,'0121 4度C'!$A:$A,"新豐8線",'0121 4度C'!$B:$B,"平均")</f>
        <v>16.428571428571427</v>
      </c>
      <c r="L22" s="102">
        <f>SUMIFS('0121 4度C'!$I:$I,'0121 4度C'!$A:$A,"新豐9線",'0121 4度C'!$B:$B,"平均")</f>
        <v>17.571428571428573</v>
      </c>
      <c r="M22" s="103">
        <f>SUMIFS('0121 4度C'!$I:$I,'0121 4度C'!$A:$A,"新豐4線",'0121 4度C'!$B:$B,"平均")</f>
        <v>17.571428571428573</v>
      </c>
    </row>
    <row r="23" spans="2:13" ht="17.25" customHeight="1">
      <c r="B23" s="430" t="s">
        <v>1822</v>
      </c>
      <c r="C23" s="431"/>
      <c r="D23" s="104" t="s">
        <v>157</v>
      </c>
      <c r="E23" s="105" t="s">
        <v>158</v>
      </c>
      <c r="F23" s="105" t="s">
        <v>1823</v>
      </c>
      <c r="G23" s="105" t="s">
        <v>1823</v>
      </c>
      <c r="H23" s="105" t="s">
        <v>159</v>
      </c>
      <c r="I23" s="105" t="s">
        <v>157</v>
      </c>
      <c r="J23" s="106" t="s">
        <v>159</v>
      </c>
      <c r="K23" s="104" t="s">
        <v>1824</v>
      </c>
      <c r="L23" s="105" t="s">
        <v>1824</v>
      </c>
      <c r="M23" s="106" t="s">
        <v>1824</v>
      </c>
    </row>
    <row r="24" spans="2:13" ht="17.25" customHeight="1">
      <c r="B24" s="430" t="s">
        <v>1825</v>
      </c>
      <c r="C24" s="431"/>
      <c r="D24" s="104"/>
      <c r="E24" s="105"/>
      <c r="F24" s="105" t="s">
        <v>1826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1827</v>
      </c>
      <c r="C25" s="433"/>
      <c r="D25" s="107"/>
      <c r="E25" s="108" t="s">
        <v>1828</v>
      </c>
      <c r="F25" s="426" t="s">
        <v>1829</v>
      </c>
      <c r="G25" s="427"/>
      <c r="H25" s="108" t="s">
        <v>1830</v>
      </c>
      <c r="I25" s="108" t="s">
        <v>1831</v>
      </c>
      <c r="J25" s="109" t="s">
        <v>1830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7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5"/>
  <sheetViews>
    <sheetView zoomScale="80" zoomScaleNormal="80" workbookViewId="0">
      <pane ySplit="4" topLeftCell="A15" activePane="bottomLeft" state="frozen"/>
      <selection activeCell="G6" sqref="G6:H6"/>
      <selection pane="bottomLeft" activeCell="L27" sqref="L27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SUM(F5:F84)</f>
        <v>163522</v>
      </c>
      <c r="E1" s="320" t="s">
        <v>2</v>
      </c>
      <c r="F1" s="1">
        <f>SUM(G5:G84)</f>
        <v>5659188.2600000007</v>
      </c>
      <c r="G1" s="1" t="s">
        <v>1832</v>
      </c>
      <c r="H1" s="5">
        <f>L13+L16+L62+L72+L26+L76+L44+L52+L36+L84</f>
        <v>156.9325396825397</v>
      </c>
      <c r="I1" s="542" t="s">
        <v>1833</v>
      </c>
      <c r="J1" s="542"/>
      <c r="K1" s="542"/>
      <c r="L1" s="542" t="s">
        <v>5</v>
      </c>
      <c r="M1" s="542"/>
      <c r="N1" s="542"/>
      <c r="O1" s="542" t="s">
        <v>1834</v>
      </c>
      <c r="P1" s="542"/>
      <c r="Q1" s="542"/>
      <c r="R1" s="542"/>
      <c r="S1" s="542" t="s">
        <v>1835</v>
      </c>
      <c r="T1" s="542"/>
      <c r="U1" s="542"/>
      <c r="V1" s="542"/>
      <c r="W1" s="542"/>
      <c r="X1" s="542"/>
      <c r="Y1" s="6" t="s">
        <v>8</v>
      </c>
      <c r="Z1" s="7" t="s">
        <v>1836</v>
      </c>
      <c r="AA1" s="543" t="s">
        <v>379</v>
      </c>
      <c r="AB1" s="543"/>
      <c r="AC1" s="156" t="s">
        <v>1837</v>
      </c>
      <c r="AD1" s="7" t="s">
        <v>267</v>
      </c>
      <c r="AE1" s="542" t="s">
        <v>1838</v>
      </c>
      <c r="AF1" s="544"/>
      <c r="AG1" s="544"/>
    </row>
    <row r="2" spans="1:33" ht="26.25" customHeight="1">
      <c r="A2" s="49">
        <v>46043</v>
      </c>
      <c r="B2" s="50" t="s">
        <v>520</v>
      </c>
      <c r="C2" s="2" t="s">
        <v>13</v>
      </c>
      <c r="D2" s="10">
        <f>AVERAGE(N13,N16,N62,N72,N26,N76,N36,N44,N52,N84)</f>
        <v>140.41635365522831</v>
      </c>
      <c r="E2" s="11" t="s">
        <v>14</v>
      </c>
      <c r="F2" s="12">
        <f>F1/D1</f>
        <v>34.608115482931964</v>
      </c>
      <c r="G2" s="1" t="s">
        <v>383</v>
      </c>
      <c r="H2" s="332">
        <f>COUNT(H5:H84)</f>
        <v>14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SUM(Y13+Y16+Y26+Y36+Y44+Y52+Y62+Y72+Y76+Y84)</f>
        <v>0</v>
      </c>
      <c r="Z2" s="14">
        <f>SUM(Z13+Z16+Z26+Z36+Z44+Z52+Z62+Z72+Z76+Z84)</f>
        <v>0</v>
      </c>
      <c r="AA2" s="543"/>
      <c r="AB2" s="543"/>
      <c r="AC2" s="157">
        <v>42</v>
      </c>
      <c r="AD2" s="14">
        <f>SUM(AD13+AD16+AD26+AD36+AD44+AD52+AD62+AD72+AD76+AD84)</f>
        <v>0</v>
      </c>
      <c r="AE2" s="544"/>
      <c r="AF2" s="544"/>
      <c r="AG2" s="544"/>
    </row>
    <row r="3" spans="1:33" ht="40.5" customHeight="1">
      <c r="A3" s="491" t="s">
        <v>1839</v>
      </c>
      <c r="B3" s="491" t="s">
        <v>385</v>
      </c>
      <c r="C3" s="491" t="s">
        <v>386</v>
      </c>
      <c r="D3" s="491"/>
      <c r="E3" s="540" t="s">
        <v>1840</v>
      </c>
      <c r="F3" s="491" t="s">
        <v>20</v>
      </c>
      <c r="G3" s="540" t="s">
        <v>1841</v>
      </c>
      <c r="H3" s="533" t="s">
        <v>1842</v>
      </c>
      <c r="I3" s="531" t="s">
        <v>391</v>
      </c>
      <c r="J3" s="528" t="s">
        <v>24</v>
      </c>
      <c r="K3" s="538" t="s">
        <v>13</v>
      </c>
      <c r="L3" s="531" t="s">
        <v>391</v>
      </c>
      <c r="M3" s="528" t="s">
        <v>24</v>
      </c>
      <c r="N3" s="538" t="s">
        <v>13</v>
      </c>
      <c r="O3" s="531" t="s">
        <v>1843</v>
      </c>
      <c r="P3" s="538" t="s">
        <v>13</v>
      </c>
      <c r="Q3" s="529" t="s">
        <v>1844</v>
      </c>
      <c r="R3" s="507" t="s">
        <v>36</v>
      </c>
      <c r="S3" s="539" t="s">
        <v>27</v>
      </c>
      <c r="T3" s="539"/>
      <c r="U3" s="533" t="s">
        <v>28</v>
      </c>
      <c r="V3" s="533" t="s">
        <v>395</v>
      </c>
      <c r="W3" s="491" t="s">
        <v>30</v>
      </c>
      <c r="X3" s="491"/>
      <c r="Y3" s="534" t="s">
        <v>1845</v>
      </c>
      <c r="Z3" s="495"/>
      <c r="AA3" s="535" t="s">
        <v>1846</v>
      </c>
      <c r="AB3" s="536"/>
      <c r="AC3" s="534" t="s">
        <v>287</v>
      </c>
      <c r="AD3" s="495"/>
      <c r="AE3" s="528" t="s">
        <v>24</v>
      </c>
      <c r="AF3" s="529" t="s">
        <v>25</v>
      </c>
      <c r="AG3" s="507" t="s">
        <v>36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31" t="s">
        <v>37</v>
      </c>
      <c r="T4" s="331" t="s">
        <v>38</v>
      </c>
      <c r="U4" s="533"/>
      <c r="V4" s="533"/>
      <c r="W4" s="320" t="s">
        <v>1847</v>
      </c>
      <c r="X4" s="320" t="s">
        <v>1848</v>
      </c>
      <c r="Y4" s="322" t="s">
        <v>1849</v>
      </c>
      <c r="Z4" s="322" t="s">
        <v>42</v>
      </c>
      <c r="AA4" s="537"/>
      <c r="AB4" s="536"/>
      <c r="AC4" s="322" t="s">
        <v>1850</v>
      </c>
      <c r="AD4" s="322" t="s">
        <v>296</v>
      </c>
      <c r="AE4" s="528"/>
      <c r="AF4" s="529"/>
      <c r="AG4" s="507"/>
    </row>
    <row r="5" spans="1:33">
      <c r="A5" s="530" t="s">
        <v>1851</v>
      </c>
      <c r="B5" s="42" t="s">
        <v>100</v>
      </c>
      <c r="C5" s="532" t="s">
        <v>109</v>
      </c>
      <c r="D5" s="532"/>
      <c r="E5" s="42">
        <v>26.97</v>
      </c>
      <c r="F5" s="331">
        <v>2252</v>
      </c>
      <c r="G5" s="320">
        <f t="shared" ref="G5:G12" si="0">E5*F5</f>
        <v>60736.439999999995</v>
      </c>
      <c r="H5" s="333" t="s">
        <v>79</v>
      </c>
      <c r="I5" s="329">
        <v>8</v>
      </c>
      <c r="J5" s="37">
        <v>1500</v>
      </c>
      <c r="K5" s="17">
        <f t="shared" ref="K5:K68" si="1">J5/I5</f>
        <v>187.5</v>
      </c>
      <c r="L5" s="329">
        <v>8</v>
      </c>
      <c r="M5" s="18">
        <f t="shared" ref="M5:M12" si="2">F5/V5*60</f>
        <v>1437.4468085106384</v>
      </c>
      <c r="N5" s="17">
        <f t="shared" ref="N5:N68" si="3">M5/L5</f>
        <v>179.68085106382981</v>
      </c>
      <c r="O5" s="19">
        <f t="shared" ref="O5:O68" si="4">L5-I5</f>
        <v>0</v>
      </c>
      <c r="P5" s="20">
        <f t="shared" ref="P5:P68" si="5">N5-K5</f>
        <v>-7.819148936170194</v>
      </c>
      <c r="Q5" s="323">
        <f t="shared" ref="Q5:Q68" si="6">N5/K5</f>
        <v>0.95829787234042563</v>
      </c>
      <c r="R5" s="489">
        <f>Q13</f>
        <v>0.96365128412069245</v>
      </c>
      <c r="S5" s="40">
        <v>0.33333333333333331</v>
      </c>
      <c r="T5" s="40">
        <v>0.39861111111111108</v>
      </c>
      <c r="U5" s="320"/>
      <c r="V5" s="330">
        <f t="shared" ref="V5:V12" si="7">(T5-S5)*24*60</f>
        <v>93.999999999999986</v>
      </c>
      <c r="W5" s="23"/>
      <c r="X5" s="24"/>
      <c r="Y5" s="24"/>
      <c r="Z5" s="24"/>
      <c r="AA5" s="491"/>
      <c r="AB5" s="491"/>
      <c r="AC5" s="154">
        <v>4</v>
      </c>
      <c r="AD5" s="25"/>
      <c r="AE5" s="19">
        <f t="shared" ref="AE5:AE68" si="8">M5-J5</f>
        <v>-62.553191489361552</v>
      </c>
      <c r="AF5" s="323">
        <f t="shared" ref="AF5:AF68" si="9">M5/J5</f>
        <v>0.95829787234042563</v>
      </c>
      <c r="AG5" s="489">
        <f>AF13</f>
        <v>0.96365128412069245</v>
      </c>
    </row>
    <row r="6" spans="1:33">
      <c r="A6" s="531" t="s">
        <v>45</v>
      </c>
      <c r="B6" s="42" t="s">
        <v>100</v>
      </c>
      <c r="C6" s="532" t="s">
        <v>519</v>
      </c>
      <c r="D6" s="532"/>
      <c r="E6" s="42">
        <v>27.4</v>
      </c>
      <c r="F6" s="331">
        <v>3084</v>
      </c>
      <c r="G6" s="320">
        <f t="shared" si="0"/>
        <v>84501.599999999991</v>
      </c>
      <c r="H6" s="333" t="s">
        <v>79</v>
      </c>
      <c r="I6" s="329">
        <v>10</v>
      </c>
      <c r="J6" s="37">
        <v>1500</v>
      </c>
      <c r="K6" s="17">
        <f t="shared" si="1"/>
        <v>150</v>
      </c>
      <c r="L6" s="329">
        <v>10</v>
      </c>
      <c r="M6" s="18">
        <f t="shared" si="2"/>
        <v>1434.4186046511625</v>
      </c>
      <c r="N6" s="17">
        <f t="shared" si="3"/>
        <v>143.44186046511624</v>
      </c>
      <c r="O6" s="19">
        <f t="shared" si="4"/>
        <v>0</v>
      </c>
      <c r="P6" s="20">
        <f t="shared" si="5"/>
        <v>-6.5581395348837646</v>
      </c>
      <c r="Q6" s="323">
        <f t="shared" si="6"/>
        <v>0.95627906976744159</v>
      </c>
      <c r="R6" s="489"/>
      <c r="S6" s="40">
        <v>0.40277777777777773</v>
      </c>
      <c r="T6" s="40">
        <v>0.49236111111111108</v>
      </c>
      <c r="U6" s="320">
        <f t="shared" ref="U6:U12" si="10">IF(S6=TIME(17,0,0),"",(S6-T5)*24*60)</f>
        <v>5.9999999999999787</v>
      </c>
      <c r="V6" s="330">
        <f t="shared" si="7"/>
        <v>129.00000000000003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-65.581395348837532</v>
      </c>
      <c r="AF6" s="323">
        <f t="shared" si="9"/>
        <v>0.95627906976744159</v>
      </c>
      <c r="AG6" s="489"/>
    </row>
    <row r="7" spans="1:33">
      <c r="A7" s="531" t="s">
        <v>45</v>
      </c>
      <c r="B7" s="42" t="s">
        <v>103</v>
      </c>
      <c r="C7" s="523" t="s">
        <v>120</v>
      </c>
      <c r="D7" s="524"/>
      <c r="E7" s="42">
        <v>50.67</v>
      </c>
      <c r="F7" s="331">
        <v>1234</v>
      </c>
      <c r="G7" s="320">
        <f t="shared" si="0"/>
        <v>62526.78</v>
      </c>
      <c r="H7" s="333" t="s">
        <v>79</v>
      </c>
      <c r="I7" s="329">
        <v>17</v>
      </c>
      <c r="J7" s="37">
        <v>2000</v>
      </c>
      <c r="K7" s="17">
        <f t="shared" si="1"/>
        <v>117.64705882352941</v>
      </c>
      <c r="L7" s="329">
        <v>17</v>
      </c>
      <c r="M7" s="18">
        <f t="shared" si="2"/>
        <v>1948.4210526315776</v>
      </c>
      <c r="N7" s="17">
        <f t="shared" si="3"/>
        <v>114.61300309597516</v>
      </c>
      <c r="O7" s="19">
        <f t="shared" si="4"/>
        <v>0</v>
      </c>
      <c r="P7" s="20">
        <f t="shared" si="5"/>
        <v>-3.0340557275542466</v>
      </c>
      <c r="Q7" s="323">
        <f t="shared" si="6"/>
        <v>0.97421052631578886</v>
      </c>
      <c r="R7" s="489"/>
      <c r="S7" s="40">
        <v>0.70833333333333337</v>
      </c>
      <c r="T7" s="40">
        <v>0.73472222222222228</v>
      </c>
      <c r="U7" s="320" t="str">
        <f t="shared" si="10"/>
        <v/>
      </c>
      <c r="V7" s="330">
        <f t="shared" si="7"/>
        <v>38.000000000000028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-51.578947368422405</v>
      </c>
      <c r="AF7" s="323">
        <f t="shared" si="9"/>
        <v>0.97421052631578875</v>
      </c>
      <c r="AG7" s="489"/>
    </row>
    <row r="8" spans="1:33">
      <c r="A8" s="531" t="s">
        <v>1852</v>
      </c>
      <c r="B8" s="42" t="s">
        <v>103</v>
      </c>
      <c r="C8" s="523" t="s">
        <v>121</v>
      </c>
      <c r="D8" s="524"/>
      <c r="E8" s="42">
        <v>54.09</v>
      </c>
      <c r="F8" s="331">
        <v>1207</v>
      </c>
      <c r="G8" s="320">
        <f t="shared" si="0"/>
        <v>65286.630000000005</v>
      </c>
      <c r="H8" s="333" t="s">
        <v>79</v>
      </c>
      <c r="I8" s="329">
        <v>19</v>
      </c>
      <c r="J8" s="37">
        <v>2000</v>
      </c>
      <c r="K8" s="17">
        <f t="shared" si="1"/>
        <v>105.26315789473684</v>
      </c>
      <c r="L8" s="329">
        <v>19</v>
      </c>
      <c r="M8" s="18">
        <f t="shared" si="2"/>
        <v>1905.789473684209</v>
      </c>
      <c r="N8" s="17">
        <f t="shared" si="3"/>
        <v>100.30470914127416</v>
      </c>
      <c r="O8" s="19">
        <f t="shared" si="4"/>
        <v>0</v>
      </c>
      <c r="P8" s="20">
        <f t="shared" si="5"/>
        <v>-4.958448753462676</v>
      </c>
      <c r="Q8" s="323">
        <f t="shared" si="6"/>
        <v>0.95289473684210457</v>
      </c>
      <c r="R8" s="489"/>
      <c r="S8" s="40">
        <v>0.74027777777777781</v>
      </c>
      <c r="T8" s="40">
        <v>0.76666666666666672</v>
      </c>
      <c r="U8" s="320">
        <f t="shared" si="10"/>
        <v>7.9999999999999716</v>
      </c>
      <c r="V8" s="330">
        <f t="shared" si="7"/>
        <v>38.000000000000028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-94.210526315790958</v>
      </c>
      <c r="AF8" s="323">
        <f t="shared" si="9"/>
        <v>0.95289473684210457</v>
      </c>
      <c r="AG8" s="489"/>
    </row>
    <row r="9" spans="1:33">
      <c r="A9" s="531" t="s">
        <v>1853</v>
      </c>
      <c r="B9" s="42" t="s">
        <v>103</v>
      </c>
      <c r="C9" s="523" t="s">
        <v>122</v>
      </c>
      <c r="D9" s="524"/>
      <c r="E9" s="42">
        <v>50.29</v>
      </c>
      <c r="F9" s="331">
        <v>1073</v>
      </c>
      <c r="G9" s="320">
        <f t="shared" si="0"/>
        <v>53961.17</v>
      </c>
      <c r="H9" s="333" t="s">
        <v>79</v>
      </c>
      <c r="I9" s="329">
        <v>16</v>
      </c>
      <c r="J9" s="37">
        <v>2000</v>
      </c>
      <c r="K9" s="17">
        <f t="shared" si="1"/>
        <v>125</v>
      </c>
      <c r="L9" s="329">
        <v>16</v>
      </c>
      <c r="M9" s="18">
        <f t="shared" si="2"/>
        <v>1950.9090909090883</v>
      </c>
      <c r="N9" s="17">
        <f t="shared" si="3"/>
        <v>121.93181818181802</v>
      </c>
      <c r="O9" s="19">
        <f t="shared" si="4"/>
        <v>0</v>
      </c>
      <c r="P9" s="20">
        <f t="shared" si="5"/>
        <v>-3.0681818181819835</v>
      </c>
      <c r="Q9" s="323">
        <f t="shared" si="6"/>
        <v>0.97545454545454413</v>
      </c>
      <c r="R9" s="489"/>
      <c r="S9" s="40">
        <v>0.77222222222222225</v>
      </c>
      <c r="T9" s="40">
        <v>0.79513888888888895</v>
      </c>
      <c r="U9" s="320">
        <f t="shared" si="10"/>
        <v>7.9999999999999716</v>
      </c>
      <c r="V9" s="330">
        <f t="shared" si="7"/>
        <v>33.000000000000043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-49.090909090911737</v>
      </c>
      <c r="AF9" s="323">
        <f t="shared" si="9"/>
        <v>0.97545454545454413</v>
      </c>
      <c r="AG9" s="489"/>
    </row>
    <row r="10" spans="1:33">
      <c r="A10" s="531" t="s">
        <v>45</v>
      </c>
      <c r="B10" s="42" t="s">
        <v>103</v>
      </c>
      <c r="C10" s="523" t="s">
        <v>515</v>
      </c>
      <c r="D10" s="524"/>
      <c r="E10" s="42">
        <v>50.67</v>
      </c>
      <c r="F10" s="331">
        <v>1606</v>
      </c>
      <c r="G10" s="320">
        <f t="shared" si="0"/>
        <v>81376.02</v>
      </c>
      <c r="H10" s="333" t="s">
        <v>79</v>
      </c>
      <c r="I10" s="329">
        <v>21</v>
      </c>
      <c r="J10" s="37">
        <v>2000</v>
      </c>
      <c r="K10" s="17">
        <f t="shared" si="1"/>
        <v>95.238095238095241</v>
      </c>
      <c r="L10" s="329">
        <v>21</v>
      </c>
      <c r="M10" s="18">
        <f t="shared" si="2"/>
        <v>1927.2000000000007</v>
      </c>
      <c r="N10" s="17">
        <f t="shared" si="3"/>
        <v>91.771428571428601</v>
      </c>
      <c r="O10" s="19">
        <f t="shared" si="4"/>
        <v>0</v>
      </c>
      <c r="P10" s="20">
        <f t="shared" si="5"/>
        <v>-3.4666666666666401</v>
      </c>
      <c r="Q10" s="323">
        <f t="shared" si="6"/>
        <v>0.96360000000000023</v>
      </c>
      <c r="R10" s="489"/>
      <c r="S10" s="40">
        <v>0.7993055555555556</v>
      </c>
      <c r="T10" s="40">
        <v>0.83402777777777781</v>
      </c>
      <c r="U10" s="320">
        <f t="shared" si="10"/>
        <v>5.9999999999999787</v>
      </c>
      <c r="V10" s="330">
        <f t="shared" si="7"/>
        <v>49.999999999999986</v>
      </c>
      <c r="W10" s="23">
        <f>T10</f>
        <v>0.83402777777777781</v>
      </c>
      <c r="X10" s="23">
        <f>S11</f>
        <v>0.87430555555555556</v>
      </c>
      <c r="Y10" s="26"/>
      <c r="Z10" s="26"/>
      <c r="AA10" s="503"/>
      <c r="AB10" s="504"/>
      <c r="AC10" s="155"/>
      <c r="AD10" s="27"/>
      <c r="AE10" s="19">
        <f t="shared" si="8"/>
        <v>-72.799999999999272</v>
      </c>
      <c r="AF10" s="323">
        <f t="shared" si="9"/>
        <v>0.96360000000000035</v>
      </c>
      <c r="AG10" s="489"/>
    </row>
    <row r="11" spans="1:33">
      <c r="A11" s="531" t="s">
        <v>45</v>
      </c>
      <c r="B11" s="42" t="s">
        <v>103</v>
      </c>
      <c r="C11" s="523" t="s">
        <v>123</v>
      </c>
      <c r="D11" s="524"/>
      <c r="E11" s="42">
        <v>50.98</v>
      </c>
      <c r="F11" s="331">
        <v>1371</v>
      </c>
      <c r="G11" s="320">
        <f t="shared" si="0"/>
        <v>69893.58</v>
      </c>
      <c r="H11" s="333" t="s">
        <v>79</v>
      </c>
      <c r="I11" s="329">
        <v>16</v>
      </c>
      <c r="J11" s="37">
        <v>2000</v>
      </c>
      <c r="K11" s="17">
        <f t="shared" si="1"/>
        <v>125</v>
      </c>
      <c r="L11" s="329">
        <v>16</v>
      </c>
      <c r="M11" s="18">
        <f t="shared" si="2"/>
        <v>1913.0232558139533</v>
      </c>
      <c r="N11" s="17">
        <f t="shared" si="3"/>
        <v>119.56395348837208</v>
      </c>
      <c r="O11" s="19">
        <f t="shared" si="4"/>
        <v>0</v>
      </c>
      <c r="P11" s="20">
        <f t="shared" si="5"/>
        <v>-5.4360465116279215</v>
      </c>
      <c r="Q11" s="323">
        <f t="shared" si="6"/>
        <v>0.95651162790697664</v>
      </c>
      <c r="R11" s="489"/>
      <c r="S11" s="40">
        <v>0.87430555555555556</v>
      </c>
      <c r="T11" s="40">
        <v>0.90416666666666667</v>
      </c>
      <c r="U11" s="320">
        <f t="shared" si="10"/>
        <v>57.999999999999957</v>
      </c>
      <c r="V11" s="330">
        <f t="shared" si="7"/>
        <v>43.000000000000007</v>
      </c>
      <c r="W11" s="23"/>
      <c r="X11" s="23"/>
      <c r="Y11" s="26"/>
      <c r="Z11" s="26"/>
      <c r="AA11" s="503"/>
      <c r="AB11" s="504"/>
      <c r="AC11" s="155"/>
      <c r="AD11" s="27"/>
      <c r="AE11" s="19">
        <f t="shared" si="8"/>
        <v>-86.976744186046744</v>
      </c>
      <c r="AF11" s="323">
        <f t="shared" si="9"/>
        <v>0.95651162790697664</v>
      </c>
      <c r="AG11" s="489"/>
    </row>
    <row r="12" spans="1:33">
      <c r="A12" s="531" t="s">
        <v>45</v>
      </c>
      <c r="B12" s="42" t="s">
        <v>103</v>
      </c>
      <c r="C12" s="523" t="s">
        <v>132</v>
      </c>
      <c r="D12" s="524"/>
      <c r="E12" s="42">
        <v>50.92</v>
      </c>
      <c r="F12" s="331">
        <v>1324</v>
      </c>
      <c r="G12" s="320">
        <f t="shared" si="0"/>
        <v>67418.080000000002</v>
      </c>
      <c r="H12" s="333" t="s">
        <v>79</v>
      </c>
      <c r="I12" s="329">
        <v>15</v>
      </c>
      <c r="J12" s="37">
        <v>2000</v>
      </c>
      <c r="K12" s="17">
        <f t="shared" si="1"/>
        <v>133.33333333333334</v>
      </c>
      <c r="L12" s="329">
        <v>15</v>
      </c>
      <c r="M12" s="18">
        <f t="shared" si="2"/>
        <v>1937.5609756097556</v>
      </c>
      <c r="N12" s="17">
        <f t="shared" si="3"/>
        <v>129.17073170731703</v>
      </c>
      <c r="O12" s="19">
        <f t="shared" si="4"/>
        <v>0</v>
      </c>
      <c r="P12" s="20">
        <f t="shared" si="5"/>
        <v>-4.1626016260163112</v>
      </c>
      <c r="Q12" s="323">
        <f t="shared" si="6"/>
        <v>0.96878048780487769</v>
      </c>
      <c r="R12" s="489"/>
      <c r="S12" s="40">
        <v>0.90763888888888888</v>
      </c>
      <c r="T12" s="40">
        <v>0.93611111111111112</v>
      </c>
      <c r="U12" s="320">
        <f t="shared" si="10"/>
        <v>4.9999999999999822</v>
      </c>
      <c r="V12" s="330">
        <f t="shared" si="7"/>
        <v>41.000000000000014</v>
      </c>
      <c r="W12" s="23"/>
      <c r="X12" s="23"/>
      <c r="Y12" s="26"/>
      <c r="Z12" s="26"/>
      <c r="AA12" s="503"/>
      <c r="AB12" s="504"/>
      <c r="AC12" s="155"/>
      <c r="AD12" s="27"/>
      <c r="AE12" s="19">
        <f t="shared" si="8"/>
        <v>-62.439024390244413</v>
      </c>
      <c r="AF12" s="323">
        <f t="shared" si="9"/>
        <v>0.9687804878048778</v>
      </c>
      <c r="AG12" s="489"/>
    </row>
    <row r="13" spans="1:33">
      <c r="A13" s="531" t="s">
        <v>45</v>
      </c>
      <c r="B13" s="42" t="s">
        <v>49</v>
      </c>
      <c r="C13" s="494"/>
      <c r="D13" s="494"/>
      <c r="E13" s="324"/>
      <c r="F13" s="44"/>
      <c r="G13" s="17"/>
      <c r="H13" s="331"/>
      <c r="I13" s="30">
        <v>15.25</v>
      </c>
      <c r="J13" s="37">
        <v>1875</v>
      </c>
      <c r="K13" s="17">
        <f t="shared" si="1"/>
        <v>122.95081967213115</v>
      </c>
      <c r="L13" s="30">
        <v>15.25</v>
      </c>
      <c r="M13" s="18">
        <f>AVERAGE(M5:M12)</f>
        <v>1806.8461577262983</v>
      </c>
      <c r="N13" s="17">
        <f t="shared" si="3"/>
        <v>118.48171526074087</v>
      </c>
      <c r="O13" s="19">
        <f t="shared" si="4"/>
        <v>0</v>
      </c>
      <c r="P13" s="20">
        <f t="shared" si="5"/>
        <v>-4.4691044113902763</v>
      </c>
      <c r="Q13" s="323">
        <f t="shared" si="6"/>
        <v>0.96365128412069245</v>
      </c>
      <c r="R13" s="489"/>
      <c r="S13" s="40"/>
      <c r="T13" s="40"/>
      <c r="U13" s="320"/>
      <c r="V13" s="330"/>
      <c r="W13" s="17"/>
      <c r="X13" s="17"/>
      <c r="Y13" s="31">
        <f>SUM(Y5:Y12)</f>
        <v>0</v>
      </c>
      <c r="Z13" s="31">
        <f>SUM(Z5:Z12)</f>
        <v>0</v>
      </c>
      <c r="AA13" s="495"/>
      <c r="AB13" s="495"/>
      <c r="AC13" s="31">
        <v>4</v>
      </c>
      <c r="AD13" s="31">
        <f>SUM(AD5:AD12)</f>
        <v>0</v>
      </c>
      <c r="AE13" s="19">
        <f t="shared" si="8"/>
        <v>-68.153842273701684</v>
      </c>
      <c r="AF13" s="323">
        <f t="shared" si="9"/>
        <v>0.96365128412069245</v>
      </c>
      <c r="AG13" s="489"/>
    </row>
    <row r="14" spans="1:33" ht="15.75" customHeight="1">
      <c r="A14" s="527" t="s">
        <v>50</v>
      </c>
      <c r="B14" s="42" t="s">
        <v>100</v>
      </c>
      <c r="C14" s="523" t="s">
        <v>124</v>
      </c>
      <c r="D14" s="524"/>
      <c r="E14" s="42">
        <v>39.619999999999997</v>
      </c>
      <c r="F14" s="331">
        <v>2940</v>
      </c>
      <c r="G14" s="320">
        <f t="shared" ref="G14:G15" si="11">E14*F14</f>
        <v>116482.79999999999</v>
      </c>
      <c r="H14" s="333" t="s">
        <v>79</v>
      </c>
      <c r="I14" s="329">
        <v>19</v>
      </c>
      <c r="J14" s="37">
        <v>1500</v>
      </c>
      <c r="K14" s="17">
        <f t="shared" si="1"/>
        <v>78.94736842105263</v>
      </c>
      <c r="L14" s="329">
        <v>19</v>
      </c>
      <c r="M14" s="18">
        <f t="shared" ref="M14:M15" si="12">F14/V14*60</f>
        <v>1434.146341463415</v>
      </c>
      <c r="N14" s="17">
        <f t="shared" si="3"/>
        <v>75.481386392811316</v>
      </c>
      <c r="O14" s="19">
        <f t="shared" si="4"/>
        <v>0</v>
      </c>
      <c r="P14" s="20">
        <f t="shared" si="5"/>
        <v>-3.4659820282413136</v>
      </c>
      <c r="Q14" s="323">
        <f t="shared" si="6"/>
        <v>0.95609756097561005</v>
      </c>
      <c r="R14" s="489">
        <f>Q16</f>
        <v>0.95537498369636098</v>
      </c>
      <c r="S14" s="40">
        <v>0.25</v>
      </c>
      <c r="T14" s="40">
        <v>0.33541666666666664</v>
      </c>
      <c r="U14" s="320"/>
      <c r="V14" s="330">
        <f t="shared" ref="V14:V15" si="13">(T14-S14)*24*60</f>
        <v>122.99999999999996</v>
      </c>
      <c r="W14" s="23"/>
      <c r="X14" s="23"/>
      <c r="Y14" s="23"/>
      <c r="Z14" s="23"/>
      <c r="AA14" s="491"/>
      <c r="AB14" s="491"/>
      <c r="AC14" s="154">
        <v>2</v>
      </c>
      <c r="AD14" s="25"/>
      <c r="AE14" s="19">
        <f t="shared" si="8"/>
        <v>-65.853658536585044</v>
      </c>
      <c r="AF14" s="323">
        <f t="shared" si="9"/>
        <v>0.95609756097560994</v>
      </c>
      <c r="AG14" s="489">
        <f>AF16</f>
        <v>0.95537498369636098</v>
      </c>
    </row>
    <row r="15" spans="1:33" ht="15.75" customHeight="1">
      <c r="A15" s="527" t="s">
        <v>1854</v>
      </c>
      <c r="B15" s="42" t="s">
        <v>100</v>
      </c>
      <c r="C15" s="523" t="s">
        <v>125</v>
      </c>
      <c r="D15" s="524"/>
      <c r="E15" s="42">
        <v>39.799999999999997</v>
      </c>
      <c r="F15" s="331">
        <v>4463</v>
      </c>
      <c r="G15" s="320">
        <f t="shared" si="11"/>
        <v>177627.4</v>
      </c>
      <c r="H15" s="333" t="s">
        <v>79</v>
      </c>
      <c r="I15" s="329">
        <v>17</v>
      </c>
      <c r="J15" s="37">
        <v>1500</v>
      </c>
      <c r="K15" s="17">
        <f t="shared" si="1"/>
        <v>88.235294117647058</v>
      </c>
      <c r="L15" s="329">
        <v>17</v>
      </c>
      <c r="M15" s="18">
        <f t="shared" si="12"/>
        <v>1431.978609625668</v>
      </c>
      <c r="N15" s="17">
        <f t="shared" si="3"/>
        <v>84.234035860333407</v>
      </c>
      <c r="O15" s="19">
        <f t="shared" si="4"/>
        <v>0</v>
      </c>
      <c r="P15" s="20">
        <f t="shared" si="5"/>
        <v>-4.0012582573136513</v>
      </c>
      <c r="Q15" s="323">
        <f t="shared" si="6"/>
        <v>0.95465240641711191</v>
      </c>
      <c r="R15" s="489"/>
      <c r="S15" s="40">
        <v>0.33888888888888885</v>
      </c>
      <c r="T15" s="40">
        <v>0.46875</v>
      </c>
      <c r="U15" s="320">
        <f t="shared" ref="U15" si="14">IF(S15=TIME(17,0,0),"",(S15-T14)*24*60)</f>
        <v>4.9999999999999822</v>
      </c>
      <c r="V15" s="330">
        <f t="shared" si="13"/>
        <v>187.00000000000006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-68.021390374331986</v>
      </c>
      <c r="AF15" s="323">
        <f t="shared" si="9"/>
        <v>0.95465240641711202</v>
      </c>
      <c r="AG15" s="489"/>
    </row>
    <row r="16" spans="1:33" ht="16.5" customHeight="1">
      <c r="A16" s="527" t="s">
        <v>1854</v>
      </c>
      <c r="B16" s="42" t="s">
        <v>1855</v>
      </c>
      <c r="C16" s="494"/>
      <c r="D16" s="494"/>
      <c r="E16" s="324"/>
      <c r="F16" s="37"/>
      <c r="G16" s="18"/>
      <c r="H16" s="331"/>
      <c r="I16" s="30">
        <v>18</v>
      </c>
      <c r="J16" s="37">
        <v>1500</v>
      </c>
      <c r="K16" s="17">
        <f t="shared" si="1"/>
        <v>83.333333333333329</v>
      </c>
      <c r="L16" s="30">
        <v>18</v>
      </c>
      <c r="M16" s="18">
        <f>AVERAGE(M14:M15)</f>
        <v>1433.0624755445415</v>
      </c>
      <c r="N16" s="17">
        <f t="shared" si="3"/>
        <v>79.614581974696748</v>
      </c>
      <c r="O16" s="19">
        <f t="shared" si="4"/>
        <v>0</v>
      </c>
      <c r="P16" s="20">
        <f t="shared" si="5"/>
        <v>-3.718751358636581</v>
      </c>
      <c r="Q16" s="323">
        <f t="shared" si="6"/>
        <v>0.95537498369636098</v>
      </c>
      <c r="R16" s="489"/>
      <c r="S16" s="40"/>
      <c r="T16" s="40"/>
      <c r="U16" s="17"/>
      <c r="V16" s="330"/>
      <c r="W16" s="17"/>
      <c r="X16" s="17"/>
      <c r="Y16" s="31">
        <f>SUM(Y14:Y15)</f>
        <v>0</v>
      </c>
      <c r="Z16" s="31">
        <f>SUM(Z14:Z15)</f>
        <v>0</v>
      </c>
      <c r="AA16" s="495"/>
      <c r="AB16" s="495"/>
      <c r="AC16" s="31">
        <v>2</v>
      </c>
      <c r="AD16" s="31">
        <f>SUM(AD14:AD15)</f>
        <v>0</v>
      </c>
      <c r="AE16" s="19">
        <f t="shared" si="8"/>
        <v>-66.937524455458515</v>
      </c>
      <c r="AF16" s="323">
        <f t="shared" si="9"/>
        <v>0.95537498369636098</v>
      </c>
      <c r="AG16" s="489"/>
    </row>
    <row r="17" spans="1:33" ht="16.5" customHeight="1">
      <c r="A17" s="525" t="s">
        <v>1856</v>
      </c>
      <c r="B17" s="331" t="s">
        <v>126</v>
      </c>
      <c r="C17" s="515" t="s">
        <v>127</v>
      </c>
      <c r="D17" s="515"/>
      <c r="E17" s="42">
        <v>41</v>
      </c>
      <c r="F17" s="331">
        <v>2330</v>
      </c>
      <c r="G17" s="320">
        <f t="shared" ref="G17:G25" si="15">E17*F17</f>
        <v>95530</v>
      </c>
      <c r="H17" s="333" t="s">
        <v>79</v>
      </c>
      <c r="I17" s="329">
        <v>26</v>
      </c>
      <c r="J17" s="37">
        <v>1500</v>
      </c>
      <c r="K17" s="17">
        <f t="shared" si="1"/>
        <v>57.692307692307693</v>
      </c>
      <c r="L17" s="329">
        <v>26</v>
      </c>
      <c r="M17" s="18">
        <f t="shared" ref="M17:M25" si="16">F17/V17*60</f>
        <v>1441.2371134020623</v>
      </c>
      <c r="N17" s="17">
        <f t="shared" si="3"/>
        <v>55.432196669310088</v>
      </c>
      <c r="O17" s="19">
        <f t="shared" si="4"/>
        <v>0</v>
      </c>
      <c r="P17" s="20">
        <f t="shared" si="5"/>
        <v>-2.2601110229976058</v>
      </c>
      <c r="Q17" s="323">
        <f t="shared" si="6"/>
        <v>0.96082474226804149</v>
      </c>
      <c r="R17" s="489">
        <f>Q26</f>
        <v>0.95703242648503695</v>
      </c>
      <c r="S17" s="40">
        <v>0.33333333333333331</v>
      </c>
      <c r="T17" s="40">
        <v>0.40069444444444441</v>
      </c>
      <c r="U17" s="320"/>
      <c r="V17" s="330">
        <f t="shared" ref="V17:V25" si="17">(T17-S17)*24*60</f>
        <v>96.999999999999972</v>
      </c>
      <c r="W17" s="28"/>
      <c r="X17" s="28"/>
      <c r="Y17" s="28"/>
      <c r="Z17" s="28"/>
      <c r="AA17" s="491"/>
      <c r="AB17" s="491"/>
      <c r="AC17" s="154">
        <v>3</v>
      </c>
      <c r="AD17" s="25"/>
      <c r="AE17" s="19">
        <f t="shared" si="8"/>
        <v>-58.762886597937722</v>
      </c>
      <c r="AF17" s="323">
        <f t="shared" si="9"/>
        <v>0.96082474226804149</v>
      </c>
      <c r="AG17" s="489">
        <f>AF26</f>
        <v>0.95703242648503695</v>
      </c>
    </row>
    <row r="18" spans="1:33" ht="16.5" customHeight="1">
      <c r="A18" s="526" t="s">
        <v>52</v>
      </c>
      <c r="B18" s="331" t="s">
        <v>128</v>
      </c>
      <c r="C18" s="515" t="s">
        <v>129</v>
      </c>
      <c r="D18" s="515"/>
      <c r="E18" s="42">
        <v>72.400000000000006</v>
      </c>
      <c r="F18" s="331">
        <v>1218</v>
      </c>
      <c r="G18" s="320">
        <f t="shared" si="15"/>
        <v>88183.200000000012</v>
      </c>
      <c r="H18" s="333" t="s">
        <v>79</v>
      </c>
      <c r="I18" s="329">
        <v>18</v>
      </c>
      <c r="J18" s="37">
        <v>1500</v>
      </c>
      <c r="K18" s="17">
        <f t="shared" si="1"/>
        <v>83.333333333333329</v>
      </c>
      <c r="L18" s="329">
        <v>18</v>
      </c>
      <c r="M18" s="18">
        <f t="shared" si="16"/>
        <v>1432.941176470589</v>
      </c>
      <c r="N18" s="17">
        <f t="shared" si="3"/>
        <v>79.607843137254946</v>
      </c>
      <c r="O18" s="19">
        <f t="shared" si="4"/>
        <v>0</v>
      </c>
      <c r="P18" s="20">
        <f t="shared" si="5"/>
        <v>-3.7254901960783826</v>
      </c>
      <c r="Q18" s="323">
        <f t="shared" si="6"/>
        <v>0.9552941176470594</v>
      </c>
      <c r="R18" s="489"/>
      <c r="S18" s="40">
        <v>0.40486111111111106</v>
      </c>
      <c r="T18" s="40">
        <v>0.44027777777777771</v>
      </c>
      <c r="U18" s="320">
        <f t="shared" ref="U18:U25" si="18">IF(S18=TIME(17,0,0),"",(S18-T17)*24*60)</f>
        <v>5.9999999999999787</v>
      </c>
      <c r="V18" s="330">
        <f t="shared" si="17"/>
        <v>50.999999999999979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-67.058823529411029</v>
      </c>
      <c r="AF18" s="323">
        <f t="shared" si="9"/>
        <v>0.95529411764705929</v>
      </c>
      <c r="AG18" s="489"/>
    </row>
    <row r="19" spans="1:33" ht="16.5" customHeight="1">
      <c r="A19" s="526" t="s">
        <v>1856</v>
      </c>
      <c r="B19" s="331" t="s">
        <v>103</v>
      </c>
      <c r="C19" s="515" t="s">
        <v>123</v>
      </c>
      <c r="D19" s="515"/>
      <c r="E19" s="42">
        <v>50.98</v>
      </c>
      <c r="F19" s="331">
        <v>800</v>
      </c>
      <c r="G19" s="320">
        <f t="shared" si="15"/>
        <v>40784</v>
      </c>
      <c r="H19" s="333">
        <v>2</v>
      </c>
      <c r="I19" s="329">
        <v>16</v>
      </c>
      <c r="J19" s="37">
        <v>2000</v>
      </c>
      <c r="K19" s="17">
        <f t="shared" si="1"/>
        <v>125</v>
      </c>
      <c r="L19" s="329">
        <v>16</v>
      </c>
      <c r="M19" s="18">
        <f t="shared" si="16"/>
        <v>1919.9999999999945</v>
      </c>
      <c r="N19" s="17">
        <f t="shared" si="3"/>
        <v>119.99999999999966</v>
      </c>
      <c r="O19" s="19">
        <f t="shared" si="4"/>
        <v>0</v>
      </c>
      <c r="P19" s="20">
        <f t="shared" si="5"/>
        <v>-5.0000000000003411</v>
      </c>
      <c r="Q19" s="323">
        <f t="shared" si="6"/>
        <v>0.9599999999999973</v>
      </c>
      <c r="R19" s="489"/>
      <c r="S19" s="40">
        <v>0.70833333333333337</v>
      </c>
      <c r="T19" s="40">
        <v>0.72569444444444453</v>
      </c>
      <c r="U19" s="320" t="str">
        <f t="shared" si="18"/>
        <v/>
      </c>
      <c r="V19" s="330">
        <f t="shared" si="17"/>
        <v>25.000000000000071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-80.000000000005457</v>
      </c>
      <c r="AF19" s="323">
        <f t="shared" si="9"/>
        <v>0.9599999999999973</v>
      </c>
      <c r="AG19" s="489"/>
    </row>
    <row r="20" spans="1:33" ht="16.5" customHeight="1">
      <c r="A20" s="526" t="s">
        <v>1856</v>
      </c>
      <c r="B20" s="331" t="s">
        <v>103</v>
      </c>
      <c r="C20" s="515" t="s">
        <v>132</v>
      </c>
      <c r="D20" s="515"/>
      <c r="E20" s="42">
        <v>50.92</v>
      </c>
      <c r="F20" s="331">
        <v>800</v>
      </c>
      <c r="G20" s="320">
        <f t="shared" si="15"/>
        <v>40736</v>
      </c>
      <c r="H20" s="333">
        <v>2</v>
      </c>
      <c r="I20" s="329">
        <v>15</v>
      </c>
      <c r="J20" s="37">
        <v>2000</v>
      </c>
      <c r="K20" s="17">
        <f t="shared" si="1"/>
        <v>133.33333333333334</v>
      </c>
      <c r="L20" s="329">
        <v>15</v>
      </c>
      <c r="M20" s="18">
        <f t="shared" si="16"/>
        <v>1919.9999999999945</v>
      </c>
      <c r="N20" s="17">
        <f t="shared" si="3"/>
        <v>127.99999999999963</v>
      </c>
      <c r="O20" s="19">
        <f t="shared" si="4"/>
        <v>0</v>
      </c>
      <c r="P20" s="20">
        <f t="shared" si="5"/>
        <v>-5.3333333333337123</v>
      </c>
      <c r="Q20" s="323">
        <f t="shared" si="6"/>
        <v>0.95999999999999719</v>
      </c>
      <c r="R20" s="489"/>
      <c r="S20" s="40">
        <v>0.72986111111111118</v>
      </c>
      <c r="T20" s="40">
        <v>0.74722222222222234</v>
      </c>
      <c r="U20" s="320">
        <f t="shared" si="18"/>
        <v>5.9999999999999787</v>
      </c>
      <c r="V20" s="330">
        <f t="shared" si="17"/>
        <v>25.000000000000071</v>
      </c>
      <c r="W20" s="23"/>
      <c r="X20" s="23"/>
      <c r="Y20" s="23"/>
      <c r="Z20" s="23"/>
      <c r="AA20" s="491"/>
      <c r="AB20" s="491"/>
      <c r="AC20" s="154"/>
      <c r="AD20" s="25"/>
      <c r="AE20" s="19">
        <f t="shared" si="8"/>
        <v>-80.000000000005457</v>
      </c>
      <c r="AF20" s="323">
        <f t="shared" si="9"/>
        <v>0.9599999999999973</v>
      </c>
      <c r="AG20" s="489"/>
    </row>
    <row r="21" spans="1:33" ht="16.5" customHeight="1">
      <c r="A21" s="526" t="s">
        <v>1856</v>
      </c>
      <c r="B21" s="331" t="s">
        <v>103</v>
      </c>
      <c r="C21" s="515" t="s">
        <v>133</v>
      </c>
      <c r="D21" s="515"/>
      <c r="E21" s="42">
        <v>50.67</v>
      </c>
      <c r="F21" s="331">
        <v>500</v>
      </c>
      <c r="G21" s="320">
        <f t="shared" si="15"/>
        <v>25335</v>
      </c>
      <c r="H21" s="333">
        <v>2</v>
      </c>
      <c r="I21" s="329">
        <v>15</v>
      </c>
      <c r="J21" s="37">
        <v>2000</v>
      </c>
      <c r="K21" s="17">
        <f t="shared" si="1"/>
        <v>133.33333333333334</v>
      </c>
      <c r="L21" s="329">
        <v>15</v>
      </c>
      <c r="M21" s="18">
        <f t="shared" si="16"/>
        <v>1875.0000000000255</v>
      </c>
      <c r="N21" s="17">
        <f t="shared" si="3"/>
        <v>125.00000000000169</v>
      </c>
      <c r="O21" s="19">
        <f t="shared" si="4"/>
        <v>0</v>
      </c>
      <c r="P21" s="20">
        <f t="shared" si="5"/>
        <v>-8.3333333333316517</v>
      </c>
      <c r="Q21" s="323">
        <f t="shared" si="6"/>
        <v>0.93750000000001266</v>
      </c>
      <c r="R21" s="489"/>
      <c r="S21" s="40">
        <v>0.75277777777777788</v>
      </c>
      <c r="T21" s="40">
        <v>0.76388888888888884</v>
      </c>
      <c r="U21" s="320">
        <f t="shared" si="18"/>
        <v>7.9999999999999716</v>
      </c>
      <c r="V21" s="330">
        <f t="shared" si="17"/>
        <v>15.999999999999783</v>
      </c>
      <c r="W21" s="23"/>
      <c r="X21" s="23"/>
      <c r="Y21" s="23"/>
      <c r="Z21" s="23"/>
      <c r="AA21" s="491"/>
      <c r="AB21" s="491"/>
      <c r="AC21" s="154"/>
      <c r="AD21" s="25"/>
      <c r="AE21" s="19">
        <f t="shared" si="8"/>
        <v>-124.99999999997453</v>
      </c>
      <c r="AF21" s="323">
        <f t="shared" si="9"/>
        <v>0.93750000000001277</v>
      </c>
      <c r="AG21" s="489"/>
    </row>
    <row r="22" spans="1:33" ht="16.5" customHeight="1">
      <c r="A22" s="526" t="s">
        <v>52</v>
      </c>
      <c r="B22" s="331" t="s">
        <v>103</v>
      </c>
      <c r="C22" s="521" t="s">
        <v>134</v>
      </c>
      <c r="D22" s="522"/>
      <c r="E22" s="42">
        <v>57.3</v>
      </c>
      <c r="F22" s="331">
        <v>700</v>
      </c>
      <c r="G22" s="320">
        <f t="shared" si="15"/>
        <v>40110</v>
      </c>
      <c r="H22" s="333">
        <v>2</v>
      </c>
      <c r="I22" s="329">
        <v>13</v>
      </c>
      <c r="J22" s="37">
        <v>2000</v>
      </c>
      <c r="K22" s="17">
        <f t="shared" si="1"/>
        <v>153.84615384615384</v>
      </c>
      <c r="L22" s="329">
        <v>13</v>
      </c>
      <c r="M22" s="18">
        <f t="shared" si="16"/>
        <v>1909.0909090909158</v>
      </c>
      <c r="N22" s="17">
        <f t="shared" si="3"/>
        <v>146.85314685314736</v>
      </c>
      <c r="O22" s="19">
        <f t="shared" si="4"/>
        <v>0</v>
      </c>
      <c r="P22" s="20">
        <f t="shared" si="5"/>
        <v>-6.9930069930064747</v>
      </c>
      <c r="Q22" s="323">
        <f t="shared" si="6"/>
        <v>0.95454545454545792</v>
      </c>
      <c r="R22" s="489"/>
      <c r="S22" s="40">
        <v>0.7680555555555556</v>
      </c>
      <c r="T22" s="40">
        <v>0.78333333333333333</v>
      </c>
      <c r="U22" s="320">
        <f t="shared" si="18"/>
        <v>6.0000000000001386</v>
      </c>
      <c r="V22" s="330">
        <f t="shared" si="17"/>
        <v>21.999999999999922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-90.909090909084171</v>
      </c>
      <c r="AF22" s="323">
        <f t="shared" si="9"/>
        <v>0.95454545454545792</v>
      </c>
      <c r="AG22" s="489"/>
    </row>
    <row r="23" spans="1:33" ht="16.5" customHeight="1">
      <c r="A23" s="526" t="s">
        <v>1856</v>
      </c>
      <c r="B23" s="331" t="s">
        <v>103</v>
      </c>
      <c r="C23" s="327" t="s">
        <v>1708</v>
      </c>
      <c r="D23" s="328"/>
      <c r="E23" s="42">
        <v>54.7</v>
      </c>
      <c r="F23" s="331">
        <v>2300</v>
      </c>
      <c r="G23" s="320">
        <f t="shared" si="15"/>
        <v>125810</v>
      </c>
      <c r="H23" s="333">
        <v>2</v>
      </c>
      <c r="I23" s="329">
        <v>15</v>
      </c>
      <c r="J23" s="37">
        <v>2000</v>
      </c>
      <c r="K23" s="17">
        <f t="shared" si="1"/>
        <v>133.33333333333334</v>
      </c>
      <c r="L23" s="329">
        <v>15</v>
      </c>
      <c r="M23" s="18">
        <f t="shared" si="16"/>
        <v>1916.6666666666652</v>
      </c>
      <c r="N23" s="17">
        <f t="shared" si="3"/>
        <v>127.77777777777767</v>
      </c>
      <c r="O23" s="19">
        <f t="shared" si="4"/>
        <v>0</v>
      </c>
      <c r="P23" s="20">
        <f t="shared" si="5"/>
        <v>-5.5555555555556708</v>
      </c>
      <c r="Q23" s="323">
        <f t="shared" si="6"/>
        <v>0.95833333333333248</v>
      </c>
      <c r="R23" s="489"/>
      <c r="S23" s="40">
        <v>0.78819444444444442</v>
      </c>
      <c r="T23" s="40">
        <v>0.83819444444444446</v>
      </c>
      <c r="U23" s="320">
        <f t="shared" si="18"/>
        <v>6.9999999999999751</v>
      </c>
      <c r="V23" s="330">
        <f t="shared" si="17"/>
        <v>72.000000000000057</v>
      </c>
      <c r="W23" s="23">
        <f>T23</f>
        <v>0.83819444444444446</v>
      </c>
      <c r="X23" s="23">
        <f>S24</f>
        <v>0.87777777777777777</v>
      </c>
      <c r="Y23" s="26"/>
      <c r="Z23" s="26"/>
      <c r="AA23" s="503"/>
      <c r="AB23" s="504"/>
      <c r="AC23" s="154"/>
      <c r="AD23" s="25"/>
      <c r="AE23" s="19">
        <f t="shared" si="8"/>
        <v>-83.333333333334849</v>
      </c>
      <c r="AF23" s="323">
        <f t="shared" si="9"/>
        <v>0.95833333333333259</v>
      </c>
      <c r="AG23" s="489"/>
    </row>
    <row r="24" spans="1:33" ht="16.5" customHeight="1">
      <c r="A24" s="526" t="s">
        <v>52</v>
      </c>
      <c r="B24" s="331" t="s">
        <v>103</v>
      </c>
      <c r="C24" s="327" t="s">
        <v>134</v>
      </c>
      <c r="D24" s="328"/>
      <c r="E24" s="42">
        <v>57.3</v>
      </c>
      <c r="F24" s="331">
        <v>1238</v>
      </c>
      <c r="G24" s="320">
        <f t="shared" si="15"/>
        <v>70937.399999999994</v>
      </c>
      <c r="H24" s="333" t="s">
        <v>79</v>
      </c>
      <c r="I24" s="329">
        <v>13</v>
      </c>
      <c r="J24" s="37">
        <v>2000</v>
      </c>
      <c r="K24" s="17">
        <f t="shared" si="1"/>
        <v>153.84615384615384</v>
      </c>
      <c r="L24" s="329">
        <v>13</v>
      </c>
      <c r="M24" s="18">
        <f t="shared" si="16"/>
        <v>1904.6153846153836</v>
      </c>
      <c r="N24" s="17">
        <f t="shared" si="3"/>
        <v>146.50887573964491</v>
      </c>
      <c r="O24" s="19">
        <f t="shared" si="4"/>
        <v>0</v>
      </c>
      <c r="P24" s="20">
        <f t="shared" si="5"/>
        <v>-7.3372781065089328</v>
      </c>
      <c r="Q24" s="323">
        <f t="shared" si="6"/>
        <v>0.95230769230769197</v>
      </c>
      <c r="R24" s="489"/>
      <c r="S24" s="40">
        <v>0.87777777777777777</v>
      </c>
      <c r="T24" s="40">
        <v>0.90486111111111112</v>
      </c>
      <c r="U24" s="320">
        <f t="shared" si="18"/>
        <v>56.999999999999957</v>
      </c>
      <c r="V24" s="330">
        <f t="shared" si="17"/>
        <v>39.000000000000021</v>
      </c>
      <c r="W24" s="23"/>
      <c r="X24" s="23"/>
      <c r="Y24" s="26"/>
      <c r="Z24" s="26"/>
      <c r="AA24" s="503"/>
      <c r="AB24" s="504"/>
      <c r="AC24" s="154"/>
      <c r="AD24" s="25"/>
      <c r="AE24" s="19">
        <f t="shared" si="8"/>
        <v>-95.384615384616382</v>
      </c>
      <c r="AF24" s="323">
        <f t="shared" si="9"/>
        <v>0.95230769230769186</v>
      </c>
      <c r="AG24" s="489"/>
    </row>
    <row r="25" spans="1:33" ht="16.5" customHeight="1">
      <c r="A25" s="526" t="s">
        <v>1856</v>
      </c>
      <c r="B25" s="331" t="s">
        <v>103</v>
      </c>
      <c r="C25" s="521" t="s">
        <v>133</v>
      </c>
      <c r="D25" s="522"/>
      <c r="E25" s="42">
        <v>50.67</v>
      </c>
      <c r="F25" s="331">
        <v>1170</v>
      </c>
      <c r="G25" s="320">
        <f t="shared" si="15"/>
        <v>59283.9</v>
      </c>
      <c r="H25" s="333" t="s">
        <v>79</v>
      </c>
      <c r="I25" s="329">
        <v>15</v>
      </c>
      <c r="J25" s="37">
        <v>2000</v>
      </c>
      <c r="K25" s="17">
        <f t="shared" si="1"/>
        <v>133.33333333333334</v>
      </c>
      <c r="L25" s="329">
        <v>15</v>
      </c>
      <c r="M25" s="18">
        <f t="shared" si="16"/>
        <v>1949.9999999999982</v>
      </c>
      <c r="N25" s="17">
        <f t="shared" si="3"/>
        <v>129.99999999999989</v>
      </c>
      <c r="O25" s="19">
        <f t="shared" si="4"/>
        <v>0</v>
      </c>
      <c r="P25" s="20">
        <f t="shared" si="5"/>
        <v>-3.3333333333334565</v>
      </c>
      <c r="Q25" s="323">
        <f t="shared" si="6"/>
        <v>0.97499999999999909</v>
      </c>
      <c r="R25" s="489"/>
      <c r="S25" s="40">
        <v>0.90902777777777777</v>
      </c>
      <c r="T25" s="40">
        <v>0.93402777777777779</v>
      </c>
      <c r="U25" s="320">
        <f t="shared" si="18"/>
        <v>5.9999999999999787</v>
      </c>
      <c r="V25" s="330">
        <f t="shared" si="17"/>
        <v>36.000000000000028</v>
      </c>
      <c r="W25" s="23"/>
      <c r="X25" s="23"/>
      <c r="Y25" s="26"/>
      <c r="Z25" s="26"/>
      <c r="AA25" s="503"/>
      <c r="AB25" s="504"/>
      <c r="AC25" s="154"/>
      <c r="AD25" s="25"/>
      <c r="AE25" s="19">
        <f t="shared" si="8"/>
        <v>-50.000000000001819</v>
      </c>
      <c r="AF25" s="323">
        <f t="shared" si="9"/>
        <v>0.97499999999999909</v>
      </c>
      <c r="AG25" s="489"/>
    </row>
    <row r="26" spans="1:33" ht="16.5" customHeight="1">
      <c r="A26" s="526" t="s">
        <v>1856</v>
      </c>
      <c r="B26" s="42" t="s">
        <v>49</v>
      </c>
      <c r="C26" s="494"/>
      <c r="D26" s="494"/>
      <c r="E26" s="324"/>
      <c r="F26" s="44"/>
      <c r="G26" s="17"/>
      <c r="H26" s="331"/>
      <c r="I26" s="30">
        <v>16.222222222222221</v>
      </c>
      <c r="J26" s="37">
        <v>1888.8888888888889</v>
      </c>
      <c r="K26" s="17">
        <f t="shared" si="1"/>
        <v>116.43835616438356</v>
      </c>
      <c r="L26" s="30">
        <v>16.222222222222221</v>
      </c>
      <c r="M26" s="18">
        <f>AVERAGE(M17:M25)</f>
        <v>1807.7279166939586</v>
      </c>
      <c r="N26" s="17">
        <f t="shared" si="3"/>
        <v>111.43528253592896</v>
      </c>
      <c r="O26" s="19">
        <f t="shared" si="4"/>
        <v>0</v>
      </c>
      <c r="P26" s="20">
        <f t="shared" si="5"/>
        <v>-5.0030736284546009</v>
      </c>
      <c r="Q26" s="323">
        <f t="shared" si="6"/>
        <v>0.95703242648503695</v>
      </c>
      <c r="R26" s="489"/>
      <c r="S26" s="40"/>
      <c r="T26" s="40"/>
      <c r="U26" s="320"/>
      <c r="V26" s="330"/>
      <c r="W26" s="17"/>
      <c r="X26" s="17"/>
      <c r="Y26" s="31">
        <f>SUM(Y17:Y25)</f>
        <v>0</v>
      </c>
      <c r="Z26" s="31">
        <f>SUM(Z17:Z25)</f>
        <v>0</v>
      </c>
      <c r="AA26" s="495"/>
      <c r="AB26" s="495"/>
      <c r="AC26" s="31">
        <v>3</v>
      </c>
      <c r="AD26" s="31">
        <f>SUM(AD17:AD25)</f>
        <v>0</v>
      </c>
      <c r="AE26" s="19">
        <f t="shared" si="8"/>
        <v>-81.160972194930309</v>
      </c>
      <c r="AF26" s="323">
        <f t="shared" si="9"/>
        <v>0.95703242648503695</v>
      </c>
      <c r="AG26" s="489"/>
    </row>
    <row r="27" spans="1:33" ht="15.75" customHeight="1">
      <c r="A27" s="519" t="s">
        <v>1857</v>
      </c>
      <c r="B27" s="42" t="s">
        <v>126</v>
      </c>
      <c r="C27" s="515" t="s">
        <v>135</v>
      </c>
      <c r="D27" s="515"/>
      <c r="E27" s="42">
        <v>43.14</v>
      </c>
      <c r="F27" s="331">
        <v>898</v>
      </c>
      <c r="G27" s="320">
        <f t="shared" ref="G27:G35" si="19">E27*F27</f>
        <v>38739.72</v>
      </c>
      <c r="H27" s="333" t="s">
        <v>79</v>
      </c>
      <c r="I27" s="329">
        <v>17</v>
      </c>
      <c r="J27" s="37">
        <v>2000</v>
      </c>
      <c r="K27" s="17">
        <f t="shared" si="1"/>
        <v>117.64705882352941</v>
      </c>
      <c r="L27" s="329">
        <v>17</v>
      </c>
      <c r="M27" s="18">
        <f t="shared" ref="M27:M35" si="20">F27/V27*60</f>
        <v>1924.2857142857158</v>
      </c>
      <c r="N27" s="17">
        <f t="shared" si="3"/>
        <v>113.19327731092446</v>
      </c>
      <c r="O27" s="19">
        <f t="shared" si="4"/>
        <v>0</v>
      </c>
      <c r="P27" s="20">
        <f t="shared" si="5"/>
        <v>-4.453781512604948</v>
      </c>
      <c r="Q27" s="323">
        <f t="shared" si="6"/>
        <v>0.96214285714285797</v>
      </c>
      <c r="R27" s="489">
        <f>Q36</f>
        <v>0.96532577995495328</v>
      </c>
      <c r="S27" s="40">
        <v>0.33333333333333331</v>
      </c>
      <c r="T27" s="40">
        <v>0.35277777777777775</v>
      </c>
      <c r="U27" s="320"/>
      <c r="V27" s="330">
        <f t="shared" ref="V27:V35" si="21">(T27-S27)*24*60</f>
        <v>27.999999999999979</v>
      </c>
      <c r="W27" s="28"/>
      <c r="X27" s="28"/>
      <c r="Y27" s="28"/>
      <c r="Z27" s="28"/>
      <c r="AA27" s="491"/>
      <c r="AB27" s="491"/>
      <c r="AC27" s="154">
        <v>3</v>
      </c>
      <c r="AD27" s="25"/>
      <c r="AE27" s="19">
        <f t="shared" si="8"/>
        <v>-75.714285714284188</v>
      </c>
      <c r="AF27" s="323">
        <f t="shared" si="9"/>
        <v>0.96214285714285785</v>
      </c>
      <c r="AG27" s="489">
        <f>AF36</f>
        <v>0.96532577995495328</v>
      </c>
    </row>
    <row r="28" spans="1:33" ht="15.75" customHeight="1">
      <c r="A28" s="520" t="s">
        <v>1858</v>
      </c>
      <c r="B28" s="42" t="s">
        <v>103</v>
      </c>
      <c r="C28" s="515" t="s">
        <v>137</v>
      </c>
      <c r="D28" s="515"/>
      <c r="E28" s="42">
        <v>57.73</v>
      </c>
      <c r="F28" s="331">
        <v>2021</v>
      </c>
      <c r="G28" s="320">
        <f t="shared" si="19"/>
        <v>116672.32999999999</v>
      </c>
      <c r="H28" s="333" t="s">
        <v>79</v>
      </c>
      <c r="I28" s="329">
        <v>14</v>
      </c>
      <c r="J28" s="37">
        <v>2000</v>
      </c>
      <c r="K28" s="17">
        <f t="shared" si="1"/>
        <v>142.85714285714286</v>
      </c>
      <c r="L28" s="329">
        <v>14</v>
      </c>
      <c r="M28" s="18">
        <f t="shared" si="20"/>
        <v>1924.7619047619046</v>
      </c>
      <c r="N28" s="17">
        <f t="shared" si="3"/>
        <v>137.48299319727889</v>
      </c>
      <c r="O28" s="19">
        <f t="shared" si="4"/>
        <v>0</v>
      </c>
      <c r="P28" s="20">
        <f t="shared" si="5"/>
        <v>-5.3741496598639742</v>
      </c>
      <c r="Q28" s="323">
        <f t="shared" si="6"/>
        <v>0.96238095238095223</v>
      </c>
      <c r="R28" s="489"/>
      <c r="S28" s="40">
        <v>0.35763888888888884</v>
      </c>
      <c r="T28" s="40">
        <v>0.40138888888888885</v>
      </c>
      <c r="U28" s="320">
        <f t="shared" ref="U28:U35" si="22">IF(S28=TIME(17,0,0),"",(S28-T27)*24*60)</f>
        <v>6.9999999999999751</v>
      </c>
      <c r="V28" s="330">
        <f t="shared" si="21"/>
        <v>63.000000000000014</v>
      </c>
      <c r="W28" s="23"/>
      <c r="X28" s="320"/>
      <c r="Y28" s="320"/>
      <c r="Z28" s="320"/>
      <c r="AA28" s="491"/>
      <c r="AB28" s="491"/>
      <c r="AC28" s="154"/>
      <c r="AD28" s="25"/>
      <c r="AE28" s="19">
        <f t="shared" si="8"/>
        <v>-75.238095238095411</v>
      </c>
      <c r="AF28" s="323">
        <f t="shared" si="9"/>
        <v>0.96238095238095234</v>
      </c>
      <c r="AG28" s="489"/>
    </row>
    <row r="29" spans="1:33" ht="15.75" customHeight="1">
      <c r="A29" s="520" t="s">
        <v>1858</v>
      </c>
      <c r="B29" s="42" t="s">
        <v>103</v>
      </c>
      <c r="C29" s="515" t="s">
        <v>138</v>
      </c>
      <c r="D29" s="515"/>
      <c r="E29" s="42">
        <v>53.68</v>
      </c>
      <c r="F29" s="331">
        <v>1245</v>
      </c>
      <c r="G29" s="320">
        <f t="shared" si="19"/>
        <v>66831.600000000006</v>
      </c>
      <c r="H29" s="333" t="s">
        <v>79</v>
      </c>
      <c r="I29" s="329">
        <v>16</v>
      </c>
      <c r="J29" s="37">
        <v>2000</v>
      </c>
      <c r="K29" s="17">
        <f t="shared" si="1"/>
        <v>125</v>
      </c>
      <c r="L29" s="329">
        <v>16</v>
      </c>
      <c r="M29" s="18">
        <f t="shared" si="20"/>
        <v>1915.3846153846143</v>
      </c>
      <c r="N29" s="17">
        <f t="shared" si="3"/>
        <v>119.7115384615384</v>
      </c>
      <c r="O29" s="19">
        <f t="shared" si="4"/>
        <v>0</v>
      </c>
      <c r="P29" s="20">
        <f t="shared" si="5"/>
        <v>-5.2884615384616041</v>
      </c>
      <c r="Q29" s="323">
        <f t="shared" si="6"/>
        <v>0.95769230769230718</v>
      </c>
      <c r="R29" s="489"/>
      <c r="S29" s="40">
        <v>0.40624999999999994</v>
      </c>
      <c r="T29" s="40">
        <v>0.43333333333333329</v>
      </c>
      <c r="U29" s="320">
        <f t="shared" si="22"/>
        <v>6.9999999999999751</v>
      </c>
      <c r="V29" s="330">
        <f t="shared" si="21"/>
        <v>39.000000000000021</v>
      </c>
      <c r="W29" s="23"/>
      <c r="X29" s="320"/>
      <c r="Y29" s="320"/>
      <c r="Z29" s="320"/>
      <c r="AA29" s="491"/>
      <c r="AB29" s="491"/>
      <c r="AC29" s="154"/>
      <c r="AD29" s="25"/>
      <c r="AE29" s="19">
        <f t="shared" si="8"/>
        <v>-84.615384615385665</v>
      </c>
      <c r="AF29" s="323">
        <f t="shared" si="9"/>
        <v>0.95769230769230718</v>
      </c>
      <c r="AG29" s="489"/>
    </row>
    <row r="30" spans="1:33" ht="15.75" customHeight="1">
      <c r="A30" s="520" t="s">
        <v>1858</v>
      </c>
      <c r="B30" s="42" t="s">
        <v>103</v>
      </c>
      <c r="C30" s="515" t="s">
        <v>140</v>
      </c>
      <c r="D30" s="515"/>
      <c r="E30" s="42">
        <v>50.49</v>
      </c>
      <c r="F30" s="331">
        <v>1100</v>
      </c>
      <c r="G30" s="320">
        <f t="shared" si="19"/>
        <v>55539</v>
      </c>
      <c r="H30" s="333">
        <v>2</v>
      </c>
      <c r="I30" s="329">
        <v>15</v>
      </c>
      <c r="J30" s="37">
        <v>2000</v>
      </c>
      <c r="K30" s="17">
        <f t="shared" si="1"/>
        <v>133.33333333333334</v>
      </c>
      <c r="L30" s="329">
        <v>15</v>
      </c>
      <c r="M30" s="18">
        <f t="shared" si="20"/>
        <v>1941.1764705882326</v>
      </c>
      <c r="N30" s="17">
        <f t="shared" si="3"/>
        <v>129.41176470588218</v>
      </c>
      <c r="O30" s="19">
        <f t="shared" si="4"/>
        <v>0</v>
      </c>
      <c r="P30" s="20">
        <f t="shared" si="5"/>
        <v>-3.9215686274511654</v>
      </c>
      <c r="Q30" s="323">
        <f t="shared" si="6"/>
        <v>0.97058823529411631</v>
      </c>
      <c r="R30" s="489"/>
      <c r="S30" s="40">
        <v>0.70833333333333337</v>
      </c>
      <c r="T30" s="40">
        <v>0.73194444444444451</v>
      </c>
      <c r="U30" s="320" t="str">
        <f t="shared" si="22"/>
        <v/>
      </c>
      <c r="V30" s="330">
        <f t="shared" si="21"/>
        <v>34.000000000000043</v>
      </c>
      <c r="W30" s="23"/>
      <c r="X30" s="320"/>
      <c r="Y30" s="320"/>
      <c r="Z30" s="320"/>
      <c r="AA30" s="491"/>
      <c r="AB30" s="491"/>
      <c r="AC30" s="154"/>
      <c r="AD30" s="25"/>
      <c r="AE30" s="19">
        <f t="shared" si="8"/>
        <v>-58.823529411767367</v>
      </c>
      <c r="AF30" s="323">
        <f t="shared" si="9"/>
        <v>0.97058823529411631</v>
      </c>
      <c r="AG30" s="489"/>
    </row>
    <row r="31" spans="1:33" ht="15.75" customHeight="1">
      <c r="A31" s="520" t="s">
        <v>1858</v>
      </c>
      <c r="B31" s="42" t="s">
        <v>103</v>
      </c>
      <c r="C31" s="515" t="s">
        <v>516</v>
      </c>
      <c r="D31" s="515"/>
      <c r="E31" s="42">
        <v>50.67</v>
      </c>
      <c r="F31" s="331">
        <v>1514</v>
      </c>
      <c r="G31" s="320">
        <f t="shared" si="19"/>
        <v>76714.38</v>
      </c>
      <c r="H31" s="333" t="s">
        <v>79</v>
      </c>
      <c r="I31" s="329">
        <v>16</v>
      </c>
      <c r="J31" s="37">
        <v>2000</v>
      </c>
      <c r="K31" s="17">
        <f t="shared" si="1"/>
        <v>125</v>
      </c>
      <c r="L31" s="329">
        <v>16</v>
      </c>
      <c r="M31" s="18">
        <f t="shared" si="20"/>
        <v>1932.7659574468087</v>
      </c>
      <c r="N31" s="17">
        <f t="shared" si="3"/>
        <v>120.79787234042554</v>
      </c>
      <c r="O31" s="19">
        <f t="shared" si="4"/>
        <v>0</v>
      </c>
      <c r="P31" s="20">
        <f t="shared" si="5"/>
        <v>-4.2021276595744581</v>
      </c>
      <c r="Q31" s="323">
        <f t="shared" si="6"/>
        <v>0.96638297872340428</v>
      </c>
      <c r="R31" s="489"/>
      <c r="S31" s="40">
        <v>0.73750000000000004</v>
      </c>
      <c r="T31" s="40">
        <v>0.77013888888888893</v>
      </c>
      <c r="U31" s="320">
        <f t="shared" si="22"/>
        <v>7.9999999999999716</v>
      </c>
      <c r="V31" s="330">
        <f t="shared" si="21"/>
        <v>46.999999999999993</v>
      </c>
      <c r="W31" s="23"/>
      <c r="X31" s="320"/>
      <c r="Y31" s="320"/>
      <c r="Z31" s="320"/>
      <c r="AA31" s="491"/>
      <c r="AB31" s="491"/>
      <c r="AC31" s="154"/>
      <c r="AD31" s="25"/>
      <c r="AE31" s="19">
        <f t="shared" si="8"/>
        <v>-67.23404255319133</v>
      </c>
      <c r="AF31" s="323">
        <f t="shared" si="9"/>
        <v>0.96638297872340428</v>
      </c>
      <c r="AG31" s="489"/>
    </row>
    <row r="32" spans="1:33" ht="15.75" customHeight="1">
      <c r="A32" s="520" t="s">
        <v>1858</v>
      </c>
      <c r="B32" s="42" t="s">
        <v>103</v>
      </c>
      <c r="C32" s="515" t="s">
        <v>141</v>
      </c>
      <c r="D32" s="515"/>
      <c r="E32" s="42">
        <v>57.73</v>
      </c>
      <c r="F32" s="331">
        <v>1196</v>
      </c>
      <c r="G32" s="320">
        <f t="shared" si="19"/>
        <v>69045.08</v>
      </c>
      <c r="H32" s="333" t="s">
        <v>79</v>
      </c>
      <c r="I32" s="329">
        <v>16</v>
      </c>
      <c r="J32" s="37">
        <v>1500</v>
      </c>
      <c r="K32" s="17">
        <f t="shared" si="1"/>
        <v>93.75</v>
      </c>
      <c r="L32" s="329">
        <v>16</v>
      </c>
      <c r="M32" s="18">
        <f t="shared" si="20"/>
        <v>1435.2000000000003</v>
      </c>
      <c r="N32" s="17">
        <f t="shared" si="3"/>
        <v>89.700000000000017</v>
      </c>
      <c r="O32" s="19">
        <f t="shared" si="4"/>
        <v>0</v>
      </c>
      <c r="P32" s="20">
        <f t="shared" si="5"/>
        <v>-4.0499999999999829</v>
      </c>
      <c r="Q32" s="323">
        <f t="shared" si="6"/>
        <v>0.95680000000000021</v>
      </c>
      <c r="R32" s="489"/>
      <c r="S32" s="40">
        <v>0.77430555555555558</v>
      </c>
      <c r="T32" s="40">
        <v>0.80902777777777779</v>
      </c>
      <c r="U32" s="320">
        <f t="shared" si="22"/>
        <v>5.9999999999999787</v>
      </c>
      <c r="V32" s="330">
        <f t="shared" si="21"/>
        <v>49.999999999999986</v>
      </c>
      <c r="W32" s="23"/>
      <c r="X32" s="28"/>
      <c r="Y32" s="28"/>
      <c r="Z32" s="28"/>
      <c r="AA32" s="491"/>
      <c r="AB32" s="491"/>
      <c r="AC32" s="154"/>
      <c r="AD32" s="25"/>
      <c r="AE32" s="19">
        <f t="shared" si="8"/>
        <v>-64.799999999999727</v>
      </c>
      <c r="AF32" s="323">
        <f t="shared" si="9"/>
        <v>0.95680000000000021</v>
      </c>
      <c r="AG32" s="489"/>
    </row>
    <row r="33" spans="1:33" ht="15.75" customHeight="1">
      <c r="A33" s="520" t="s">
        <v>1858</v>
      </c>
      <c r="B33" s="42" t="s">
        <v>103</v>
      </c>
      <c r="C33" s="515" t="s">
        <v>142</v>
      </c>
      <c r="D33" s="515"/>
      <c r="E33" s="42">
        <v>53.68</v>
      </c>
      <c r="F33" s="331">
        <v>700</v>
      </c>
      <c r="G33" s="320">
        <f t="shared" si="19"/>
        <v>37576</v>
      </c>
      <c r="H33" s="333">
        <v>2</v>
      </c>
      <c r="I33" s="329">
        <v>16</v>
      </c>
      <c r="J33" s="37">
        <v>1500</v>
      </c>
      <c r="K33" s="17">
        <f t="shared" si="1"/>
        <v>93.75</v>
      </c>
      <c r="L33" s="329">
        <v>16</v>
      </c>
      <c r="M33" s="18">
        <f t="shared" si="20"/>
        <v>1448.2758620689626</v>
      </c>
      <c r="N33" s="17">
        <f t="shared" si="3"/>
        <v>90.517241379310164</v>
      </c>
      <c r="O33" s="19">
        <f t="shared" si="4"/>
        <v>0</v>
      </c>
      <c r="P33" s="20">
        <f t="shared" si="5"/>
        <v>-3.232758620689836</v>
      </c>
      <c r="Q33" s="323">
        <f t="shared" si="6"/>
        <v>0.96551724137930839</v>
      </c>
      <c r="R33" s="489"/>
      <c r="S33" s="40">
        <v>0.81388888888888888</v>
      </c>
      <c r="T33" s="40">
        <v>0.83402777777777781</v>
      </c>
      <c r="U33" s="320">
        <f t="shared" si="22"/>
        <v>6.9999999999999751</v>
      </c>
      <c r="V33" s="330">
        <f t="shared" si="21"/>
        <v>29.000000000000057</v>
      </c>
      <c r="W33" s="23">
        <f>T33</f>
        <v>0.83402777777777781</v>
      </c>
      <c r="X33" s="23">
        <f>S34</f>
        <v>0.87430555555555556</v>
      </c>
      <c r="Y33" s="29"/>
      <c r="Z33" s="29"/>
      <c r="AA33" s="503"/>
      <c r="AB33" s="504"/>
      <c r="AC33" s="154"/>
      <c r="AD33" s="25"/>
      <c r="AE33" s="19">
        <f t="shared" si="8"/>
        <v>-51.724137931037376</v>
      </c>
      <c r="AF33" s="323">
        <f t="shared" si="9"/>
        <v>0.96551724137930839</v>
      </c>
      <c r="AG33" s="489"/>
    </row>
    <row r="34" spans="1:33" ht="15.75" customHeight="1">
      <c r="A34" s="520" t="s">
        <v>56</v>
      </c>
      <c r="B34" s="42" t="s">
        <v>103</v>
      </c>
      <c r="C34" s="521" t="s">
        <v>142</v>
      </c>
      <c r="D34" s="522"/>
      <c r="E34" s="42">
        <v>53.68</v>
      </c>
      <c r="F34" s="331">
        <v>1113</v>
      </c>
      <c r="G34" s="320">
        <f t="shared" si="19"/>
        <v>59745.84</v>
      </c>
      <c r="H34" s="333" t="s">
        <v>79</v>
      </c>
      <c r="I34" s="329">
        <v>16</v>
      </c>
      <c r="J34" s="37">
        <v>1500</v>
      </c>
      <c r="K34" s="17">
        <f t="shared" si="1"/>
        <v>93.75</v>
      </c>
      <c r="L34" s="329">
        <v>16</v>
      </c>
      <c r="M34" s="18">
        <f t="shared" si="20"/>
        <v>1451.7391304347825</v>
      </c>
      <c r="N34" s="17">
        <f t="shared" si="3"/>
        <v>90.733695652173907</v>
      </c>
      <c r="O34" s="19">
        <f t="shared" si="4"/>
        <v>0</v>
      </c>
      <c r="P34" s="20">
        <f t="shared" si="5"/>
        <v>-3.0163043478260931</v>
      </c>
      <c r="Q34" s="323">
        <f t="shared" si="6"/>
        <v>0.96782608695652173</v>
      </c>
      <c r="R34" s="489"/>
      <c r="S34" s="40">
        <v>0.87430555555555556</v>
      </c>
      <c r="T34" s="40">
        <v>0.90625</v>
      </c>
      <c r="U34" s="320">
        <f t="shared" si="22"/>
        <v>57.999999999999957</v>
      </c>
      <c r="V34" s="330">
        <f t="shared" si="21"/>
        <v>46</v>
      </c>
      <c r="W34" s="23"/>
      <c r="X34" s="23"/>
      <c r="Y34" s="26"/>
      <c r="Z34" s="26"/>
      <c r="AA34" s="503"/>
      <c r="AB34" s="504"/>
      <c r="AC34" s="154"/>
      <c r="AD34" s="25"/>
      <c r="AE34" s="19">
        <f t="shared" si="8"/>
        <v>-48.26086956521749</v>
      </c>
      <c r="AF34" s="323">
        <f t="shared" si="9"/>
        <v>0.96782608695652173</v>
      </c>
      <c r="AG34" s="489"/>
    </row>
    <row r="35" spans="1:33" ht="15.75" customHeight="1">
      <c r="A35" s="520" t="s">
        <v>1859</v>
      </c>
      <c r="B35" s="42" t="s">
        <v>103</v>
      </c>
      <c r="C35" s="521" t="s">
        <v>140</v>
      </c>
      <c r="D35" s="522"/>
      <c r="E35" s="42">
        <v>50.49</v>
      </c>
      <c r="F35" s="331">
        <v>912</v>
      </c>
      <c r="G35" s="320">
        <f t="shared" si="19"/>
        <v>46046.880000000005</v>
      </c>
      <c r="H35" s="333" t="s">
        <v>79</v>
      </c>
      <c r="I35" s="329">
        <v>15</v>
      </c>
      <c r="J35" s="37">
        <v>2000</v>
      </c>
      <c r="K35" s="17">
        <f t="shared" si="1"/>
        <v>133.33333333333334</v>
      </c>
      <c r="L35" s="329">
        <v>15</v>
      </c>
      <c r="M35" s="18">
        <f t="shared" si="20"/>
        <v>1954.2857142857099</v>
      </c>
      <c r="N35" s="17">
        <f t="shared" si="3"/>
        <v>130.28571428571399</v>
      </c>
      <c r="O35" s="19">
        <f t="shared" si="4"/>
        <v>0</v>
      </c>
      <c r="P35" s="20">
        <f t="shared" si="5"/>
        <v>-3.0476190476193494</v>
      </c>
      <c r="Q35" s="323">
        <f t="shared" si="6"/>
        <v>0.97714285714285487</v>
      </c>
      <c r="R35" s="489"/>
      <c r="S35" s="40">
        <v>0.91041666666666665</v>
      </c>
      <c r="T35" s="40">
        <v>0.92986111111111114</v>
      </c>
      <c r="U35" s="320">
        <f t="shared" si="22"/>
        <v>5.9999999999999787</v>
      </c>
      <c r="V35" s="330">
        <f t="shared" si="21"/>
        <v>28.00000000000006</v>
      </c>
      <c r="W35" s="23"/>
      <c r="X35" s="23"/>
      <c r="Y35" s="26"/>
      <c r="Z35" s="26"/>
      <c r="AA35" s="503"/>
      <c r="AB35" s="504"/>
      <c r="AC35" s="154"/>
      <c r="AD35" s="25"/>
      <c r="AE35" s="19">
        <f t="shared" si="8"/>
        <v>-45.714285714290099</v>
      </c>
      <c r="AF35" s="323">
        <f t="shared" si="9"/>
        <v>0.97714285714285498</v>
      </c>
      <c r="AG35" s="489"/>
    </row>
    <row r="36" spans="1:33" ht="15.75" customHeight="1">
      <c r="A36" s="520" t="s">
        <v>1860</v>
      </c>
      <c r="B36" s="42" t="s">
        <v>49</v>
      </c>
      <c r="C36" s="494"/>
      <c r="D36" s="494"/>
      <c r="E36" s="324"/>
      <c r="F36" s="331"/>
      <c r="G36" s="320"/>
      <c r="H36" s="331"/>
      <c r="I36" s="30">
        <v>15.666666666666666</v>
      </c>
      <c r="J36" s="37">
        <v>1833.3333333333333</v>
      </c>
      <c r="K36" s="17">
        <f t="shared" si="1"/>
        <v>117.02127659574468</v>
      </c>
      <c r="L36" s="30">
        <v>15.666666666666666</v>
      </c>
      <c r="M36" s="18">
        <f>AVERAGE(M27:M35)</f>
        <v>1769.7639299174143</v>
      </c>
      <c r="N36" s="17">
        <f t="shared" si="3"/>
        <v>112.96365510111156</v>
      </c>
      <c r="O36" s="19">
        <f t="shared" si="4"/>
        <v>0</v>
      </c>
      <c r="P36" s="20">
        <f t="shared" si="5"/>
        <v>-4.0576214946331248</v>
      </c>
      <c r="Q36" s="323">
        <f t="shared" si="6"/>
        <v>0.96532577995495328</v>
      </c>
      <c r="R36" s="489"/>
      <c r="S36" s="40"/>
      <c r="T36" s="40"/>
      <c r="U36" s="17"/>
      <c r="V36" s="330"/>
      <c r="W36" s="17"/>
      <c r="X36" s="17"/>
      <c r="Y36" s="31">
        <f>SUM(Y27:Y35)</f>
        <v>0</v>
      </c>
      <c r="Z36" s="31">
        <f>SUM(Z27:Z35)</f>
        <v>0</v>
      </c>
      <c r="AA36" s="495"/>
      <c r="AB36" s="495"/>
      <c r="AC36" s="31">
        <v>3</v>
      </c>
      <c r="AD36" s="31">
        <f>SUM(AD27:AD35)</f>
        <v>0</v>
      </c>
      <c r="AE36" s="19">
        <f t="shared" si="8"/>
        <v>-63.569403415918941</v>
      </c>
      <c r="AF36" s="323">
        <f t="shared" si="9"/>
        <v>0.96532577995495328</v>
      </c>
      <c r="AG36" s="489"/>
    </row>
    <row r="37" spans="1:33" ht="15.75" customHeight="1">
      <c r="A37" s="518" t="s">
        <v>1861</v>
      </c>
      <c r="B37" s="42" t="s">
        <v>80</v>
      </c>
      <c r="C37" s="515" t="s">
        <v>81</v>
      </c>
      <c r="D37" s="515"/>
      <c r="E37" s="42">
        <v>31.29</v>
      </c>
      <c r="F37" s="331">
        <v>4800</v>
      </c>
      <c r="G37" s="320">
        <f t="shared" ref="G37:G43" si="23">E37*F37</f>
        <v>150192</v>
      </c>
      <c r="H37" s="333">
        <v>2</v>
      </c>
      <c r="I37" s="329">
        <v>18</v>
      </c>
      <c r="J37" s="37">
        <v>2400</v>
      </c>
      <c r="K37" s="17">
        <f t="shared" si="1"/>
        <v>133.33333333333334</v>
      </c>
      <c r="L37" s="329">
        <v>18</v>
      </c>
      <c r="M37" s="18">
        <f t="shared" ref="M37:M43" si="24">F37/V37*60</f>
        <v>2285.7142857142858</v>
      </c>
      <c r="N37" s="17">
        <f t="shared" si="3"/>
        <v>126.98412698412699</v>
      </c>
      <c r="O37" s="19">
        <f t="shared" si="4"/>
        <v>0</v>
      </c>
      <c r="P37" s="20">
        <f t="shared" si="5"/>
        <v>-6.3492063492063551</v>
      </c>
      <c r="Q37" s="323">
        <f t="shared" si="6"/>
        <v>0.95238095238095233</v>
      </c>
      <c r="R37" s="489">
        <f>Q44</f>
        <v>0.9562475186103232</v>
      </c>
      <c r="S37" s="40">
        <v>8.3333333333333329E-2</v>
      </c>
      <c r="T37" s="40">
        <v>0.17083333333333334</v>
      </c>
      <c r="U37" s="320"/>
      <c r="V37" s="330">
        <f t="shared" ref="V37:V43" si="25">(T37-S37)*24*60</f>
        <v>126</v>
      </c>
      <c r="W37" s="23">
        <f>T37</f>
        <v>0.17083333333333334</v>
      </c>
      <c r="X37" s="23">
        <f>S38</f>
        <v>0.19236111111111112</v>
      </c>
      <c r="Y37" s="23"/>
      <c r="Z37" s="23"/>
      <c r="AA37" s="491"/>
      <c r="AB37" s="491"/>
      <c r="AC37" s="154">
        <v>9</v>
      </c>
      <c r="AD37" s="25"/>
      <c r="AE37" s="19">
        <f t="shared" si="8"/>
        <v>-114.28571428571422</v>
      </c>
      <c r="AF37" s="323">
        <f t="shared" si="9"/>
        <v>0.95238095238095244</v>
      </c>
      <c r="AG37" s="489">
        <f>AF44</f>
        <v>0.9562475186103232</v>
      </c>
    </row>
    <row r="38" spans="1:33" ht="15.75" customHeight="1">
      <c r="A38" s="518" t="s">
        <v>1862</v>
      </c>
      <c r="B38" s="42" t="s">
        <v>80</v>
      </c>
      <c r="C38" s="515" t="s">
        <v>82</v>
      </c>
      <c r="D38" s="515"/>
      <c r="E38" s="42">
        <v>26.2</v>
      </c>
      <c r="F38" s="331">
        <v>4523</v>
      </c>
      <c r="G38" s="320">
        <f t="shared" si="23"/>
        <v>118502.59999999999</v>
      </c>
      <c r="H38" s="333" t="s">
        <v>79</v>
      </c>
      <c r="I38" s="329">
        <v>20</v>
      </c>
      <c r="J38" s="37">
        <v>2400</v>
      </c>
      <c r="K38" s="17">
        <f t="shared" si="1"/>
        <v>120</v>
      </c>
      <c r="L38" s="329">
        <v>20</v>
      </c>
      <c r="M38" s="18">
        <f t="shared" si="24"/>
        <v>2299.8305084745762</v>
      </c>
      <c r="N38" s="17">
        <f t="shared" si="3"/>
        <v>114.9915254237288</v>
      </c>
      <c r="O38" s="19">
        <f t="shared" si="4"/>
        <v>0</v>
      </c>
      <c r="P38" s="20">
        <f t="shared" si="5"/>
        <v>-5.0084745762711975</v>
      </c>
      <c r="Q38" s="323">
        <f t="shared" si="6"/>
        <v>0.9582627118644067</v>
      </c>
      <c r="R38" s="489"/>
      <c r="S38" s="40">
        <v>0.19236111111111112</v>
      </c>
      <c r="T38" s="40">
        <v>0.27430555555555558</v>
      </c>
      <c r="U38" s="320">
        <f t="shared" ref="U38:U43" si="26">(S38-T37)*24*60</f>
        <v>31.000000000000011</v>
      </c>
      <c r="V38" s="330">
        <f t="shared" si="25"/>
        <v>118.00000000000001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-100.16949152542384</v>
      </c>
      <c r="AF38" s="323">
        <f t="shared" si="9"/>
        <v>0.9582627118644067</v>
      </c>
      <c r="AG38" s="489"/>
    </row>
    <row r="39" spans="1:33" ht="15.75" customHeight="1">
      <c r="A39" s="518" t="s">
        <v>60</v>
      </c>
      <c r="B39" s="42" t="s">
        <v>80</v>
      </c>
      <c r="C39" s="515" t="s">
        <v>83</v>
      </c>
      <c r="D39" s="515"/>
      <c r="E39" s="42">
        <v>25.99</v>
      </c>
      <c r="F39" s="331">
        <v>4004</v>
      </c>
      <c r="G39" s="320">
        <f t="shared" si="23"/>
        <v>104063.95999999999</v>
      </c>
      <c r="H39" s="333" t="s">
        <v>79</v>
      </c>
      <c r="I39" s="329">
        <v>14</v>
      </c>
      <c r="J39" s="37">
        <v>2400</v>
      </c>
      <c r="K39" s="17">
        <f t="shared" si="1"/>
        <v>171.42857142857142</v>
      </c>
      <c r="L39" s="329">
        <v>14</v>
      </c>
      <c r="M39" s="18">
        <f t="shared" si="24"/>
        <v>2287.9999999999995</v>
      </c>
      <c r="N39" s="17">
        <f t="shared" si="3"/>
        <v>163.42857142857139</v>
      </c>
      <c r="O39" s="19">
        <f t="shared" si="4"/>
        <v>0</v>
      </c>
      <c r="P39" s="20">
        <f t="shared" si="5"/>
        <v>-8.0000000000000284</v>
      </c>
      <c r="Q39" s="323">
        <f t="shared" si="6"/>
        <v>0.95333333333333314</v>
      </c>
      <c r="R39" s="489"/>
      <c r="S39" s="40">
        <v>0.27916666666666667</v>
      </c>
      <c r="T39" s="40">
        <v>0.35208333333333336</v>
      </c>
      <c r="U39" s="320">
        <f t="shared" si="26"/>
        <v>6.9999999999999751</v>
      </c>
      <c r="V39" s="330">
        <f t="shared" si="25"/>
        <v>105.00000000000003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-112.00000000000045</v>
      </c>
      <c r="AF39" s="323">
        <f t="shared" si="9"/>
        <v>0.95333333333333314</v>
      </c>
      <c r="AG39" s="489"/>
    </row>
    <row r="40" spans="1:33" ht="15.75" customHeight="1">
      <c r="A40" s="518" t="s">
        <v>1863</v>
      </c>
      <c r="B40" s="42" t="s">
        <v>80</v>
      </c>
      <c r="C40" s="515" t="s">
        <v>119</v>
      </c>
      <c r="D40" s="515"/>
      <c r="E40" s="42">
        <v>19.02</v>
      </c>
      <c r="F40" s="331">
        <v>3600</v>
      </c>
      <c r="G40" s="320">
        <f t="shared" si="23"/>
        <v>68472</v>
      </c>
      <c r="H40" s="333">
        <v>2</v>
      </c>
      <c r="I40" s="329">
        <v>15</v>
      </c>
      <c r="J40" s="37">
        <v>2400</v>
      </c>
      <c r="K40" s="17">
        <f t="shared" si="1"/>
        <v>160</v>
      </c>
      <c r="L40" s="329">
        <v>15</v>
      </c>
      <c r="M40" s="18">
        <f t="shared" si="24"/>
        <v>2297.872340425532</v>
      </c>
      <c r="N40" s="17">
        <f t="shared" si="3"/>
        <v>153.19148936170214</v>
      </c>
      <c r="O40" s="19">
        <f t="shared" si="4"/>
        <v>0</v>
      </c>
      <c r="P40" s="20">
        <f t="shared" si="5"/>
        <v>-6.8085106382978609</v>
      </c>
      <c r="Q40" s="323">
        <f t="shared" si="6"/>
        <v>0.95744680851063835</v>
      </c>
      <c r="R40" s="489"/>
      <c r="S40" s="40">
        <v>0.35625000000000001</v>
      </c>
      <c r="T40" s="40">
        <v>0.42152777777777778</v>
      </c>
      <c r="U40" s="320">
        <f t="shared" si="26"/>
        <v>5.9999999999999787</v>
      </c>
      <c r="V40" s="330">
        <f t="shared" si="25"/>
        <v>93.999999999999986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-102.127659574468</v>
      </c>
      <c r="AF40" s="323">
        <f t="shared" si="9"/>
        <v>0.95744680851063835</v>
      </c>
      <c r="AG40" s="489"/>
    </row>
    <row r="41" spans="1:33" ht="15.75" customHeight="1">
      <c r="A41" s="518" t="s">
        <v>1864</v>
      </c>
      <c r="B41" s="42" t="s">
        <v>80</v>
      </c>
      <c r="C41" s="515" t="s">
        <v>90</v>
      </c>
      <c r="D41" s="515"/>
      <c r="E41" s="42">
        <v>22.69</v>
      </c>
      <c r="F41" s="331">
        <v>1820</v>
      </c>
      <c r="G41" s="320">
        <f t="shared" si="23"/>
        <v>41295.800000000003</v>
      </c>
      <c r="H41" s="333" t="s">
        <v>79</v>
      </c>
      <c r="I41" s="329">
        <v>15</v>
      </c>
      <c r="J41" s="37">
        <v>2400</v>
      </c>
      <c r="K41" s="17">
        <f t="shared" si="1"/>
        <v>160</v>
      </c>
      <c r="L41" s="329">
        <v>15</v>
      </c>
      <c r="M41" s="18">
        <f t="shared" si="24"/>
        <v>2323.4042553191493</v>
      </c>
      <c r="N41" s="17">
        <f t="shared" si="3"/>
        <v>154.89361702127661</v>
      </c>
      <c r="O41" s="19">
        <f t="shared" si="4"/>
        <v>0</v>
      </c>
      <c r="P41" s="20">
        <f t="shared" si="5"/>
        <v>-5.1063829787233885</v>
      </c>
      <c r="Q41" s="323">
        <f t="shared" si="6"/>
        <v>0.96808510638297884</v>
      </c>
      <c r="R41" s="489"/>
      <c r="S41" s="40">
        <v>0.42708333333333331</v>
      </c>
      <c r="T41" s="40">
        <v>0.4597222222222222</v>
      </c>
      <c r="U41" s="320">
        <f t="shared" si="26"/>
        <v>7.9999999999999716</v>
      </c>
      <c r="V41" s="330">
        <f t="shared" si="25"/>
        <v>46.999999999999993</v>
      </c>
      <c r="W41" s="23">
        <f>T41</f>
        <v>0.4597222222222222</v>
      </c>
      <c r="X41" s="23">
        <f>S42</f>
        <v>0.49791666666666662</v>
      </c>
      <c r="Y41" s="23"/>
      <c r="Z41" s="23"/>
      <c r="AA41" s="491"/>
      <c r="AB41" s="491"/>
      <c r="AC41" s="154"/>
      <c r="AD41" s="25"/>
      <c r="AE41" s="19">
        <f t="shared" si="8"/>
        <v>-76.595744680850657</v>
      </c>
      <c r="AF41" s="323">
        <f t="shared" si="9"/>
        <v>0.96808510638297884</v>
      </c>
      <c r="AG41" s="489"/>
    </row>
    <row r="42" spans="1:33" ht="15.75" customHeight="1">
      <c r="A42" s="518" t="s">
        <v>60</v>
      </c>
      <c r="B42" s="42" t="s">
        <v>80</v>
      </c>
      <c r="C42" s="515" t="s">
        <v>119</v>
      </c>
      <c r="D42" s="515"/>
      <c r="E42" s="42">
        <v>19.02</v>
      </c>
      <c r="F42" s="331">
        <v>5301</v>
      </c>
      <c r="G42" s="320">
        <f t="shared" si="23"/>
        <v>100825.02</v>
      </c>
      <c r="H42" s="333" t="s">
        <v>79</v>
      </c>
      <c r="I42" s="329">
        <v>15</v>
      </c>
      <c r="J42" s="37">
        <v>2400</v>
      </c>
      <c r="K42" s="17">
        <f t="shared" si="1"/>
        <v>160</v>
      </c>
      <c r="L42" s="329">
        <v>15</v>
      </c>
      <c r="M42" s="18">
        <f t="shared" si="24"/>
        <v>2288.2014388489197</v>
      </c>
      <c r="N42" s="17">
        <f t="shared" si="3"/>
        <v>152.54676258992797</v>
      </c>
      <c r="O42" s="19">
        <f t="shared" si="4"/>
        <v>0</v>
      </c>
      <c r="P42" s="20">
        <f t="shared" si="5"/>
        <v>-7.4532374100720347</v>
      </c>
      <c r="Q42" s="323">
        <f t="shared" si="6"/>
        <v>0.95341726618704981</v>
      </c>
      <c r="R42" s="489"/>
      <c r="S42" s="40">
        <v>0.49791666666666662</v>
      </c>
      <c r="T42" s="40">
        <v>0.59444444444444444</v>
      </c>
      <c r="U42" s="320">
        <f t="shared" si="26"/>
        <v>54.999999999999964</v>
      </c>
      <c r="V42" s="330">
        <f t="shared" si="25"/>
        <v>139.00000000000006</v>
      </c>
      <c r="W42" s="23"/>
      <c r="X42" s="23"/>
      <c r="Y42" s="23"/>
      <c r="Z42" s="23"/>
      <c r="AA42" s="491"/>
      <c r="AB42" s="491"/>
      <c r="AC42" s="154"/>
      <c r="AD42" s="25"/>
      <c r="AE42" s="19">
        <f t="shared" si="8"/>
        <v>-111.79856115108032</v>
      </c>
      <c r="AF42" s="323">
        <f t="shared" si="9"/>
        <v>0.95341726618704992</v>
      </c>
      <c r="AG42" s="489"/>
    </row>
    <row r="43" spans="1:33" ht="15.75" customHeight="1">
      <c r="A43" s="518" t="s">
        <v>60</v>
      </c>
      <c r="B43" s="42" t="s">
        <v>80</v>
      </c>
      <c r="C43" s="515" t="s">
        <v>81</v>
      </c>
      <c r="D43" s="515"/>
      <c r="E43" s="42">
        <v>31.29</v>
      </c>
      <c r="F43" s="331">
        <v>3537</v>
      </c>
      <c r="G43" s="320">
        <f t="shared" si="23"/>
        <v>110672.73</v>
      </c>
      <c r="H43" s="333" t="s">
        <v>79</v>
      </c>
      <c r="I43" s="329">
        <v>18</v>
      </c>
      <c r="J43" s="37">
        <v>2400</v>
      </c>
      <c r="K43" s="17">
        <f t="shared" si="1"/>
        <v>133.33333333333334</v>
      </c>
      <c r="L43" s="329">
        <v>18</v>
      </c>
      <c r="M43" s="18">
        <f t="shared" si="24"/>
        <v>2281.9354838709683</v>
      </c>
      <c r="N43" s="17">
        <f t="shared" si="3"/>
        <v>126.77419354838713</v>
      </c>
      <c r="O43" s="19">
        <f t="shared" si="4"/>
        <v>0</v>
      </c>
      <c r="P43" s="20">
        <f t="shared" si="5"/>
        <v>-6.5591397849462112</v>
      </c>
      <c r="Q43" s="323">
        <f t="shared" si="6"/>
        <v>0.95080645161290345</v>
      </c>
      <c r="R43" s="489"/>
      <c r="S43" s="40">
        <v>0.6</v>
      </c>
      <c r="T43" s="40">
        <v>0.6645833333333333</v>
      </c>
      <c r="U43" s="320">
        <f t="shared" si="26"/>
        <v>7.9999999999999716</v>
      </c>
      <c r="V43" s="330">
        <f t="shared" si="25"/>
        <v>92.999999999999986</v>
      </c>
      <c r="W43" s="23"/>
      <c r="X43" s="23"/>
      <c r="Y43" s="23"/>
      <c r="Z43" s="23"/>
      <c r="AA43" s="491"/>
      <c r="AB43" s="491"/>
      <c r="AC43" s="154"/>
      <c r="AD43" s="25"/>
      <c r="AE43" s="19">
        <f t="shared" si="8"/>
        <v>-118.06451612903174</v>
      </c>
      <c r="AF43" s="323">
        <f t="shared" si="9"/>
        <v>0.95080645161290345</v>
      </c>
      <c r="AG43" s="489"/>
    </row>
    <row r="44" spans="1:33" ht="15.75" customHeight="1">
      <c r="A44" s="518" t="s">
        <v>1863</v>
      </c>
      <c r="B44" s="42" t="s">
        <v>1865</v>
      </c>
      <c r="C44" s="494"/>
      <c r="D44" s="494"/>
      <c r="E44" s="324"/>
      <c r="F44" s="331"/>
      <c r="G44" s="320"/>
      <c r="H44" s="331"/>
      <c r="I44" s="30">
        <v>16.428571428571427</v>
      </c>
      <c r="J44" s="37">
        <v>2400</v>
      </c>
      <c r="K44" s="17">
        <f t="shared" si="1"/>
        <v>146.08695652173915</v>
      </c>
      <c r="L44" s="30">
        <v>16.428571428571427</v>
      </c>
      <c r="M44" s="18">
        <f>AVERAGE(M37:M43)</f>
        <v>2294.9940446647756</v>
      </c>
      <c r="N44" s="17">
        <f t="shared" si="3"/>
        <v>139.69528967524724</v>
      </c>
      <c r="O44" s="19">
        <f t="shared" si="4"/>
        <v>0</v>
      </c>
      <c r="P44" s="20">
        <f t="shared" si="5"/>
        <v>-6.3916668464919155</v>
      </c>
      <c r="Q44" s="323">
        <f t="shared" si="6"/>
        <v>0.9562475186103232</v>
      </c>
      <c r="R44" s="489"/>
      <c r="S44" s="40"/>
      <c r="T44" s="40"/>
      <c r="U44" s="320"/>
      <c r="V44" s="330"/>
      <c r="W44" s="320"/>
      <c r="X44" s="320"/>
      <c r="Y44" s="31">
        <f>SUM(Y37:Y43)</f>
        <v>0</v>
      </c>
      <c r="Z44" s="31">
        <f>SUM(Z37:Z43)</f>
        <v>0</v>
      </c>
      <c r="AA44" s="495"/>
      <c r="AB44" s="495"/>
      <c r="AC44" s="31">
        <v>9</v>
      </c>
      <c r="AD44" s="31">
        <f>SUM(AD37:AD43)</f>
        <v>0</v>
      </c>
      <c r="AE44" s="19">
        <f t="shared" si="8"/>
        <v>-105.00595533522437</v>
      </c>
      <c r="AF44" s="323">
        <f t="shared" si="9"/>
        <v>0.9562475186103232</v>
      </c>
      <c r="AG44" s="489"/>
    </row>
    <row r="45" spans="1:33" ht="15.75" customHeight="1">
      <c r="A45" s="516" t="s">
        <v>61</v>
      </c>
      <c r="B45" s="42" t="s">
        <v>80</v>
      </c>
      <c r="C45" s="490" t="s">
        <v>87</v>
      </c>
      <c r="D45" s="490"/>
      <c r="E45" s="42">
        <v>26.2</v>
      </c>
      <c r="F45" s="331">
        <v>4400</v>
      </c>
      <c r="G45" s="320">
        <f t="shared" ref="G45:G51" si="27">E45*F45</f>
        <v>115280</v>
      </c>
      <c r="H45" s="333">
        <v>2</v>
      </c>
      <c r="I45" s="329">
        <v>18</v>
      </c>
      <c r="J45" s="37">
        <v>2400</v>
      </c>
      <c r="K45" s="17">
        <f t="shared" si="1"/>
        <v>133.33333333333334</v>
      </c>
      <c r="L45" s="329">
        <v>18</v>
      </c>
      <c r="M45" s="18">
        <f t="shared" ref="M45:M51" si="28">F45/V45*60</f>
        <v>2295.652173913043</v>
      </c>
      <c r="N45" s="17">
        <f t="shared" si="3"/>
        <v>127.53623188405794</v>
      </c>
      <c r="O45" s="19">
        <f t="shared" si="4"/>
        <v>0</v>
      </c>
      <c r="P45" s="20">
        <f t="shared" si="5"/>
        <v>-5.7971014492754023</v>
      </c>
      <c r="Q45" s="323">
        <f t="shared" si="6"/>
        <v>0.95652173913043448</v>
      </c>
      <c r="R45" s="489">
        <f>Q52</f>
        <v>0.95773131449477267</v>
      </c>
      <c r="S45" s="40">
        <v>8.3333333333333329E-2</v>
      </c>
      <c r="T45" s="40">
        <v>0.16319444444444445</v>
      </c>
      <c r="U45" s="320"/>
      <c r="V45" s="330">
        <f t="shared" ref="V45:V51" si="29">(T45-S45)*24*60</f>
        <v>115.00000000000001</v>
      </c>
      <c r="W45" s="28">
        <f>T45</f>
        <v>0.16319444444444445</v>
      </c>
      <c r="X45" s="28">
        <f>S46</f>
        <v>0.18194444444444444</v>
      </c>
      <c r="Y45" s="28"/>
      <c r="Z45" s="28"/>
      <c r="AA45" s="491"/>
      <c r="AB45" s="491"/>
      <c r="AC45" s="154">
        <v>7</v>
      </c>
      <c r="AD45" s="25"/>
      <c r="AE45" s="19">
        <f t="shared" si="8"/>
        <v>-104.34782608695696</v>
      </c>
      <c r="AF45" s="323">
        <f t="shared" si="9"/>
        <v>0.95652173913043459</v>
      </c>
      <c r="AG45" s="489">
        <f>AF52</f>
        <v>0.95773131449477267</v>
      </c>
    </row>
    <row r="46" spans="1:33" ht="15.75" customHeight="1">
      <c r="A46" s="516" t="s">
        <v>61</v>
      </c>
      <c r="B46" s="42" t="s">
        <v>80</v>
      </c>
      <c r="C46" s="490" t="s">
        <v>88</v>
      </c>
      <c r="D46" s="490"/>
      <c r="E46" s="42">
        <v>26.18</v>
      </c>
      <c r="F46" s="331">
        <v>2368</v>
      </c>
      <c r="G46" s="320">
        <f t="shared" si="27"/>
        <v>61994.239999999998</v>
      </c>
      <c r="H46" s="333" t="s">
        <v>79</v>
      </c>
      <c r="I46" s="329">
        <v>19</v>
      </c>
      <c r="J46" s="37">
        <v>2400</v>
      </c>
      <c r="K46" s="17">
        <f t="shared" si="1"/>
        <v>126.31578947368421</v>
      </c>
      <c r="L46" s="329">
        <v>19</v>
      </c>
      <c r="M46" s="18">
        <f t="shared" si="28"/>
        <v>2291.6129032258059</v>
      </c>
      <c r="N46" s="17">
        <f t="shared" si="3"/>
        <v>120.61120543293715</v>
      </c>
      <c r="O46" s="19">
        <f t="shared" si="4"/>
        <v>0</v>
      </c>
      <c r="P46" s="20">
        <f t="shared" si="5"/>
        <v>-5.7045840407470507</v>
      </c>
      <c r="Q46" s="323">
        <f t="shared" si="6"/>
        <v>0.95483870967741913</v>
      </c>
      <c r="R46" s="489"/>
      <c r="S46" s="40">
        <v>0.18194444444444444</v>
      </c>
      <c r="T46" s="40">
        <v>0.22500000000000001</v>
      </c>
      <c r="U46" s="320">
        <f t="shared" ref="U46:U51" si="30">(S46-T45)*24*60</f>
        <v>26.999999999999986</v>
      </c>
      <c r="V46" s="330">
        <f t="shared" si="29"/>
        <v>62.000000000000021</v>
      </c>
      <c r="W46" s="320"/>
      <c r="X46" s="320"/>
      <c r="Y46" s="320"/>
      <c r="Z46" s="320"/>
      <c r="AA46" s="491"/>
      <c r="AB46" s="491"/>
      <c r="AC46" s="154"/>
      <c r="AD46" s="25"/>
      <c r="AE46" s="19">
        <f t="shared" si="8"/>
        <v>-108.38709677419411</v>
      </c>
      <c r="AF46" s="323">
        <f t="shared" si="9"/>
        <v>0.95483870967741913</v>
      </c>
      <c r="AG46" s="489"/>
    </row>
    <row r="47" spans="1:33">
      <c r="A47" s="517" t="s">
        <v>61</v>
      </c>
      <c r="B47" s="42" t="s">
        <v>80</v>
      </c>
      <c r="C47" s="490" t="s">
        <v>89</v>
      </c>
      <c r="D47" s="490"/>
      <c r="E47" s="42">
        <v>26.39</v>
      </c>
      <c r="F47" s="331">
        <v>5406</v>
      </c>
      <c r="G47" s="320">
        <f t="shared" si="27"/>
        <v>142664.34</v>
      </c>
      <c r="H47" s="333" t="s">
        <v>79</v>
      </c>
      <c r="I47" s="329">
        <v>19</v>
      </c>
      <c r="J47" s="37">
        <v>2400</v>
      </c>
      <c r="K47" s="17">
        <f t="shared" si="1"/>
        <v>126.31578947368421</v>
      </c>
      <c r="L47" s="329">
        <v>19</v>
      </c>
      <c r="M47" s="18">
        <f t="shared" si="28"/>
        <v>2284.2253521126768</v>
      </c>
      <c r="N47" s="17">
        <f t="shared" si="3"/>
        <v>120.22238695329878</v>
      </c>
      <c r="O47" s="19">
        <f t="shared" si="4"/>
        <v>0</v>
      </c>
      <c r="P47" s="20">
        <f t="shared" si="5"/>
        <v>-6.0934025203854247</v>
      </c>
      <c r="Q47" s="323">
        <f t="shared" si="6"/>
        <v>0.95176056338028203</v>
      </c>
      <c r="R47" s="489"/>
      <c r="S47" s="40">
        <v>0.23055555555555557</v>
      </c>
      <c r="T47" s="40">
        <v>0.32916666666666666</v>
      </c>
      <c r="U47" s="320">
        <f t="shared" si="30"/>
        <v>8.0000000000000107</v>
      </c>
      <c r="V47" s="330">
        <f t="shared" si="29"/>
        <v>141.99999999999997</v>
      </c>
      <c r="W47" s="320"/>
      <c r="X47" s="320"/>
      <c r="Y47" s="320"/>
      <c r="Z47" s="320"/>
      <c r="AA47" s="491"/>
      <c r="AB47" s="491"/>
      <c r="AC47" s="154"/>
      <c r="AD47" s="25"/>
      <c r="AE47" s="19">
        <f t="shared" si="8"/>
        <v>-115.77464788732323</v>
      </c>
      <c r="AF47" s="323">
        <f t="shared" si="9"/>
        <v>0.95176056338028203</v>
      </c>
      <c r="AG47" s="489"/>
    </row>
    <row r="48" spans="1:33">
      <c r="A48" s="517" t="s">
        <v>61</v>
      </c>
      <c r="B48" s="42" t="s">
        <v>80</v>
      </c>
      <c r="C48" s="490" t="s">
        <v>85</v>
      </c>
      <c r="D48" s="490"/>
      <c r="E48" s="42">
        <v>25.98</v>
      </c>
      <c r="F48" s="331">
        <v>3123</v>
      </c>
      <c r="G48" s="320">
        <f t="shared" si="27"/>
        <v>81135.540000000008</v>
      </c>
      <c r="H48" s="333" t="s">
        <v>79</v>
      </c>
      <c r="I48" s="329">
        <v>21</v>
      </c>
      <c r="J48" s="37">
        <v>2400</v>
      </c>
      <c r="K48" s="17">
        <f t="shared" si="1"/>
        <v>114.28571428571429</v>
      </c>
      <c r="L48" s="329">
        <v>21</v>
      </c>
      <c r="M48" s="18">
        <f t="shared" si="28"/>
        <v>2285.1219512195112</v>
      </c>
      <c r="N48" s="17">
        <f t="shared" si="3"/>
        <v>108.81533101045291</v>
      </c>
      <c r="O48" s="19">
        <f t="shared" si="4"/>
        <v>0</v>
      </c>
      <c r="P48" s="20">
        <f t="shared" si="5"/>
        <v>-5.4703832752613835</v>
      </c>
      <c r="Q48" s="323">
        <f t="shared" si="6"/>
        <v>0.95213414634146287</v>
      </c>
      <c r="R48" s="489"/>
      <c r="S48" s="40">
        <v>0.33333333333333331</v>
      </c>
      <c r="T48" s="40">
        <v>0.39027777777777778</v>
      </c>
      <c r="U48" s="320">
        <f t="shared" si="30"/>
        <v>5.9999999999999787</v>
      </c>
      <c r="V48" s="330">
        <f t="shared" si="29"/>
        <v>82.000000000000028</v>
      </c>
      <c r="W48" s="23"/>
      <c r="X48" s="23"/>
      <c r="Y48" s="23"/>
      <c r="Z48" s="23"/>
      <c r="AA48" s="491"/>
      <c r="AB48" s="491"/>
      <c r="AC48" s="154"/>
      <c r="AD48" s="25"/>
      <c r="AE48" s="19">
        <f t="shared" si="8"/>
        <v>-114.87804878048883</v>
      </c>
      <c r="AF48" s="323">
        <f t="shared" si="9"/>
        <v>0.95213414634146298</v>
      </c>
      <c r="AG48" s="489"/>
    </row>
    <row r="49" spans="1:33">
      <c r="A49" s="517" t="s">
        <v>61</v>
      </c>
      <c r="B49" s="42" t="s">
        <v>80</v>
      </c>
      <c r="C49" s="490" t="s">
        <v>117</v>
      </c>
      <c r="D49" s="490"/>
      <c r="E49" s="42">
        <v>24.43</v>
      </c>
      <c r="F49" s="331">
        <v>2500</v>
      </c>
      <c r="G49" s="320">
        <f t="shared" si="27"/>
        <v>61075</v>
      </c>
      <c r="H49" s="333">
        <v>2</v>
      </c>
      <c r="I49" s="329">
        <v>14</v>
      </c>
      <c r="J49" s="37">
        <v>2400</v>
      </c>
      <c r="K49" s="17">
        <f t="shared" si="1"/>
        <v>171.42857142857142</v>
      </c>
      <c r="L49" s="329">
        <v>14</v>
      </c>
      <c r="M49" s="18">
        <f t="shared" si="28"/>
        <v>2307.6923076923072</v>
      </c>
      <c r="N49" s="17">
        <f t="shared" si="3"/>
        <v>164.83516483516479</v>
      </c>
      <c r="O49" s="19">
        <f t="shared" si="4"/>
        <v>0</v>
      </c>
      <c r="P49" s="20">
        <f t="shared" si="5"/>
        <v>-6.5934065934066268</v>
      </c>
      <c r="Q49" s="323">
        <f t="shared" si="6"/>
        <v>0.96153846153846134</v>
      </c>
      <c r="R49" s="489"/>
      <c r="S49" s="40">
        <v>0.39444444444444443</v>
      </c>
      <c r="T49" s="40">
        <v>0.43958333333333333</v>
      </c>
      <c r="U49" s="320">
        <f t="shared" si="30"/>
        <v>5.9999999999999787</v>
      </c>
      <c r="V49" s="330">
        <f t="shared" si="29"/>
        <v>65.000000000000014</v>
      </c>
      <c r="W49" s="23">
        <f>T49</f>
        <v>0.43958333333333333</v>
      </c>
      <c r="X49" s="23">
        <f>S50</f>
        <v>0.47916666666666663</v>
      </c>
      <c r="Y49" s="23"/>
      <c r="Z49" s="23"/>
      <c r="AA49" s="491"/>
      <c r="AB49" s="491"/>
      <c r="AC49" s="154"/>
      <c r="AD49" s="25"/>
      <c r="AE49" s="19">
        <f t="shared" si="8"/>
        <v>-92.307692307692832</v>
      </c>
      <c r="AF49" s="323">
        <f t="shared" si="9"/>
        <v>0.96153846153846134</v>
      </c>
      <c r="AG49" s="489"/>
    </row>
    <row r="50" spans="1:33">
      <c r="A50" s="517" t="s">
        <v>61</v>
      </c>
      <c r="B50" s="42" t="s">
        <v>80</v>
      </c>
      <c r="C50" s="490" t="s">
        <v>117</v>
      </c>
      <c r="D50" s="490"/>
      <c r="E50" s="42">
        <v>24.43</v>
      </c>
      <c r="F50" s="331">
        <v>3276</v>
      </c>
      <c r="G50" s="320">
        <f t="shared" si="27"/>
        <v>80032.679999999993</v>
      </c>
      <c r="H50" s="333" t="s">
        <v>79</v>
      </c>
      <c r="I50" s="329">
        <v>14</v>
      </c>
      <c r="J50" s="37">
        <v>2400</v>
      </c>
      <c r="K50" s="17">
        <f t="shared" si="1"/>
        <v>171.42857142857142</v>
      </c>
      <c r="L50" s="329">
        <v>14</v>
      </c>
      <c r="M50" s="18">
        <f t="shared" si="28"/>
        <v>2285.5813953488368</v>
      </c>
      <c r="N50" s="17">
        <f t="shared" si="3"/>
        <v>163.25581395348834</v>
      </c>
      <c r="O50" s="19">
        <f t="shared" si="4"/>
        <v>0</v>
      </c>
      <c r="P50" s="20">
        <f t="shared" si="5"/>
        <v>-8.172757475083074</v>
      </c>
      <c r="Q50" s="323">
        <f t="shared" si="6"/>
        <v>0.95232558139534873</v>
      </c>
      <c r="R50" s="489"/>
      <c r="S50" s="40">
        <v>0.47916666666666663</v>
      </c>
      <c r="T50" s="40">
        <v>0.53888888888888886</v>
      </c>
      <c r="U50" s="320">
        <f t="shared" si="30"/>
        <v>56.999999999999957</v>
      </c>
      <c r="V50" s="330">
        <f t="shared" si="29"/>
        <v>86.000000000000014</v>
      </c>
      <c r="W50" s="23"/>
      <c r="X50" s="23"/>
      <c r="Y50" s="23"/>
      <c r="Z50" s="23"/>
      <c r="AA50" s="491"/>
      <c r="AB50" s="491"/>
      <c r="AC50" s="154"/>
      <c r="AD50" s="25"/>
      <c r="AE50" s="19">
        <f t="shared" si="8"/>
        <v>-114.41860465116315</v>
      </c>
      <c r="AF50" s="323">
        <f t="shared" si="9"/>
        <v>0.95232558139534873</v>
      </c>
      <c r="AG50" s="489"/>
    </row>
    <row r="51" spans="1:33">
      <c r="A51" s="517" t="s">
        <v>61</v>
      </c>
      <c r="B51" s="42" t="s">
        <v>80</v>
      </c>
      <c r="C51" s="490" t="s">
        <v>87</v>
      </c>
      <c r="D51" s="490"/>
      <c r="E51" s="42">
        <v>26.2</v>
      </c>
      <c r="F51" s="331">
        <v>1404</v>
      </c>
      <c r="G51" s="320">
        <f t="shared" si="27"/>
        <v>36784.799999999996</v>
      </c>
      <c r="H51" s="333" t="s">
        <v>79</v>
      </c>
      <c r="I51" s="329">
        <v>18</v>
      </c>
      <c r="J51" s="37">
        <v>2400</v>
      </c>
      <c r="K51" s="17">
        <f t="shared" si="1"/>
        <v>133.33333333333334</v>
      </c>
      <c r="L51" s="329">
        <v>18</v>
      </c>
      <c r="M51" s="18">
        <f t="shared" si="28"/>
        <v>2339.9999999999982</v>
      </c>
      <c r="N51" s="17">
        <f t="shared" si="3"/>
        <v>129.99999999999989</v>
      </c>
      <c r="O51" s="19">
        <f t="shared" si="4"/>
        <v>0</v>
      </c>
      <c r="P51" s="20">
        <f t="shared" si="5"/>
        <v>-3.3333333333334565</v>
      </c>
      <c r="Q51" s="323">
        <f t="shared" si="6"/>
        <v>0.97499999999999909</v>
      </c>
      <c r="R51" s="489"/>
      <c r="S51" s="40">
        <v>0.54374999999999996</v>
      </c>
      <c r="T51" s="40">
        <v>0.56874999999999998</v>
      </c>
      <c r="U51" s="320">
        <f t="shared" si="30"/>
        <v>6.9999999999999751</v>
      </c>
      <c r="V51" s="330">
        <f t="shared" si="29"/>
        <v>36.000000000000028</v>
      </c>
      <c r="W51" s="23"/>
      <c r="X51" s="23"/>
      <c r="Y51" s="26"/>
      <c r="Z51" s="26"/>
      <c r="AA51" s="503"/>
      <c r="AB51" s="504"/>
      <c r="AC51" s="154"/>
      <c r="AD51" s="25"/>
      <c r="AE51" s="19">
        <f t="shared" si="8"/>
        <v>-60.000000000001819</v>
      </c>
      <c r="AF51" s="323">
        <f t="shared" si="9"/>
        <v>0.9749999999999992</v>
      </c>
      <c r="AG51" s="489"/>
    </row>
    <row r="52" spans="1:33">
      <c r="A52" s="517" t="s">
        <v>61</v>
      </c>
      <c r="B52" s="44" t="s">
        <v>49</v>
      </c>
      <c r="C52" s="494"/>
      <c r="D52" s="494"/>
      <c r="E52" s="324"/>
      <c r="F52" s="44"/>
      <c r="G52" s="17"/>
      <c r="H52" s="331"/>
      <c r="I52" s="30">
        <v>17.571428571428573</v>
      </c>
      <c r="J52" s="37">
        <v>2400</v>
      </c>
      <c r="K52" s="17">
        <f t="shared" si="1"/>
        <v>136.58536585365852</v>
      </c>
      <c r="L52" s="30">
        <v>17.571428571428573</v>
      </c>
      <c r="M52" s="18">
        <f>AVERAGE(M45:M51)</f>
        <v>2298.5551547874543</v>
      </c>
      <c r="N52" s="17">
        <f t="shared" si="3"/>
        <v>130.81208197977381</v>
      </c>
      <c r="O52" s="19">
        <f t="shared" si="4"/>
        <v>0</v>
      </c>
      <c r="P52" s="20">
        <f t="shared" si="5"/>
        <v>-5.7732838738847079</v>
      </c>
      <c r="Q52" s="323">
        <f t="shared" si="6"/>
        <v>0.95773131449477267</v>
      </c>
      <c r="R52" s="489"/>
      <c r="S52" s="40"/>
      <c r="T52" s="40"/>
      <c r="U52" s="17"/>
      <c r="V52" s="330"/>
      <c r="W52" s="17"/>
      <c r="X52" s="17"/>
      <c r="Y52" s="31">
        <f>SUM(Y45:Y51)</f>
        <v>0</v>
      </c>
      <c r="Z52" s="31">
        <f>SUM(Z45:Z51)</f>
        <v>0</v>
      </c>
      <c r="AA52" s="495"/>
      <c r="AB52" s="495"/>
      <c r="AC52" s="31">
        <v>7</v>
      </c>
      <c r="AD52" s="31">
        <f>SUM(AD45:AD51)</f>
        <v>0</v>
      </c>
      <c r="AE52" s="19">
        <f t="shared" si="8"/>
        <v>-101.44484521254572</v>
      </c>
      <c r="AF52" s="323">
        <f t="shared" si="9"/>
        <v>0.95773131449477267</v>
      </c>
      <c r="AG52" s="489"/>
    </row>
    <row r="53" spans="1:33" ht="15.75" customHeight="1">
      <c r="A53" s="512" t="s">
        <v>65</v>
      </c>
      <c r="B53" s="42" t="s">
        <v>93</v>
      </c>
      <c r="C53" s="501" t="s">
        <v>94</v>
      </c>
      <c r="D53" s="502"/>
      <c r="E53" s="42">
        <v>21.13</v>
      </c>
      <c r="F53" s="331">
        <v>4342</v>
      </c>
      <c r="G53" s="320">
        <f t="shared" ref="G53:G61" si="31">E53*F53</f>
        <v>91746.459999999992</v>
      </c>
      <c r="H53" s="333" t="s">
        <v>79</v>
      </c>
      <c r="I53" s="329">
        <v>10</v>
      </c>
      <c r="J53" s="37">
        <v>3000</v>
      </c>
      <c r="K53" s="17">
        <f t="shared" si="1"/>
        <v>300</v>
      </c>
      <c r="L53" s="329">
        <v>10</v>
      </c>
      <c r="M53" s="18">
        <f t="shared" ref="M53:M61" si="32">F53/V53*60</f>
        <v>2862.8571428571436</v>
      </c>
      <c r="N53" s="18">
        <f t="shared" si="3"/>
        <v>286.28571428571433</v>
      </c>
      <c r="O53" s="19">
        <f t="shared" si="4"/>
        <v>0</v>
      </c>
      <c r="P53" s="20">
        <f t="shared" si="5"/>
        <v>-13.714285714285666</v>
      </c>
      <c r="Q53" s="323">
        <f t="shared" si="6"/>
        <v>0.9542857142857144</v>
      </c>
      <c r="R53" s="509">
        <f>Q62</f>
        <v>0.95698807378139839</v>
      </c>
      <c r="S53" s="40">
        <v>8.3333333333333329E-2</v>
      </c>
      <c r="T53" s="40">
        <v>0.14652777777777776</v>
      </c>
      <c r="U53" s="28"/>
      <c r="V53" s="330">
        <f t="shared" ref="V53:V61" si="33">(T53-S53)*24*60</f>
        <v>90.999999999999972</v>
      </c>
      <c r="W53" s="23">
        <f>T53</f>
        <v>0.14652777777777776</v>
      </c>
      <c r="X53" s="23">
        <f>S54</f>
        <v>0.16597222222222219</v>
      </c>
      <c r="Y53" s="26"/>
      <c r="Z53" s="26"/>
      <c r="AA53" s="503"/>
      <c r="AB53" s="504"/>
      <c r="AC53" s="154" t="s">
        <v>79</v>
      </c>
      <c r="AD53" s="25"/>
      <c r="AE53" s="19">
        <f t="shared" si="8"/>
        <v>-137.14285714285643</v>
      </c>
      <c r="AF53" s="323">
        <f t="shared" si="9"/>
        <v>0.95428571428571451</v>
      </c>
      <c r="AG53" s="509">
        <f>AF62</f>
        <v>0.95698807378139839</v>
      </c>
    </row>
    <row r="54" spans="1:33" ht="15.75" customHeight="1">
      <c r="A54" s="513" t="s">
        <v>1866</v>
      </c>
      <c r="B54" s="42" t="s">
        <v>93</v>
      </c>
      <c r="C54" s="501" t="s">
        <v>95</v>
      </c>
      <c r="D54" s="502"/>
      <c r="E54" s="42">
        <v>27.17</v>
      </c>
      <c r="F54" s="331">
        <v>4000</v>
      </c>
      <c r="G54" s="320">
        <f t="shared" si="31"/>
        <v>108680</v>
      </c>
      <c r="H54" s="333">
        <v>2</v>
      </c>
      <c r="I54" s="329">
        <v>10</v>
      </c>
      <c r="J54" s="37">
        <v>3000</v>
      </c>
      <c r="K54" s="17">
        <f t="shared" si="1"/>
        <v>300</v>
      </c>
      <c r="L54" s="329">
        <v>10</v>
      </c>
      <c r="M54" s="18">
        <f t="shared" si="32"/>
        <v>2857.1428571428578</v>
      </c>
      <c r="N54" s="18">
        <f t="shared" si="3"/>
        <v>285.71428571428578</v>
      </c>
      <c r="O54" s="19">
        <f t="shared" si="4"/>
        <v>0</v>
      </c>
      <c r="P54" s="20">
        <f t="shared" si="5"/>
        <v>-14.285714285714221</v>
      </c>
      <c r="Q54" s="323">
        <f t="shared" si="6"/>
        <v>0.95238095238095255</v>
      </c>
      <c r="R54" s="510"/>
      <c r="S54" s="40">
        <v>0.16597222222222219</v>
      </c>
      <c r="T54" s="40">
        <v>0.22430555555555551</v>
      </c>
      <c r="U54" s="320">
        <f t="shared" ref="U54:U61" si="34">(S54-T53)*24*60</f>
        <v>27.999999999999979</v>
      </c>
      <c r="V54" s="330">
        <f t="shared" si="33"/>
        <v>83.999999999999986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-142.85714285714221</v>
      </c>
      <c r="AF54" s="323">
        <f t="shared" si="9"/>
        <v>0.95238095238095255</v>
      </c>
      <c r="AG54" s="510"/>
    </row>
    <row r="55" spans="1:33" ht="15.75" customHeight="1">
      <c r="A55" s="513" t="s">
        <v>65</v>
      </c>
      <c r="B55" s="42" t="s">
        <v>93</v>
      </c>
      <c r="C55" s="501" t="s">
        <v>96</v>
      </c>
      <c r="D55" s="502"/>
      <c r="E55" s="42">
        <v>35.119999999999997</v>
      </c>
      <c r="F55" s="331">
        <v>2100</v>
      </c>
      <c r="G55" s="320">
        <f t="shared" si="31"/>
        <v>73752</v>
      </c>
      <c r="H55" s="333">
        <v>2</v>
      </c>
      <c r="I55" s="329">
        <v>10</v>
      </c>
      <c r="J55" s="37">
        <v>3000</v>
      </c>
      <c r="K55" s="17">
        <f t="shared" si="1"/>
        <v>300</v>
      </c>
      <c r="L55" s="329">
        <v>10</v>
      </c>
      <c r="M55" s="18">
        <f t="shared" si="32"/>
        <v>2863.6363636363662</v>
      </c>
      <c r="N55" s="18">
        <f t="shared" si="3"/>
        <v>286.3636363636366</v>
      </c>
      <c r="O55" s="19">
        <f t="shared" si="4"/>
        <v>0</v>
      </c>
      <c r="P55" s="20">
        <f t="shared" si="5"/>
        <v>-13.636363636363399</v>
      </c>
      <c r="Q55" s="323">
        <f t="shared" si="6"/>
        <v>0.95454545454545536</v>
      </c>
      <c r="R55" s="510"/>
      <c r="S55" s="40">
        <v>0.22777777777777772</v>
      </c>
      <c r="T55" s="40">
        <v>0.25833333333333325</v>
      </c>
      <c r="U55" s="320">
        <f t="shared" si="34"/>
        <v>4.9999999999999822</v>
      </c>
      <c r="V55" s="330">
        <f t="shared" si="33"/>
        <v>43.999999999999964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-136.36363636363376</v>
      </c>
      <c r="AF55" s="323">
        <f t="shared" si="9"/>
        <v>0.95454545454545536</v>
      </c>
      <c r="AG55" s="510"/>
    </row>
    <row r="56" spans="1:33" ht="15.75" customHeight="1">
      <c r="A56" s="513" t="s">
        <v>65</v>
      </c>
      <c r="B56" s="42" t="s">
        <v>93</v>
      </c>
      <c r="C56" s="501" t="s">
        <v>110</v>
      </c>
      <c r="D56" s="502"/>
      <c r="E56" s="42">
        <v>26.78</v>
      </c>
      <c r="F56" s="331">
        <v>2300</v>
      </c>
      <c r="G56" s="320">
        <f t="shared" si="31"/>
        <v>61594</v>
      </c>
      <c r="H56" s="333" t="s">
        <v>79</v>
      </c>
      <c r="I56" s="329">
        <v>10</v>
      </c>
      <c r="J56" s="37">
        <v>3000</v>
      </c>
      <c r="K56" s="17">
        <f t="shared" si="1"/>
        <v>300</v>
      </c>
      <c r="L56" s="329">
        <v>10</v>
      </c>
      <c r="M56" s="18">
        <f t="shared" si="32"/>
        <v>2875.0000000000009</v>
      </c>
      <c r="N56" s="18">
        <f t="shared" si="3"/>
        <v>287.50000000000011</v>
      </c>
      <c r="O56" s="19">
        <f t="shared" si="4"/>
        <v>0</v>
      </c>
      <c r="P56" s="20">
        <f t="shared" si="5"/>
        <v>-12.499999999999886</v>
      </c>
      <c r="Q56" s="323">
        <f t="shared" si="6"/>
        <v>0.9583333333333337</v>
      </c>
      <c r="R56" s="510"/>
      <c r="S56" s="40">
        <v>0.26388888888888878</v>
      </c>
      <c r="T56" s="40">
        <v>0.29722222222222211</v>
      </c>
      <c r="U56" s="320">
        <f t="shared" si="34"/>
        <v>7.9999999999999716</v>
      </c>
      <c r="V56" s="330">
        <f t="shared" si="33"/>
        <v>47.999999999999986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-124.99999999999909</v>
      </c>
      <c r="AF56" s="323">
        <f t="shared" si="9"/>
        <v>0.95833333333333359</v>
      </c>
      <c r="AG56" s="510"/>
    </row>
    <row r="57" spans="1:33" ht="15.75" customHeight="1">
      <c r="A57" s="513" t="s">
        <v>1867</v>
      </c>
      <c r="B57" s="42" t="s">
        <v>93</v>
      </c>
      <c r="C57" s="501" t="s">
        <v>99</v>
      </c>
      <c r="D57" s="502"/>
      <c r="E57" s="42">
        <v>32.020000000000003</v>
      </c>
      <c r="F57" s="331">
        <v>1972</v>
      </c>
      <c r="G57" s="320">
        <f t="shared" si="31"/>
        <v>63143.44000000001</v>
      </c>
      <c r="H57" s="333" t="s">
        <v>79</v>
      </c>
      <c r="I57" s="329">
        <v>11</v>
      </c>
      <c r="J57" s="37">
        <v>3000</v>
      </c>
      <c r="K57" s="17">
        <f t="shared" si="1"/>
        <v>272.72727272727275</v>
      </c>
      <c r="L57" s="329">
        <v>11</v>
      </c>
      <c r="M57" s="18">
        <f t="shared" si="32"/>
        <v>2885.8536585365841</v>
      </c>
      <c r="N57" s="18">
        <f t="shared" si="3"/>
        <v>262.35033259423494</v>
      </c>
      <c r="O57" s="19">
        <f t="shared" si="4"/>
        <v>0</v>
      </c>
      <c r="P57" s="20">
        <f t="shared" si="5"/>
        <v>-10.376940133037806</v>
      </c>
      <c r="Q57" s="323">
        <f t="shared" si="6"/>
        <v>0.96195121951219476</v>
      </c>
      <c r="R57" s="510"/>
      <c r="S57" s="40">
        <v>0.30277777777777765</v>
      </c>
      <c r="T57" s="40">
        <v>0.33124999999999988</v>
      </c>
      <c r="U57" s="320">
        <f t="shared" si="34"/>
        <v>7.9999999999999716</v>
      </c>
      <c r="V57" s="330">
        <f t="shared" si="33"/>
        <v>41.000000000000014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-114.14634146341587</v>
      </c>
      <c r="AF57" s="323">
        <f t="shared" si="9"/>
        <v>0.96195121951219476</v>
      </c>
      <c r="AG57" s="510"/>
    </row>
    <row r="58" spans="1:33" ht="15.75" customHeight="1">
      <c r="A58" s="513" t="s">
        <v>65</v>
      </c>
      <c r="B58" s="42" t="s">
        <v>93</v>
      </c>
      <c r="C58" s="501" t="s">
        <v>112</v>
      </c>
      <c r="D58" s="502"/>
      <c r="E58" s="42">
        <v>35.869999999999997</v>
      </c>
      <c r="F58" s="331">
        <v>2881</v>
      </c>
      <c r="G58" s="320">
        <f t="shared" si="31"/>
        <v>103341.46999999999</v>
      </c>
      <c r="H58" s="333" t="s">
        <v>79</v>
      </c>
      <c r="I58" s="329">
        <v>9</v>
      </c>
      <c r="J58" s="37">
        <v>3000</v>
      </c>
      <c r="K58" s="17">
        <f t="shared" si="1"/>
        <v>333.33333333333331</v>
      </c>
      <c r="L58" s="329">
        <v>9</v>
      </c>
      <c r="M58" s="18">
        <f t="shared" si="32"/>
        <v>2880.9999999999986</v>
      </c>
      <c r="N58" s="18">
        <f t="shared" si="3"/>
        <v>320.11111111111097</v>
      </c>
      <c r="O58" s="19">
        <f t="shared" si="4"/>
        <v>0</v>
      </c>
      <c r="P58" s="20">
        <f t="shared" si="5"/>
        <v>-13.222222222222342</v>
      </c>
      <c r="Q58" s="323">
        <f t="shared" si="6"/>
        <v>0.96033333333333293</v>
      </c>
      <c r="R58" s="510"/>
      <c r="S58" s="40">
        <v>0.33541666666666653</v>
      </c>
      <c r="T58" s="40">
        <v>0.37708333333333321</v>
      </c>
      <c r="U58" s="320">
        <f t="shared" si="34"/>
        <v>5.9999999999999787</v>
      </c>
      <c r="V58" s="330">
        <f t="shared" si="33"/>
        <v>60.000000000000028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-119.00000000000136</v>
      </c>
      <c r="AF58" s="323">
        <f t="shared" si="9"/>
        <v>0.96033333333333293</v>
      </c>
      <c r="AG58" s="510"/>
    </row>
    <row r="59" spans="1:33" ht="15.75" customHeight="1">
      <c r="A59" s="513" t="s">
        <v>65</v>
      </c>
      <c r="B59" s="42" t="s">
        <v>93</v>
      </c>
      <c r="C59" s="501" t="s">
        <v>1778</v>
      </c>
      <c r="D59" s="502"/>
      <c r="E59" s="42">
        <v>42.09</v>
      </c>
      <c r="F59" s="331">
        <v>6024</v>
      </c>
      <c r="G59" s="320">
        <f t="shared" si="31"/>
        <v>253550.16000000003</v>
      </c>
      <c r="H59" s="333" t="s">
        <v>79</v>
      </c>
      <c r="I59" s="329">
        <v>10</v>
      </c>
      <c r="J59" s="37">
        <v>3000</v>
      </c>
      <c r="K59" s="17">
        <f t="shared" si="1"/>
        <v>300</v>
      </c>
      <c r="L59" s="329">
        <v>10</v>
      </c>
      <c r="M59" s="18">
        <f t="shared" si="32"/>
        <v>2868.5714285714275</v>
      </c>
      <c r="N59" s="18">
        <f t="shared" si="3"/>
        <v>286.85714285714278</v>
      </c>
      <c r="O59" s="19">
        <f t="shared" si="4"/>
        <v>0</v>
      </c>
      <c r="P59" s="20">
        <f t="shared" si="5"/>
        <v>-13.142857142857224</v>
      </c>
      <c r="Q59" s="323">
        <f t="shared" si="6"/>
        <v>0.95619047619047592</v>
      </c>
      <c r="R59" s="510"/>
      <c r="S59" s="40">
        <v>0.38194444444444431</v>
      </c>
      <c r="T59" s="40">
        <v>0.46944444444444433</v>
      </c>
      <c r="U59" s="320">
        <f t="shared" si="34"/>
        <v>6.9999999999999751</v>
      </c>
      <c r="V59" s="330">
        <f t="shared" si="33"/>
        <v>126.00000000000003</v>
      </c>
      <c r="W59" s="23">
        <f>T59</f>
        <v>0.46944444444444433</v>
      </c>
      <c r="X59" s="23">
        <f>S60</f>
        <v>0.50833333333333319</v>
      </c>
      <c r="Y59" s="26"/>
      <c r="Z59" s="26"/>
      <c r="AA59" s="503"/>
      <c r="AB59" s="504"/>
      <c r="AC59" s="154">
        <v>1</v>
      </c>
      <c r="AD59" s="25"/>
      <c r="AE59" s="19">
        <f t="shared" si="8"/>
        <v>-131.42857142857247</v>
      </c>
      <c r="AF59" s="323">
        <f t="shared" si="9"/>
        <v>0.95619047619047581</v>
      </c>
      <c r="AG59" s="510"/>
    </row>
    <row r="60" spans="1:33" ht="15.75" customHeight="1">
      <c r="A60" s="513" t="s">
        <v>65</v>
      </c>
      <c r="B60" s="42" t="s">
        <v>93</v>
      </c>
      <c r="C60" s="501" t="s">
        <v>95</v>
      </c>
      <c r="D60" s="502"/>
      <c r="E60" s="42">
        <v>27.17</v>
      </c>
      <c r="F60" s="331">
        <v>1811</v>
      </c>
      <c r="G60" s="320">
        <f t="shared" si="31"/>
        <v>49204.87</v>
      </c>
      <c r="H60" s="333" t="s">
        <v>79</v>
      </c>
      <c r="I60" s="329">
        <v>10</v>
      </c>
      <c r="J60" s="37">
        <v>3000</v>
      </c>
      <c r="K60" s="17">
        <f t="shared" si="1"/>
        <v>300</v>
      </c>
      <c r="L60" s="329">
        <v>10</v>
      </c>
      <c r="M60" s="18">
        <f t="shared" si="32"/>
        <v>2859.473684210524</v>
      </c>
      <c r="N60" s="18">
        <f t="shared" si="3"/>
        <v>285.94736842105237</v>
      </c>
      <c r="O60" s="19">
        <f t="shared" si="4"/>
        <v>0</v>
      </c>
      <c r="P60" s="20">
        <f t="shared" si="5"/>
        <v>-14.052631578947626</v>
      </c>
      <c r="Q60" s="323">
        <f t="shared" si="6"/>
        <v>0.9531578947368412</v>
      </c>
      <c r="R60" s="510"/>
      <c r="S60" s="40">
        <v>0.50833333333333319</v>
      </c>
      <c r="T60" s="40">
        <v>0.5347222222222221</v>
      </c>
      <c r="U60" s="320">
        <f t="shared" si="34"/>
        <v>55.999999999999957</v>
      </c>
      <c r="V60" s="330">
        <f t="shared" si="33"/>
        <v>38.000000000000028</v>
      </c>
      <c r="W60" s="23"/>
      <c r="X60" s="23"/>
      <c r="Y60" s="26"/>
      <c r="Z60" s="26"/>
      <c r="AA60" s="503"/>
      <c r="AB60" s="504"/>
      <c r="AC60" s="154" t="s">
        <v>79</v>
      </c>
      <c r="AD60" s="25"/>
      <c r="AE60" s="19">
        <f t="shared" si="8"/>
        <v>-140.52631578947603</v>
      </c>
      <c r="AF60" s="323">
        <f t="shared" si="9"/>
        <v>0.95315789473684132</v>
      </c>
      <c r="AG60" s="510"/>
    </row>
    <row r="61" spans="1:33" ht="15.75" customHeight="1">
      <c r="A61" s="513" t="s">
        <v>65</v>
      </c>
      <c r="B61" s="42" t="s">
        <v>93</v>
      </c>
      <c r="C61" s="501" t="s">
        <v>96</v>
      </c>
      <c r="D61" s="502"/>
      <c r="E61" s="42">
        <v>35.119999999999997</v>
      </c>
      <c r="F61" s="331">
        <v>1683</v>
      </c>
      <c r="G61" s="320">
        <f t="shared" si="31"/>
        <v>59106.96</v>
      </c>
      <c r="H61" s="333" t="s">
        <v>79</v>
      </c>
      <c r="I61" s="329">
        <v>10</v>
      </c>
      <c r="J61" s="37">
        <v>3000</v>
      </c>
      <c r="K61" s="17">
        <f t="shared" si="1"/>
        <v>300</v>
      </c>
      <c r="L61" s="329">
        <v>10</v>
      </c>
      <c r="M61" s="18">
        <f t="shared" si="32"/>
        <v>2885.1428571428542</v>
      </c>
      <c r="N61" s="18">
        <f t="shared" si="3"/>
        <v>288.51428571428539</v>
      </c>
      <c r="O61" s="19">
        <f t="shared" si="4"/>
        <v>0</v>
      </c>
      <c r="P61" s="20">
        <f t="shared" si="5"/>
        <v>-11.485714285714607</v>
      </c>
      <c r="Q61" s="323">
        <f t="shared" si="6"/>
        <v>0.96171428571428463</v>
      </c>
      <c r="R61" s="510"/>
      <c r="S61" s="40">
        <v>0.53888888888888875</v>
      </c>
      <c r="T61" s="40">
        <v>0.56319444444444433</v>
      </c>
      <c r="U61" s="320">
        <f t="shared" si="34"/>
        <v>5.9999999999999787</v>
      </c>
      <c r="V61" s="330">
        <f t="shared" si="33"/>
        <v>35.000000000000036</v>
      </c>
      <c r="W61" s="23"/>
      <c r="X61" s="23"/>
      <c r="Y61" s="26"/>
      <c r="Z61" s="26"/>
      <c r="AA61" s="503"/>
      <c r="AB61" s="504"/>
      <c r="AC61" s="154" t="s">
        <v>79</v>
      </c>
      <c r="AD61" s="25"/>
      <c r="AE61" s="19">
        <f t="shared" si="8"/>
        <v>-114.85714285714585</v>
      </c>
      <c r="AF61" s="323">
        <f t="shared" si="9"/>
        <v>0.96171428571428474</v>
      </c>
      <c r="AG61" s="510"/>
    </row>
    <row r="62" spans="1:33" ht="15.75" customHeight="1">
      <c r="A62" s="514" t="s">
        <v>65</v>
      </c>
      <c r="B62" s="42" t="s">
        <v>49</v>
      </c>
      <c r="C62" s="492"/>
      <c r="D62" s="493"/>
      <c r="E62" s="321"/>
      <c r="F62" s="331"/>
      <c r="G62" s="320"/>
      <c r="H62" s="331"/>
      <c r="I62" s="30">
        <v>10</v>
      </c>
      <c r="J62" s="37">
        <v>3000</v>
      </c>
      <c r="K62" s="17">
        <f t="shared" si="1"/>
        <v>300</v>
      </c>
      <c r="L62" s="30">
        <v>10</v>
      </c>
      <c r="M62" s="18">
        <f>AVERAGE(M53:M61)</f>
        <v>2870.9642213441953</v>
      </c>
      <c r="N62" s="17">
        <f t="shared" si="3"/>
        <v>287.09642213441953</v>
      </c>
      <c r="O62" s="19">
        <f t="shared" si="4"/>
        <v>0</v>
      </c>
      <c r="P62" s="20">
        <f t="shared" si="5"/>
        <v>-12.903577865580473</v>
      </c>
      <c r="Q62" s="323">
        <f t="shared" si="6"/>
        <v>0.95698807378139839</v>
      </c>
      <c r="R62" s="511"/>
      <c r="S62" s="40"/>
      <c r="T62" s="40"/>
      <c r="U62" s="320"/>
      <c r="V62" s="330"/>
      <c r="W62" s="23"/>
      <c r="X62" s="23"/>
      <c r="Y62" s="31">
        <f>SUM(Y53:Y61)</f>
        <v>0</v>
      </c>
      <c r="Z62" s="31">
        <f>SUM(Z53:Z61)</f>
        <v>0</v>
      </c>
      <c r="AA62" s="505"/>
      <c r="AB62" s="506"/>
      <c r="AC62" s="31">
        <v>1</v>
      </c>
      <c r="AD62" s="31">
        <f>SUM(AD53:AD61)</f>
        <v>0</v>
      </c>
      <c r="AE62" s="19">
        <f t="shared" si="8"/>
        <v>-129.03577865580473</v>
      </c>
      <c r="AF62" s="323">
        <f t="shared" si="9"/>
        <v>0.95698807378139839</v>
      </c>
      <c r="AG62" s="511"/>
    </row>
    <row r="63" spans="1:33" ht="15.75" customHeight="1">
      <c r="A63" s="507" t="s">
        <v>67</v>
      </c>
      <c r="B63" s="42" t="s">
        <v>100</v>
      </c>
      <c r="C63" s="490" t="s">
        <v>101</v>
      </c>
      <c r="D63" s="490"/>
      <c r="E63" s="42">
        <v>46</v>
      </c>
      <c r="F63" s="46">
        <v>1609</v>
      </c>
      <c r="G63" s="320">
        <f t="shared" ref="G63:G71" si="35">E63*F63</f>
        <v>74014</v>
      </c>
      <c r="H63" s="333" t="s">
        <v>79</v>
      </c>
      <c r="I63" s="329">
        <v>17</v>
      </c>
      <c r="J63" s="37">
        <v>2000</v>
      </c>
      <c r="K63" s="17">
        <f t="shared" si="1"/>
        <v>117.64705882352941</v>
      </c>
      <c r="L63" s="329">
        <v>17</v>
      </c>
      <c r="M63" s="18">
        <f t="shared" ref="M63:M71" si="36">F63/V63*60</f>
        <v>1930.799999999999</v>
      </c>
      <c r="N63" s="18">
        <f t="shared" si="3"/>
        <v>113.57647058823524</v>
      </c>
      <c r="O63" s="19">
        <f t="shared" si="4"/>
        <v>0</v>
      </c>
      <c r="P63" s="20">
        <f t="shared" si="5"/>
        <v>-4.0705882352941671</v>
      </c>
      <c r="Q63" s="323">
        <f t="shared" si="6"/>
        <v>0.96539999999999959</v>
      </c>
      <c r="R63" s="489">
        <f>Q72</f>
        <v>0.94307886107446992</v>
      </c>
      <c r="S63" s="40">
        <v>0.20833333333333334</v>
      </c>
      <c r="T63" s="40">
        <v>0.24305555555555558</v>
      </c>
      <c r="U63" s="28"/>
      <c r="V63" s="330">
        <f t="shared" ref="V63:V71" si="37">(T63-S63)*24*60</f>
        <v>50.000000000000021</v>
      </c>
      <c r="W63" s="28"/>
      <c r="X63" s="28"/>
      <c r="Y63" s="28"/>
      <c r="Z63" s="28"/>
      <c r="AA63" s="491"/>
      <c r="AB63" s="491"/>
      <c r="AC63" s="154">
        <v>5</v>
      </c>
      <c r="AD63" s="25"/>
      <c r="AE63" s="19">
        <f t="shared" si="8"/>
        <v>-69.200000000000955</v>
      </c>
      <c r="AF63" s="323">
        <f t="shared" si="9"/>
        <v>0.96539999999999948</v>
      </c>
      <c r="AG63" s="489">
        <f>AF72</f>
        <v>0.94307886107446992</v>
      </c>
    </row>
    <row r="64" spans="1:33" ht="15.75" customHeight="1">
      <c r="A64" s="507" t="s">
        <v>67</v>
      </c>
      <c r="B64" s="42" t="s">
        <v>100</v>
      </c>
      <c r="C64" s="490" t="s">
        <v>102</v>
      </c>
      <c r="D64" s="490"/>
      <c r="E64" s="42">
        <v>46</v>
      </c>
      <c r="F64" s="46">
        <v>1720</v>
      </c>
      <c r="G64" s="320">
        <f t="shared" si="35"/>
        <v>79120</v>
      </c>
      <c r="H64" s="333" t="s">
        <v>79</v>
      </c>
      <c r="I64" s="329">
        <v>17</v>
      </c>
      <c r="J64" s="37">
        <v>2000</v>
      </c>
      <c r="K64" s="17">
        <f t="shared" si="1"/>
        <v>117.64705882352941</v>
      </c>
      <c r="L64" s="329">
        <v>17</v>
      </c>
      <c r="M64" s="18">
        <f t="shared" si="36"/>
        <v>1911.1111111111122</v>
      </c>
      <c r="N64" s="18">
        <f t="shared" si="3"/>
        <v>112.41830065359484</v>
      </c>
      <c r="O64" s="19">
        <f t="shared" si="4"/>
        <v>0</v>
      </c>
      <c r="P64" s="20">
        <f t="shared" si="5"/>
        <v>-5.2287581699345651</v>
      </c>
      <c r="Q64" s="323">
        <f t="shared" si="6"/>
        <v>0.95555555555555616</v>
      </c>
      <c r="R64" s="489"/>
      <c r="S64" s="40">
        <v>0.24652777777777779</v>
      </c>
      <c r="T64" s="40">
        <v>0.28402777777777777</v>
      </c>
      <c r="U64" s="320">
        <f t="shared" ref="U64:U71" si="38">IF(S64=TIME(17,0,0),"",(S64-T63)*24*60)</f>
        <v>4.9999999999999822</v>
      </c>
      <c r="V64" s="330">
        <f t="shared" si="37"/>
        <v>53.999999999999972</v>
      </c>
      <c r="W64" s="23"/>
      <c r="X64" s="23"/>
      <c r="Y64" s="23"/>
      <c r="Z64" s="23"/>
      <c r="AA64" s="491"/>
      <c r="AB64" s="491"/>
      <c r="AC64" s="154"/>
      <c r="AD64" s="25"/>
      <c r="AE64" s="19">
        <f t="shared" si="8"/>
        <v>-88.888888888887777</v>
      </c>
      <c r="AF64" s="323">
        <f t="shared" si="9"/>
        <v>0.95555555555555616</v>
      </c>
      <c r="AG64" s="489"/>
    </row>
    <row r="65" spans="1:33" ht="15.75" customHeight="1">
      <c r="A65" s="507" t="s">
        <v>1868</v>
      </c>
      <c r="B65" s="42" t="s">
        <v>103</v>
      </c>
      <c r="C65" s="501" t="s">
        <v>105</v>
      </c>
      <c r="D65" s="502"/>
      <c r="E65" s="42">
        <v>56.43</v>
      </c>
      <c r="F65" s="46">
        <v>1630</v>
      </c>
      <c r="G65" s="320">
        <f t="shared" si="35"/>
        <v>91980.9</v>
      </c>
      <c r="H65" s="333" t="s">
        <v>79</v>
      </c>
      <c r="I65" s="329">
        <v>22</v>
      </c>
      <c r="J65" s="37">
        <v>2000</v>
      </c>
      <c r="K65" s="17">
        <f t="shared" si="1"/>
        <v>90.909090909090907</v>
      </c>
      <c r="L65" s="329">
        <v>22</v>
      </c>
      <c r="M65" s="18">
        <f t="shared" si="36"/>
        <v>1778.1818181818194</v>
      </c>
      <c r="N65" s="18">
        <f t="shared" si="3"/>
        <v>80.826446280991789</v>
      </c>
      <c r="O65" s="19">
        <f t="shared" si="4"/>
        <v>0</v>
      </c>
      <c r="P65" s="20">
        <f t="shared" si="5"/>
        <v>-10.082644628099118</v>
      </c>
      <c r="Q65" s="323">
        <f t="shared" si="6"/>
        <v>0.88909090909090971</v>
      </c>
      <c r="R65" s="489"/>
      <c r="S65" s="40">
        <v>0.2895833333333333</v>
      </c>
      <c r="T65" s="40">
        <v>0.32777777777777772</v>
      </c>
      <c r="U65" s="320">
        <f t="shared" si="38"/>
        <v>7.9999999999999716</v>
      </c>
      <c r="V65" s="330">
        <f t="shared" si="37"/>
        <v>54.999999999999964</v>
      </c>
      <c r="W65" s="23"/>
      <c r="X65" s="23"/>
      <c r="Y65" s="26"/>
      <c r="Z65" s="26"/>
      <c r="AA65" s="491"/>
      <c r="AB65" s="491"/>
      <c r="AC65" s="154"/>
      <c r="AD65" s="25"/>
      <c r="AE65" s="19">
        <f t="shared" si="8"/>
        <v>-221.81818181818062</v>
      </c>
      <c r="AF65" s="323">
        <f t="shared" si="9"/>
        <v>0.88909090909090971</v>
      </c>
      <c r="AG65" s="489"/>
    </row>
    <row r="66" spans="1:33" ht="15.75" customHeight="1">
      <c r="A66" s="507" t="s">
        <v>67</v>
      </c>
      <c r="B66" s="42" t="s">
        <v>103</v>
      </c>
      <c r="C66" s="325" t="s">
        <v>518</v>
      </c>
      <c r="D66" s="326"/>
      <c r="E66" s="42">
        <v>51.75</v>
      </c>
      <c r="F66" s="46">
        <v>1751</v>
      </c>
      <c r="G66" s="320">
        <f t="shared" si="35"/>
        <v>90614.25</v>
      </c>
      <c r="H66" s="333" t="s">
        <v>79</v>
      </c>
      <c r="I66" s="329">
        <v>25</v>
      </c>
      <c r="J66" s="37">
        <v>2000</v>
      </c>
      <c r="K66" s="17">
        <f t="shared" si="1"/>
        <v>80</v>
      </c>
      <c r="L66" s="329">
        <v>25</v>
      </c>
      <c r="M66" s="18">
        <f t="shared" si="36"/>
        <v>1722.2950819672126</v>
      </c>
      <c r="N66" s="18">
        <f t="shared" si="3"/>
        <v>68.891803278688499</v>
      </c>
      <c r="O66" s="19">
        <f t="shared" si="4"/>
        <v>0</v>
      </c>
      <c r="P66" s="20">
        <f t="shared" si="5"/>
        <v>-11.108196721311501</v>
      </c>
      <c r="Q66" s="323">
        <f t="shared" si="6"/>
        <v>0.86114754098360624</v>
      </c>
      <c r="R66" s="489"/>
      <c r="S66" s="40">
        <v>0.33194444444444438</v>
      </c>
      <c r="T66" s="40">
        <v>0.3743055555555555</v>
      </c>
      <c r="U66" s="320">
        <f t="shared" si="38"/>
        <v>5.9999999999999787</v>
      </c>
      <c r="V66" s="330">
        <f t="shared" si="37"/>
        <v>61.000000000000021</v>
      </c>
      <c r="W66" s="23"/>
      <c r="X66" s="23"/>
      <c r="Y66" s="26"/>
      <c r="Z66" s="26"/>
      <c r="AA66" s="491"/>
      <c r="AB66" s="491"/>
      <c r="AC66" s="154"/>
      <c r="AD66" s="25"/>
      <c r="AE66" s="19">
        <f t="shared" si="8"/>
        <v>-277.70491803278742</v>
      </c>
      <c r="AF66" s="323">
        <f t="shared" si="9"/>
        <v>0.86114754098360624</v>
      </c>
      <c r="AG66" s="489"/>
    </row>
    <row r="67" spans="1:33" ht="15.75" customHeight="1">
      <c r="A67" s="507" t="s">
        <v>67</v>
      </c>
      <c r="B67" s="42" t="s">
        <v>103</v>
      </c>
      <c r="C67" s="325" t="s">
        <v>1781</v>
      </c>
      <c r="D67" s="326"/>
      <c r="E67" s="42">
        <v>51.62</v>
      </c>
      <c r="F67" s="46">
        <v>3187</v>
      </c>
      <c r="G67" s="320">
        <f t="shared" si="35"/>
        <v>164512.94</v>
      </c>
      <c r="H67" s="333" t="s">
        <v>79</v>
      </c>
      <c r="I67" s="329">
        <v>19</v>
      </c>
      <c r="J67" s="37">
        <v>1700</v>
      </c>
      <c r="K67" s="17">
        <f t="shared" si="1"/>
        <v>89.473684210526315</v>
      </c>
      <c r="L67" s="329">
        <v>19</v>
      </c>
      <c r="M67" s="18">
        <f t="shared" si="36"/>
        <v>1620.5084745762715</v>
      </c>
      <c r="N67" s="18">
        <f t="shared" si="3"/>
        <v>85.289919714540602</v>
      </c>
      <c r="O67" s="19">
        <f t="shared" si="4"/>
        <v>0</v>
      </c>
      <c r="P67" s="20">
        <f t="shared" si="5"/>
        <v>-4.183764495985713</v>
      </c>
      <c r="Q67" s="323">
        <f t="shared" si="6"/>
        <v>0.95324027916251264</v>
      </c>
      <c r="R67" s="489"/>
      <c r="S67" s="40">
        <v>0.3791666666666666</v>
      </c>
      <c r="T67" s="40">
        <v>0.46111111111111103</v>
      </c>
      <c r="U67" s="320">
        <f t="shared" si="38"/>
        <v>6.9999999999999751</v>
      </c>
      <c r="V67" s="330">
        <f t="shared" si="37"/>
        <v>117.99999999999999</v>
      </c>
      <c r="W67" s="23"/>
      <c r="X67" s="23"/>
      <c r="Y67" s="26"/>
      <c r="Z67" s="26"/>
      <c r="AA67" s="491"/>
      <c r="AB67" s="491"/>
      <c r="AC67" s="154"/>
      <c r="AD67" s="25"/>
      <c r="AE67" s="19">
        <f t="shared" si="8"/>
        <v>-79.49152542372849</v>
      </c>
      <c r="AF67" s="323">
        <f t="shared" si="9"/>
        <v>0.95324027916251264</v>
      </c>
      <c r="AG67" s="489"/>
    </row>
    <row r="68" spans="1:33" ht="15.75" customHeight="1">
      <c r="A68" s="507" t="s">
        <v>67</v>
      </c>
      <c r="B68" s="42" t="s">
        <v>103</v>
      </c>
      <c r="C68" s="501" t="s">
        <v>106</v>
      </c>
      <c r="D68" s="502"/>
      <c r="E68" s="42">
        <v>55.56</v>
      </c>
      <c r="F68" s="46">
        <v>1744</v>
      </c>
      <c r="G68" s="320">
        <f t="shared" si="35"/>
        <v>96896.639999999999</v>
      </c>
      <c r="H68" s="333" t="s">
        <v>79</v>
      </c>
      <c r="I68" s="329">
        <v>17</v>
      </c>
      <c r="J68" s="37">
        <v>2000</v>
      </c>
      <c r="K68" s="17">
        <f t="shared" si="1"/>
        <v>117.64705882352941</v>
      </c>
      <c r="L68" s="329">
        <v>17</v>
      </c>
      <c r="M68" s="18">
        <f t="shared" si="36"/>
        <v>1937.7777777777787</v>
      </c>
      <c r="N68" s="18">
        <f t="shared" si="3"/>
        <v>113.98692810457521</v>
      </c>
      <c r="O68" s="19">
        <f t="shared" si="4"/>
        <v>0</v>
      </c>
      <c r="P68" s="20">
        <f t="shared" si="5"/>
        <v>-3.6601307189541927</v>
      </c>
      <c r="Q68" s="323">
        <f t="shared" si="6"/>
        <v>0.96888888888888935</v>
      </c>
      <c r="R68" s="489"/>
      <c r="S68" s="40">
        <v>0.70833333333333337</v>
      </c>
      <c r="T68" s="40">
        <v>0.74583333333333335</v>
      </c>
      <c r="U68" s="320" t="str">
        <f t="shared" si="38"/>
        <v/>
      </c>
      <c r="V68" s="330">
        <f t="shared" si="37"/>
        <v>53.999999999999972</v>
      </c>
      <c r="W68" s="23"/>
      <c r="X68" s="23"/>
      <c r="Y68" s="26"/>
      <c r="Z68" s="26"/>
      <c r="AA68" s="503"/>
      <c r="AB68" s="504"/>
      <c r="AC68" s="154"/>
      <c r="AD68" s="25"/>
      <c r="AE68" s="19">
        <f t="shared" si="8"/>
        <v>-62.222222222221262</v>
      </c>
      <c r="AF68" s="323">
        <f t="shared" si="9"/>
        <v>0.96888888888888935</v>
      </c>
      <c r="AG68" s="489"/>
    </row>
    <row r="69" spans="1:33" ht="15.75" customHeight="1">
      <c r="A69" s="507" t="s">
        <v>67</v>
      </c>
      <c r="B69" s="42" t="s">
        <v>103</v>
      </c>
      <c r="C69" s="501" t="s">
        <v>107</v>
      </c>
      <c r="D69" s="502"/>
      <c r="E69" s="42">
        <v>55.32</v>
      </c>
      <c r="F69" s="46">
        <v>1233</v>
      </c>
      <c r="G69" s="320">
        <f t="shared" si="35"/>
        <v>68209.56</v>
      </c>
      <c r="H69" s="333" t="s">
        <v>79</v>
      </c>
      <c r="I69" s="329">
        <v>15</v>
      </c>
      <c r="J69" s="37">
        <v>2000</v>
      </c>
      <c r="K69" s="17">
        <f t="shared" ref="K69:K84" si="39">J69/I69</f>
        <v>133.33333333333334</v>
      </c>
      <c r="L69" s="329">
        <v>15</v>
      </c>
      <c r="M69" s="18">
        <f t="shared" si="36"/>
        <v>1946.8421052631566</v>
      </c>
      <c r="N69" s="18">
        <f t="shared" ref="N69:N84" si="40">M69/L69</f>
        <v>129.78947368421044</v>
      </c>
      <c r="O69" s="19">
        <f t="shared" ref="O69:O84" si="41">L69-I69</f>
        <v>0</v>
      </c>
      <c r="P69" s="20">
        <f t="shared" ref="P69:P84" si="42">N69-K69</f>
        <v>-3.5438596491229077</v>
      </c>
      <c r="Q69" s="323">
        <f t="shared" ref="Q69:Q84" si="43">N69/K69</f>
        <v>0.97342105263157819</v>
      </c>
      <c r="R69" s="489"/>
      <c r="S69" s="40">
        <v>0.74930555555555556</v>
      </c>
      <c r="T69" s="40">
        <v>0.77569444444444446</v>
      </c>
      <c r="U69" s="320">
        <f t="shared" si="38"/>
        <v>4.9999999999999822</v>
      </c>
      <c r="V69" s="330">
        <f t="shared" si="37"/>
        <v>38.000000000000028</v>
      </c>
      <c r="W69" s="23"/>
      <c r="X69" s="23"/>
      <c r="Y69" s="26"/>
      <c r="Z69" s="26"/>
      <c r="AA69" s="503"/>
      <c r="AB69" s="504"/>
      <c r="AC69" s="154"/>
      <c r="AD69" s="25"/>
      <c r="AE69" s="19">
        <f t="shared" ref="AE69:AE84" si="44">M69-J69</f>
        <v>-53.157894736843446</v>
      </c>
      <c r="AF69" s="323">
        <f t="shared" ref="AF69:AF84" si="45">M69/J69</f>
        <v>0.9734210526315783</v>
      </c>
      <c r="AG69" s="489"/>
    </row>
    <row r="70" spans="1:33" ht="15.75" customHeight="1">
      <c r="A70" s="507" t="s">
        <v>1868</v>
      </c>
      <c r="B70" s="42" t="s">
        <v>103</v>
      </c>
      <c r="C70" s="501" t="s">
        <v>108</v>
      </c>
      <c r="D70" s="502"/>
      <c r="E70" s="42">
        <v>54.29</v>
      </c>
      <c r="F70" s="46">
        <v>1979</v>
      </c>
      <c r="G70" s="320">
        <f t="shared" si="35"/>
        <v>107439.91</v>
      </c>
      <c r="H70" s="333" t="s">
        <v>79</v>
      </c>
      <c r="I70" s="329">
        <v>20</v>
      </c>
      <c r="J70" s="37">
        <v>2000</v>
      </c>
      <c r="K70" s="17">
        <f t="shared" si="39"/>
        <v>100</v>
      </c>
      <c r="L70" s="329">
        <v>20</v>
      </c>
      <c r="M70" s="18">
        <f t="shared" si="36"/>
        <v>1915.1612903225825</v>
      </c>
      <c r="N70" s="18">
        <f t="shared" si="40"/>
        <v>95.758064516129124</v>
      </c>
      <c r="O70" s="19">
        <f t="shared" si="41"/>
        <v>0</v>
      </c>
      <c r="P70" s="20">
        <f t="shared" si="42"/>
        <v>-4.2419354838708756</v>
      </c>
      <c r="Q70" s="323">
        <f t="shared" si="43"/>
        <v>0.95758064516129127</v>
      </c>
      <c r="R70" s="489"/>
      <c r="S70" s="40">
        <v>0.78055555555555556</v>
      </c>
      <c r="T70" s="40">
        <v>0.82361111111111107</v>
      </c>
      <c r="U70" s="320">
        <f t="shared" si="38"/>
        <v>6.9999999999999751</v>
      </c>
      <c r="V70" s="330">
        <f t="shared" si="37"/>
        <v>61.999999999999943</v>
      </c>
      <c r="W70" s="23">
        <f>T70</f>
        <v>0.82361111111111107</v>
      </c>
      <c r="X70" s="23">
        <f>S71</f>
        <v>0.86458333333333326</v>
      </c>
      <c r="Y70" s="26"/>
      <c r="Z70" s="26"/>
      <c r="AA70" s="503"/>
      <c r="AB70" s="504"/>
      <c r="AC70" s="154"/>
      <c r="AD70" s="25"/>
      <c r="AE70" s="19">
        <f t="shared" si="44"/>
        <v>-84.838709677417455</v>
      </c>
      <c r="AF70" s="323">
        <f t="shared" si="45"/>
        <v>0.95758064516129127</v>
      </c>
      <c r="AG70" s="489"/>
    </row>
    <row r="71" spans="1:33">
      <c r="A71" s="507" t="s">
        <v>67</v>
      </c>
      <c r="B71" s="42" t="s">
        <v>103</v>
      </c>
      <c r="C71" s="501" t="s">
        <v>1708</v>
      </c>
      <c r="D71" s="502"/>
      <c r="E71" s="42">
        <v>54.7</v>
      </c>
      <c r="F71" s="46">
        <v>1769</v>
      </c>
      <c r="G71" s="320">
        <f t="shared" si="35"/>
        <v>96764.3</v>
      </c>
      <c r="H71" s="333" t="s">
        <v>79</v>
      </c>
      <c r="I71" s="329">
        <v>15</v>
      </c>
      <c r="J71" s="37">
        <v>2000</v>
      </c>
      <c r="K71" s="17">
        <f t="shared" si="39"/>
        <v>133.33333333333334</v>
      </c>
      <c r="L71" s="329">
        <v>15</v>
      </c>
      <c r="M71" s="18">
        <f t="shared" si="36"/>
        <v>1929.8181818181831</v>
      </c>
      <c r="N71" s="18">
        <f t="shared" si="40"/>
        <v>128.65454545454554</v>
      </c>
      <c r="O71" s="19">
        <f t="shared" si="41"/>
        <v>0</v>
      </c>
      <c r="P71" s="20">
        <f t="shared" si="42"/>
        <v>-4.6787878787878014</v>
      </c>
      <c r="Q71" s="323">
        <f t="shared" si="43"/>
        <v>0.96490909090909149</v>
      </c>
      <c r="R71" s="489"/>
      <c r="S71" s="40">
        <v>0.86458333333333326</v>
      </c>
      <c r="T71" s="40">
        <v>0.90277777777777768</v>
      </c>
      <c r="U71" s="320">
        <f t="shared" si="38"/>
        <v>58.99999999999995</v>
      </c>
      <c r="V71" s="330">
        <f t="shared" si="37"/>
        <v>54.999999999999964</v>
      </c>
      <c r="W71" s="23"/>
      <c r="X71" s="23"/>
      <c r="Y71" s="26"/>
      <c r="Z71" s="26"/>
      <c r="AA71" s="503"/>
      <c r="AB71" s="504"/>
      <c r="AC71" s="154"/>
      <c r="AD71" s="25"/>
      <c r="AE71" s="19">
        <f t="shared" si="44"/>
        <v>-70.18181818181688</v>
      </c>
      <c r="AF71" s="323">
        <f t="shared" si="45"/>
        <v>0.9649090909090916</v>
      </c>
      <c r="AG71" s="489"/>
    </row>
    <row r="72" spans="1:33">
      <c r="A72" s="508" t="s">
        <v>1869</v>
      </c>
      <c r="B72" s="42" t="s">
        <v>49</v>
      </c>
      <c r="C72" s="494"/>
      <c r="D72" s="494"/>
      <c r="E72" s="324"/>
      <c r="F72" s="44"/>
      <c r="G72" s="17"/>
      <c r="H72" s="331"/>
      <c r="I72" s="30">
        <v>18.555555555555557</v>
      </c>
      <c r="J72" s="37">
        <v>1966.6666666666667</v>
      </c>
      <c r="K72" s="17">
        <f t="shared" si="39"/>
        <v>105.9880239520958</v>
      </c>
      <c r="L72" s="30">
        <v>18.555555555555557</v>
      </c>
      <c r="M72" s="18">
        <f>AVERAGE(M63:M71)</f>
        <v>1854.7217601131242</v>
      </c>
      <c r="N72" s="17">
        <f t="shared" si="40"/>
        <v>99.955064916276143</v>
      </c>
      <c r="O72" s="19">
        <f t="shared" si="41"/>
        <v>0</v>
      </c>
      <c r="P72" s="20">
        <f t="shared" si="42"/>
        <v>-6.0329590358196583</v>
      </c>
      <c r="Q72" s="323">
        <f t="shared" si="43"/>
        <v>0.94307886107446992</v>
      </c>
      <c r="R72" s="489"/>
      <c r="S72" s="41"/>
      <c r="T72" s="40"/>
      <c r="U72" s="17"/>
      <c r="V72" s="330"/>
      <c r="W72" s="17"/>
      <c r="X72" s="17"/>
      <c r="Y72" s="31">
        <f>SUM(Y63:Y71)</f>
        <v>0</v>
      </c>
      <c r="Z72" s="31">
        <f>SUM(Z63:Z71)</f>
        <v>0</v>
      </c>
      <c r="AA72" s="495"/>
      <c r="AB72" s="495"/>
      <c r="AC72" s="31">
        <v>5</v>
      </c>
      <c r="AD72" s="31">
        <f>SUM(AD63:AD71)</f>
        <v>0</v>
      </c>
      <c r="AE72" s="19">
        <f t="shared" si="44"/>
        <v>-111.94490655354252</v>
      </c>
      <c r="AF72" s="323">
        <f t="shared" si="45"/>
        <v>0.94307886107446992</v>
      </c>
      <c r="AG72" s="489"/>
    </row>
    <row r="73" spans="1:33" ht="15.75" customHeight="1">
      <c r="A73" s="499" t="s">
        <v>72</v>
      </c>
      <c r="B73" s="331" t="s">
        <v>93</v>
      </c>
      <c r="C73" s="490" t="s">
        <v>97</v>
      </c>
      <c r="D73" s="490"/>
      <c r="E73" s="42">
        <v>31</v>
      </c>
      <c r="F73" s="46">
        <v>1024</v>
      </c>
      <c r="G73" s="320">
        <f t="shared" ref="G73:G75" si="46">E73*F73</f>
        <v>31744</v>
      </c>
      <c r="H73" s="333" t="s">
        <v>79</v>
      </c>
      <c r="I73" s="329">
        <v>13</v>
      </c>
      <c r="J73" s="37">
        <v>2000</v>
      </c>
      <c r="K73" s="17">
        <f t="shared" si="39"/>
        <v>153.84615384615384</v>
      </c>
      <c r="L73" s="329">
        <v>13</v>
      </c>
      <c r="M73" s="18">
        <f t="shared" ref="M73:M75" si="47">F73/V73*60</f>
        <v>1919.9999999999995</v>
      </c>
      <c r="N73" s="17">
        <f t="shared" si="40"/>
        <v>147.69230769230765</v>
      </c>
      <c r="O73" s="19">
        <f t="shared" si="41"/>
        <v>0</v>
      </c>
      <c r="P73" s="20">
        <f t="shared" si="42"/>
        <v>-6.1538461538461888</v>
      </c>
      <c r="Q73" s="323">
        <f t="shared" si="43"/>
        <v>0.95999999999999974</v>
      </c>
      <c r="R73" s="489">
        <f>Q76</f>
        <v>0.96601190476190513</v>
      </c>
      <c r="S73" s="40">
        <v>0.20833333333333334</v>
      </c>
      <c r="T73" s="40">
        <v>0.23055555555555557</v>
      </c>
      <c r="U73" s="320"/>
      <c r="V73" s="330">
        <f t="shared" ref="V73:V75" si="48">(T73-S73)*24*60</f>
        <v>32.000000000000007</v>
      </c>
      <c r="W73" s="28"/>
      <c r="X73" s="28"/>
      <c r="Y73" s="28"/>
      <c r="Z73" s="28"/>
      <c r="AA73" s="491"/>
      <c r="AB73" s="491"/>
      <c r="AC73" s="154">
        <v>1</v>
      </c>
      <c r="AD73" s="25"/>
      <c r="AE73" s="19">
        <f t="shared" si="44"/>
        <v>-80.000000000000455</v>
      </c>
      <c r="AF73" s="323">
        <f t="shared" si="45"/>
        <v>0.95999999999999974</v>
      </c>
      <c r="AG73" s="489">
        <f>AF76</f>
        <v>0.96601190476190513</v>
      </c>
    </row>
    <row r="74" spans="1:33" ht="15.75" customHeight="1">
      <c r="A74" s="499" t="s">
        <v>1870</v>
      </c>
      <c r="B74" s="331" t="s">
        <v>93</v>
      </c>
      <c r="C74" s="490" t="s">
        <v>1235</v>
      </c>
      <c r="D74" s="490"/>
      <c r="E74" s="42">
        <v>37.85</v>
      </c>
      <c r="F74" s="46">
        <v>2314</v>
      </c>
      <c r="G74" s="320">
        <f t="shared" si="46"/>
        <v>87584.900000000009</v>
      </c>
      <c r="H74" s="333" t="s">
        <v>79</v>
      </c>
      <c r="I74" s="329">
        <v>12</v>
      </c>
      <c r="J74" s="37">
        <v>2000</v>
      </c>
      <c r="K74" s="17">
        <f t="shared" si="39"/>
        <v>166.66666666666666</v>
      </c>
      <c r="L74" s="329">
        <v>12</v>
      </c>
      <c r="M74" s="18">
        <f t="shared" si="47"/>
        <v>1928.3333333333328</v>
      </c>
      <c r="N74" s="17">
        <f t="shared" si="40"/>
        <v>160.6944444444444</v>
      </c>
      <c r="O74" s="19">
        <f t="shared" si="41"/>
        <v>0</v>
      </c>
      <c r="P74" s="20">
        <f t="shared" si="42"/>
        <v>-5.972222222222257</v>
      </c>
      <c r="Q74" s="323">
        <f t="shared" si="43"/>
        <v>0.96416666666666651</v>
      </c>
      <c r="R74" s="489"/>
      <c r="S74" s="40">
        <v>0.23541666666666669</v>
      </c>
      <c r="T74" s="40">
        <v>0.28541666666666671</v>
      </c>
      <c r="U74" s="320">
        <f t="shared" ref="U74:U75" si="49">(S74-T73)*24*60</f>
        <v>7.0000000000000151</v>
      </c>
      <c r="V74" s="330">
        <f t="shared" si="48"/>
        <v>72.000000000000028</v>
      </c>
      <c r="W74" s="320"/>
      <c r="X74" s="320"/>
      <c r="Y74" s="320"/>
      <c r="Z74" s="320"/>
      <c r="AA74" s="491"/>
      <c r="AB74" s="491"/>
      <c r="AC74" s="154"/>
      <c r="AD74" s="25"/>
      <c r="AE74" s="19">
        <f t="shared" si="44"/>
        <v>-71.666666666667197</v>
      </c>
      <c r="AF74" s="323">
        <f t="shared" si="45"/>
        <v>0.96416666666666639</v>
      </c>
      <c r="AG74" s="489"/>
    </row>
    <row r="75" spans="1:33" ht="15.75" customHeight="1">
      <c r="A75" s="499" t="s">
        <v>1870</v>
      </c>
      <c r="B75" s="331" t="s">
        <v>93</v>
      </c>
      <c r="C75" s="490" t="s">
        <v>113</v>
      </c>
      <c r="D75" s="490"/>
      <c r="E75" s="42">
        <v>34.36</v>
      </c>
      <c r="F75" s="46">
        <v>1554</v>
      </c>
      <c r="G75" s="320">
        <f t="shared" si="46"/>
        <v>53395.44</v>
      </c>
      <c r="H75" s="333" t="s">
        <v>79</v>
      </c>
      <c r="I75" s="329">
        <v>10</v>
      </c>
      <c r="J75" s="37">
        <v>3000</v>
      </c>
      <c r="K75" s="17">
        <f t="shared" si="39"/>
        <v>300</v>
      </c>
      <c r="L75" s="329">
        <v>10</v>
      </c>
      <c r="M75" s="18">
        <f t="shared" si="47"/>
        <v>2913.7500000000036</v>
      </c>
      <c r="N75" s="17">
        <f t="shared" si="40"/>
        <v>291.37500000000034</v>
      </c>
      <c r="O75" s="19">
        <f t="shared" si="41"/>
        <v>0</v>
      </c>
      <c r="P75" s="20">
        <f t="shared" si="42"/>
        <v>-8.6249999999996589</v>
      </c>
      <c r="Q75" s="323">
        <f t="shared" si="43"/>
        <v>0.97125000000000117</v>
      </c>
      <c r="R75" s="489"/>
      <c r="S75" s="40">
        <v>0.28888888888888892</v>
      </c>
      <c r="T75" s="40">
        <v>0.31111111111111112</v>
      </c>
      <c r="U75" s="320">
        <f t="shared" si="49"/>
        <v>4.9999999999999822</v>
      </c>
      <c r="V75" s="330">
        <f t="shared" si="48"/>
        <v>31.999999999999964</v>
      </c>
      <c r="W75" s="320"/>
      <c r="X75" s="320"/>
      <c r="Y75" s="320"/>
      <c r="Z75" s="320"/>
      <c r="AA75" s="491"/>
      <c r="AB75" s="491"/>
      <c r="AC75" s="154" t="s">
        <v>79</v>
      </c>
      <c r="AD75" s="25"/>
      <c r="AE75" s="19">
        <f t="shared" si="44"/>
        <v>-86.249999999996362</v>
      </c>
      <c r="AF75" s="323">
        <f t="shared" si="45"/>
        <v>0.97125000000000117</v>
      </c>
      <c r="AG75" s="489"/>
    </row>
    <row r="76" spans="1:33">
      <c r="A76" s="500" t="s">
        <v>72</v>
      </c>
      <c r="B76" s="42" t="s">
        <v>1871</v>
      </c>
      <c r="C76" s="494"/>
      <c r="D76" s="494"/>
      <c r="E76" s="324"/>
      <c r="F76" s="44"/>
      <c r="G76" s="17"/>
      <c r="H76" s="331"/>
      <c r="I76" s="30">
        <v>11.666666666666666</v>
      </c>
      <c r="J76" s="37">
        <v>2333.3333333333335</v>
      </c>
      <c r="K76" s="17">
        <f t="shared" si="39"/>
        <v>200.00000000000003</v>
      </c>
      <c r="L76" s="30">
        <v>11.666666666666666</v>
      </c>
      <c r="M76" s="18">
        <f>AVERAGE(M73:M75)</f>
        <v>2254.0277777777787</v>
      </c>
      <c r="N76" s="17">
        <f t="shared" si="40"/>
        <v>193.20238095238105</v>
      </c>
      <c r="O76" s="19">
        <f t="shared" si="41"/>
        <v>0</v>
      </c>
      <c r="P76" s="20">
        <f t="shared" si="42"/>
        <v>-6.7976190476189799</v>
      </c>
      <c r="Q76" s="323">
        <f t="shared" si="43"/>
        <v>0.96601190476190513</v>
      </c>
      <c r="R76" s="489"/>
      <c r="S76" s="40"/>
      <c r="T76" s="40"/>
      <c r="U76" s="17"/>
      <c r="V76" s="330"/>
      <c r="W76" s="17"/>
      <c r="X76" s="17"/>
      <c r="Y76" s="31">
        <f>SUM(Y73:Y75)</f>
        <v>0</v>
      </c>
      <c r="Z76" s="31">
        <f>SUM(Z73:Z75)</f>
        <v>0</v>
      </c>
      <c r="AA76" s="495"/>
      <c r="AB76" s="495"/>
      <c r="AC76" s="31">
        <v>1</v>
      </c>
      <c r="AD76" s="31">
        <f>SUM(AD73:AD75)</f>
        <v>0</v>
      </c>
      <c r="AE76" s="19">
        <f t="shared" si="44"/>
        <v>-79.305555555554747</v>
      </c>
      <c r="AF76" s="323">
        <f t="shared" si="45"/>
        <v>0.96601190476190513</v>
      </c>
      <c r="AG76" s="489"/>
    </row>
    <row r="77" spans="1:33" ht="15.75" customHeight="1">
      <c r="A77" s="496" t="s">
        <v>75</v>
      </c>
      <c r="B77" s="331" t="s">
        <v>80</v>
      </c>
      <c r="C77" s="490" t="s">
        <v>115</v>
      </c>
      <c r="D77" s="490"/>
      <c r="E77" s="42">
        <v>20.2</v>
      </c>
      <c r="F77" s="331">
        <v>2090</v>
      </c>
      <c r="G77" s="320">
        <f t="shared" ref="G77:G83" si="50">E77*F77</f>
        <v>42218</v>
      </c>
      <c r="H77" s="333" t="s">
        <v>79</v>
      </c>
      <c r="I77" s="329">
        <v>19</v>
      </c>
      <c r="J77" s="37">
        <v>2400</v>
      </c>
      <c r="K77" s="17">
        <f t="shared" si="39"/>
        <v>126.31578947368421</v>
      </c>
      <c r="L77" s="329">
        <v>19</v>
      </c>
      <c r="M77" s="18">
        <f t="shared" ref="M77:M83" si="51">F77/V77*60</f>
        <v>2322.2222222222231</v>
      </c>
      <c r="N77" s="17">
        <f t="shared" si="40"/>
        <v>122.22222222222227</v>
      </c>
      <c r="O77" s="19">
        <f t="shared" si="41"/>
        <v>0</v>
      </c>
      <c r="P77" s="20">
        <f t="shared" si="42"/>
        <v>-4.0935672514619341</v>
      </c>
      <c r="Q77" s="323">
        <f t="shared" si="43"/>
        <v>0.967592592592593</v>
      </c>
      <c r="R77" s="489">
        <f>Q84</f>
        <v>0.95842670408749631</v>
      </c>
      <c r="S77" s="40">
        <v>8.3333333333333329E-2</v>
      </c>
      <c r="T77" s="40">
        <v>0.12083333333333332</v>
      </c>
      <c r="U77" s="28"/>
      <c r="V77" s="330">
        <f t="shared" ref="V77:V83" si="52">(T77-S77)*24*60</f>
        <v>53.999999999999986</v>
      </c>
      <c r="W77" s="23">
        <f>T77</f>
        <v>0.12083333333333332</v>
      </c>
      <c r="X77" s="23">
        <f>S78</f>
        <v>0.14097222222222222</v>
      </c>
      <c r="Y77" s="23"/>
      <c r="Z77" s="23"/>
      <c r="AA77" s="491"/>
      <c r="AB77" s="491"/>
      <c r="AC77" s="154">
        <v>7</v>
      </c>
      <c r="AD77" s="25"/>
      <c r="AE77" s="19">
        <f t="shared" si="44"/>
        <v>-77.777777777776919</v>
      </c>
      <c r="AF77" s="323">
        <f t="shared" si="45"/>
        <v>0.967592592592593</v>
      </c>
      <c r="AG77" s="489">
        <f>AF84</f>
        <v>0.9584267040874962</v>
      </c>
    </row>
    <row r="78" spans="1:33" ht="15.75" customHeight="1">
      <c r="A78" s="497" t="s">
        <v>75</v>
      </c>
      <c r="B78" s="331" t="s">
        <v>80</v>
      </c>
      <c r="C78" s="490" t="s">
        <v>116</v>
      </c>
      <c r="D78" s="490"/>
      <c r="E78" s="42">
        <v>20.52</v>
      </c>
      <c r="F78" s="331">
        <v>2927</v>
      </c>
      <c r="G78" s="320">
        <f t="shared" si="50"/>
        <v>60062.04</v>
      </c>
      <c r="H78" s="333" t="s">
        <v>79</v>
      </c>
      <c r="I78" s="329">
        <v>18</v>
      </c>
      <c r="J78" s="37">
        <v>2400</v>
      </c>
      <c r="K78" s="17">
        <f t="shared" si="39"/>
        <v>133.33333333333334</v>
      </c>
      <c r="L78" s="329">
        <v>18</v>
      </c>
      <c r="M78" s="18">
        <f t="shared" si="51"/>
        <v>2310.78947368421</v>
      </c>
      <c r="N78" s="17">
        <f t="shared" si="40"/>
        <v>128.37719298245611</v>
      </c>
      <c r="O78" s="19">
        <f t="shared" si="41"/>
        <v>0</v>
      </c>
      <c r="P78" s="20">
        <f t="shared" si="42"/>
        <v>-4.9561403508772344</v>
      </c>
      <c r="Q78" s="323">
        <f t="shared" si="43"/>
        <v>0.96282894736842073</v>
      </c>
      <c r="R78" s="489"/>
      <c r="S78" s="40">
        <v>0.14097222222222222</v>
      </c>
      <c r="T78" s="40">
        <v>0.19375000000000001</v>
      </c>
      <c r="U78" s="320">
        <f t="shared" ref="U78:U83" si="53">(S78-T77)*24*60</f>
        <v>29.000000000000018</v>
      </c>
      <c r="V78" s="330">
        <f t="shared" si="52"/>
        <v>76.000000000000014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4"/>
        <v>-89.210526315790048</v>
      </c>
      <c r="AF78" s="323">
        <f t="shared" si="45"/>
        <v>0.96282894736842084</v>
      </c>
      <c r="AG78" s="489"/>
    </row>
    <row r="79" spans="1:33" ht="15.75" customHeight="1">
      <c r="A79" s="497" t="s">
        <v>75</v>
      </c>
      <c r="B79" s="331" t="s">
        <v>80</v>
      </c>
      <c r="C79" s="490" t="s">
        <v>84</v>
      </c>
      <c r="D79" s="490"/>
      <c r="E79" s="42">
        <v>20.52</v>
      </c>
      <c r="F79" s="331">
        <v>3927</v>
      </c>
      <c r="G79" s="320">
        <f t="shared" si="50"/>
        <v>80582.039999999994</v>
      </c>
      <c r="H79" s="333" t="s">
        <v>79</v>
      </c>
      <c r="I79" s="329">
        <v>18</v>
      </c>
      <c r="J79" s="37">
        <v>2400</v>
      </c>
      <c r="K79" s="17">
        <f t="shared" si="39"/>
        <v>133.33333333333334</v>
      </c>
      <c r="L79" s="329">
        <v>18</v>
      </c>
      <c r="M79" s="18">
        <f t="shared" si="51"/>
        <v>2287.5728155339802</v>
      </c>
      <c r="N79" s="17">
        <f t="shared" si="40"/>
        <v>127.08737864077668</v>
      </c>
      <c r="O79" s="19">
        <f t="shared" si="41"/>
        <v>0</v>
      </c>
      <c r="P79" s="20">
        <f t="shared" si="42"/>
        <v>-6.2459546925566656</v>
      </c>
      <c r="Q79" s="323">
        <f t="shared" si="43"/>
        <v>0.95315533980582501</v>
      </c>
      <c r="R79" s="489"/>
      <c r="S79" s="40">
        <v>0.19722222222222222</v>
      </c>
      <c r="T79" s="40">
        <v>0.26874999999999999</v>
      </c>
      <c r="U79" s="320">
        <f t="shared" si="53"/>
        <v>4.9999999999999822</v>
      </c>
      <c r="V79" s="330">
        <f t="shared" si="52"/>
        <v>103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-112.42718446601975</v>
      </c>
      <c r="AF79" s="323">
        <f t="shared" si="45"/>
        <v>0.95315533980582512</v>
      </c>
      <c r="AG79" s="489"/>
    </row>
    <row r="80" spans="1:33" ht="15.75" customHeight="1">
      <c r="A80" s="497" t="s">
        <v>75</v>
      </c>
      <c r="B80" s="331" t="s">
        <v>80</v>
      </c>
      <c r="C80" s="490" t="s">
        <v>91</v>
      </c>
      <c r="D80" s="490"/>
      <c r="E80" s="42">
        <v>24.45</v>
      </c>
      <c r="F80" s="331">
        <v>2489</v>
      </c>
      <c r="G80" s="320">
        <f t="shared" si="50"/>
        <v>60856.049999999996</v>
      </c>
      <c r="H80" s="333" t="s">
        <v>79</v>
      </c>
      <c r="I80" s="329">
        <v>20</v>
      </c>
      <c r="J80" s="37">
        <v>2400</v>
      </c>
      <c r="K80" s="17">
        <f t="shared" si="39"/>
        <v>120</v>
      </c>
      <c r="L80" s="329">
        <v>20</v>
      </c>
      <c r="M80" s="18">
        <f t="shared" si="51"/>
        <v>2297.538461538461</v>
      </c>
      <c r="N80" s="17">
        <f t="shared" si="40"/>
        <v>114.87692307692305</v>
      </c>
      <c r="O80" s="19">
        <f t="shared" si="41"/>
        <v>0</v>
      </c>
      <c r="P80" s="20">
        <f t="shared" si="42"/>
        <v>-5.1230769230769511</v>
      </c>
      <c r="Q80" s="323">
        <f t="shared" si="43"/>
        <v>0.95730769230769208</v>
      </c>
      <c r="R80" s="489"/>
      <c r="S80" s="40">
        <v>0.27361111111111108</v>
      </c>
      <c r="T80" s="40">
        <v>0.31874999999999998</v>
      </c>
      <c r="U80" s="320">
        <f t="shared" si="53"/>
        <v>6.9999999999999751</v>
      </c>
      <c r="V80" s="330">
        <f t="shared" si="52"/>
        <v>65.000000000000014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-102.46153846153902</v>
      </c>
      <c r="AF80" s="323">
        <f t="shared" si="45"/>
        <v>0.95730769230769208</v>
      </c>
      <c r="AG80" s="489"/>
    </row>
    <row r="81" spans="1:33" ht="15.75" customHeight="1">
      <c r="A81" s="497" t="s">
        <v>75</v>
      </c>
      <c r="B81" s="331" t="s">
        <v>80</v>
      </c>
      <c r="C81" s="490" t="s">
        <v>1224</v>
      </c>
      <c r="D81" s="490"/>
      <c r="E81" s="42">
        <v>22.69</v>
      </c>
      <c r="F81" s="331">
        <v>3400</v>
      </c>
      <c r="G81" s="320">
        <f t="shared" si="50"/>
        <v>77146</v>
      </c>
      <c r="H81" s="333">
        <v>2</v>
      </c>
      <c r="I81" s="329">
        <v>16</v>
      </c>
      <c r="J81" s="37">
        <v>2400</v>
      </c>
      <c r="K81" s="17">
        <f t="shared" si="39"/>
        <v>150</v>
      </c>
      <c r="L81" s="329">
        <v>16</v>
      </c>
      <c r="M81" s="18">
        <f t="shared" si="51"/>
        <v>2292.1348314606744</v>
      </c>
      <c r="N81" s="17">
        <f t="shared" si="40"/>
        <v>143.25842696629215</v>
      </c>
      <c r="O81" s="19">
        <f t="shared" si="41"/>
        <v>0</v>
      </c>
      <c r="P81" s="20">
        <f t="shared" si="42"/>
        <v>-6.7415730337078514</v>
      </c>
      <c r="Q81" s="323">
        <f t="shared" si="43"/>
        <v>0.95505617977528101</v>
      </c>
      <c r="R81" s="489"/>
      <c r="S81" s="40">
        <v>0.32222222222222219</v>
      </c>
      <c r="T81" s="40">
        <v>0.38402777777777775</v>
      </c>
      <c r="U81" s="320">
        <f t="shared" si="53"/>
        <v>4.9999999999999822</v>
      </c>
      <c r="V81" s="330">
        <f t="shared" si="52"/>
        <v>89</v>
      </c>
      <c r="W81" s="23"/>
      <c r="X81" s="23"/>
      <c r="Y81" s="23"/>
      <c r="Z81" s="23"/>
      <c r="AA81" s="491"/>
      <c r="AB81" s="491"/>
      <c r="AC81" s="154"/>
      <c r="AD81" s="25"/>
      <c r="AE81" s="19">
        <f t="shared" si="44"/>
        <v>-107.86516853932562</v>
      </c>
      <c r="AF81" s="323">
        <f t="shared" si="45"/>
        <v>0.95505617977528101</v>
      </c>
      <c r="AG81" s="489"/>
    </row>
    <row r="82" spans="1:33" ht="15.75" customHeight="1">
      <c r="A82" s="497" t="s">
        <v>75</v>
      </c>
      <c r="B82" s="331" t="s">
        <v>80</v>
      </c>
      <c r="C82" s="490" t="s">
        <v>118</v>
      </c>
      <c r="D82" s="490"/>
      <c r="E82" s="42">
        <v>20.21</v>
      </c>
      <c r="F82" s="331">
        <v>3630</v>
      </c>
      <c r="G82" s="320">
        <f t="shared" si="50"/>
        <v>73362.3</v>
      </c>
      <c r="H82" s="333" t="s">
        <v>79</v>
      </c>
      <c r="I82" s="329">
        <v>16</v>
      </c>
      <c r="J82" s="37">
        <v>2400</v>
      </c>
      <c r="K82" s="17">
        <f t="shared" si="39"/>
        <v>150</v>
      </c>
      <c r="L82" s="329">
        <v>16</v>
      </c>
      <c r="M82" s="18">
        <f t="shared" si="51"/>
        <v>2292.6315789473688</v>
      </c>
      <c r="N82" s="17">
        <f t="shared" si="40"/>
        <v>143.28947368421055</v>
      </c>
      <c r="O82" s="19">
        <f t="shared" si="41"/>
        <v>0</v>
      </c>
      <c r="P82" s="20">
        <f t="shared" si="42"/>
        <v>-6.7105263157894512</v>
      </c>
      <c r="Q82" s="323">
        <f t="shared" si="43"/>
        <v>0.95526315789473704</v>
      </c>
      <c r="R82" s="489"/>
      <c r="S82" s="40">
        <v>0.38749999999999996</v>
      </c>
      <c r="T82" s="40">
        <v>0.45347222222222217</v>
      </c>
      <c r="U82" s="320">
        <f t="shared" si="53"/>
        <v>4.9999999999999822</v>
      </c>
      <c r="V82" s="330">
        <f t="shared" si="52"/>
        <v>94.999999999999986</v>
      </c>
      <c r="W82" s="23">
        <f>T82</f>
        <v>0.45347222222222217</v>
      </c>
      <c r="X82" s="23">
        <f>S83</f>
        <v>0.4951388888888888</v>
      </c>
      <c r="Y82" s="23"/>
      <c r="Z82" s="23"/>
      <c r="AA82" s="491"/>
      <c r="AB82" s="491"/>
      <c r="AC82" s="154"/>
      <c r="AD82" s="25"/>
      <c r="AE82" s="19">
        <f t="shared" si="44"/>
        <v>-107.36842105263122</v>
      </c>
      <c r="AF82" s="323">
        <f t="shared" si="45"/>
        <v>0.95526315789473704</v>
      </c>
      <c r="AG82" s="489"/>
    </row>
    <row r="83" spans="1:33" ht="15.75" customHeight="1">
      <c r="A83" s="497" t="s">
        <v>75</v>
      </c>
      <c r="B83" s="331" t="s">
        <v>80</v>
      </c>
      <c r="C83" s="490" t="s">
        <v>1224</v>
      </c>
      <c r="D83" s="490"/>
      <c r="E83" s="42">
        <v>22.69</v>
      </c>
      <c r="F83" s="331">
        <v>4061</v>
      </c>
      <c r="G83" s="320">
        <f t="shared" si="50"/>
        <v>92144.090000000011</v>
      </c>
      <c r="H83" s="333" t="s">
        <v>79</v>
      </c>
      <c r="I83" s="329">
        <v>16</v>
      </c>
      <c r="J83" s="37">
        <v>2400</v>
      </c>
      <c r="K83" s="17">
        <f t="shared" si="39"/>
        <v>150</v>
      </c>
      <c r="L83" s="329">
        <v>16</v>
      </c>
      <c r="M83" s="18">
        <f t="shared" si="51"/>
        <v>2298.67924528302</v>
      </c>
      <c r="N83" s="17">
        <f t="shared" si="40"/>
        <v>143.66745283018875</v>
      </c>
      <c r="O83" s="19">
        <f t="shared" si="41"/>
        <v>0</v>
      </c>
      <c r="P83" s="20">
        <f t="shared" si="42"/>
        <v>-6.3325471698112494</v>
      </c>
      <c r="Q83" s="323">
        <f t="shared" si="43"/>
        <v>0.95778301886792505</v>
      </c>
      <c r="R83" s="489"/>
      <c r="S83" s="40">
        <v>0.4951388888888888</v>
      </c>
      <c r="T83" s="40">
        <v>0.56874999999999987</v>
      </c>
      <c r="U83" s="320">
        <f t="shared" si="53"/>
        <v>59.999999999999943</v>
      </c>
      <c r="V83" s="330">
        <f t="shared" si="52"/>
        <v>105.99999999999994</v>
      </c>
      <c r="W83" s="23"/>
      <c r="X83" s="23"/>
      <c r="Y83" s="26"/>
      <c r="Z83" s="26"/>
      <c r="AA83" s="503"/>
      <c r="AB83" s="504"/>
      <c r="AC83" s="154"/>
      <c r="AD83" s="25"/>
      <c r="AE83" s="19">
        <f t="shared" si="44"/>
        <v>-101.32075471697999</v>
      </c>
      <c r="AF83" s="323">
        <f t="shared" si="45"/>
        <v>0.95778301886792505</v>
      </c>
      <c r="AG83" s="489"/>
    </row>
    <row r="84" spans="1:33" ht="16.5" customHeight="1">
      <c r="A84" s="498" t="s">
        <v>1872</v>
      </c>
      <c r="B84" s="42" t="s">
        <v>49</v>
      </c>
      <c r="C84" s="492"/>
      <c r="D84" s="493"/>
      <c r="E84" s="324"/>
      <c r="F84" s="44"/>
      <c r="G84" s="17"/>
      <c r="H84" s="331"/>
      <c r="I84" s="30">
        <v>17.571428571428573</v>
      </c>
      <c r="J84" s="37">
        <v>2400</v>
      </c>
      <c r="K84" s="17">
        <f t="shared" si="39"/>
        <v>136.58536585365852</v>
      </c>
      <c r="L84" s="30">
        <v>17.571428571428573</v>
      </c>
      <c r="M84" s="18">
        <f>AVERAGE(M77:M83)</f>
        <v>2300.2240898099908</v>
      </c>
      <c r="N84" s="17">
        <f t="shared" si="40"/>
        <v>130.90706202170679</v>
      </c>
      <c r="O84" s="19">
        <f t="shared" si="41"/>
        <v>0</v>
      </c>
      <c r="P84" s="20">
        <f t="shared" si="42"/>
        <v>-5.6783038319517232</v>
      </c>
      <c r="Q84" s="323">
        <f t="shared" si="43"/>
        <v>0.95842670408749631</v>
      </c>
      <c r="R84" s="489"/>
      <c r="S84" s="40"/>
      <c r="T84" s="40"/>
      <c r="U84" s="17"/>
      <c r="V84" s="330"/>
      <c r="W84" s="17"/>
      <c r="X84" s="17"/>
      <c r="Y84" s="31">
        <f>SUM(Y77:Y83)</f>
        <v>0</v>
      </c>
      <c r="Z84" s="31">
        <f>SUM(Z77:Z83)</f>
        <v>0</v>
      </c>
      <c r="AA84" s="495"/>
      <c r="AB84" s="495"/>
      <c r="AC84" s="31">
        <v>7</v>
      </c>
      <c r="AD84" s="31">
        <f>SUM(AD77:AD83)</f>
        <v>0</v>
      </c>
      <c r="AE84" s="19">
        <f t="shared" si="44"/>
        <v>-99.775910190009199</v>
      </c>
      <c r="AF84" s="323">
        <f t="shared" si="45"/>
        <v>0.9584267040874962</v>
      </c>
      <c r="AG84" s="489"/>
    </row>
    <row r="85" spans="1:33">
      <c r="D85" s="33"/>
      <c r="E85" s="33"/>
    </row>
  </sheetData>
  <mergeCells count="21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E3:AE4"/>
    <mergeCell ref="AF3:AF4"/>
    <mergeCell ref="AG3:AG4"/>
    <mergeCell ref="AG5:AG13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C13:D13"/>
    <mergeCell ref="AA13:AB13"/>
    <mergeCell ref="A14:A16"/>
    <mergeCell ref="C14:D14"/>
    <mergeCell ref="R14:R16"/>
    <mergeCell ref="AA14:AB14"/>
    <mergeCell ref="C10:D10"/>
    <mergeCell ref="AA10:AB10"/>
    <mergeCell ref="C11:D11"/>
    <mergeCell ref="AA11:AB11"/>
    <mergeCell ref="C12:D12"/>
    <mergeCell ref="AA12:AB12"/>
    <mergeCell ref="A5:A13"/>
    <mergeCell ref="C7:D7"/>
    <mergeCell ref="AA7:AB7"/>
    <mergeCell ref="C8:D8"/>
    <mergeCell ref="AA8:AB8"/>
    <mergeCell ref="C9:D9"/>
    <mergeCell ref="AA9:AB9"/>
    <mergeCell ref="C5:D5"/>
    <mergeCell ref="R5:R13"/>
    <mergeCell ref="AA5:AB5"/>
    <mergeCell ref="AG14:AG16"/>
    <mergeCell ref="C15:D15"/>
    <mergeCell ref="AA15:AB15"/>
    <mergeCell ref="C16:D16"/>
    <mergeCell ref="AA16:AB16"/>
    <mergeCell ref="A17:A26"/>
    <mergeCell ref="C17:D17"/>
    <mergeCell ref="R17:R26"/>
    <mergeCell ref="AA17:AB17"/>
    <mergeCell ref="AG17:AG26"/>
    <mergeCell ref="C21:D21"/>
    <mergeCell ref="AA21:AB21"/>
    <mergeCell ref="C22:D22"/>
    <mergeCell ref="AA22:AB22"/>
    <mergeCell ref="AA23:AB23"/>
    <mergeCell ref="AA24:AB24"/>
    <mergeCell ref="C18:D18"/>
    <mergeCell ref="AA18:AB18"/>
    <mergeCell ref="C19:D19"/>
    <mergeCell ref="AA19:AB19"/>
    <mergeCell ref="C20:D20"/>
    <mergeCell ref="AA20:AB20"/>
    <mergeCell ref="C25:D25"/>
    <mergeCell ref="AA25:AB25"/>
    <mergeCell ref="C26:D26"/>
    <mergeCell ref="AA26:AB26"/>
    <mergeCell ref="A27:A36"/>
    <mergeCell ref="C27:D27"/>
    <mergeCell ref="R27:R36"/>
    <mergeCell ref="AA27:AB27"/>
    <mergeCell ref="AA32:AB32"/>
    <mergeCell ref="C33:D33"/>
    <mergeCell ref="AG37:AG44"/>
    <mergeCell ref="C38:D38"/>
    <mergeCell ref="AA38:AB38"/>
    <mergeCell ref="C39:D39"/>
    <mergeCell ref="AA39:AB39"/>
    <mergeCell ref="C40:D40"/>
    <mergeCell ref="AA33:AB33"/>
    <mergeCell ref="C34:D34"/>
    <mergeCell ref="AA34:AB34"/>
    <mergeCell ref="C35:D35"/>
    <mergeCell ref="AA35:AB35"/>
    <mergeCell ref="C36:D36"/>
    <mergeCell ref="AA36:AB36"/>
    <mergeCell ref="AG27:AG36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40:AB40"/>
    <mergeCell ref="C41:D41"/>
    <mergeCell ref="AA41:AB41"/>
    <mergeCell ref="C42:D42"/>
    <mergeCell ref="AA42:AB42"/>
    <mergeCell ref="C43:D43"/>
    <mergeCell ref="AA43:AB43"/>
    <mergeCell ref="A37:A44"/>
    <mergeCell ref="C37:D37"/>
    <mergeCell ref="R37:R44"/>
    <mergeCell ref="AA37:AB37"/>
    <mergeCell ref="C44:D44"/>
    <mergeCell ref="AA44:AB44"/>
    <mergeCell ref="A45:A52"/>
    <mergeCell ref="C45:D45"/>
    <mergeCell ref="R45:R52"/>
    <mergeCell ref="AA45:AB45"/>
    <mergeCell ref="AA50:AB50"/>
    <mergeCell ref="C51:D51"/>
    <mergeCell ref="AA51:AB51"/>
    <mergeCell ref="C52:D52"/>
    <mergeCell ref="AA52:AB52"/>
    <mergeCell ref="A53:A62"/>
    <mergeCell ref="C53:D53"/>
    <mergeCell ref="R53:R62"/>
    <mergeCell ref="AA53:AB53"/>
    <mergeCell ref="AG53:AG62"/>
    <mergeCell ref="C54:D54"/>
    <mergeCell ref="AA54:AB54"/>
    <mergeCell ref="C55:D55"/>
    <mergeCell ref="AA55:AB55"/>
    <mergeCell ref="C59:D59"/>
    <mergeCell ref="AA59:AB59"/>
    <mergeCell ref="C60:D60"/>
    <mergeCell ref="AA60:AB60"/>
    <mergeCell ref="C61:D61"/>
    <mergeCell ref="AA61:AB61"/>
    <mergeCell ref="C56:D56"/>
    <mergeCell ref="AA56:AB56"/>
    <mergeCell ref="C57:D57"/>
    <mergeCell ref="AA57:AB57"/>
    <mergeCell ref="C58:D58"/>
    <mergeCell ref="AA58:AB58"/>
    <mergeCell ref="C62:D62"/>
    <mergeCell ref="AA62:AB62"/>
    <mergeCell ref="AG45:AG52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0:D50"/>
    <mergeCell ref="A63:A72"/>
    <mergeCell ref="C63:D63"/>
    <mergeCell ref="R63:R72"/>
    <mergeCell ref="AA63:AB63"/>
    <mergeCell ref="AA69:AB69"/>
    <mergeCell ref="C70:D70"/>
    <mergeCell ref="AA70:AB70"/>
    <mergeCell ref="C71:D71"/>
    <mergeCell ref="A73:A76"/>
    <mergeCell ref="C73:D73"/>
    <mergeCell ref="R73:R76"/>
    <mergeCell ref="AA73:AB73"/>
    <mergeCell ref="AG73:AG76"/>
    <mergeCell ref="C74:D74"/>
    <mergeCell ref="AA74:AB74"/>
    <mergeCell ref="C75:D75"/>
    <mergeCell ref="AA75:AB75"/>
    <mergeCell ref="C76:D76"/>
    <mergeCell ref="AA76:AB76"/>
    <mergeCell ref="AA71:AB71"/>
    <mergeCell ref="C72:D72"/>
    <mergeCell ref="AA72:AB72"/>
    <mergeCell ref="AG63:AG72"/>
    <mergeCell ref="C64:D64"/>
    <mergeCell ref="AA64:AB64"/>
    <mergeCell ref="C65:D65"/>
    <mergeCell ref="AA65:AB65"/>
    <mergeCell ref="AA66:AB66"/>
    <mergeCell ref="AA67:AB67"/>
    <mergeCell ref="C68:D68"/>
    <mergeCell ref="AA68:AB68"/>
    <mergeCell ref="C69:D69"/>
    <mergeCell ref="A77:A84"/>
    <mergeCell ref="C77:D77"/>
    <mergeCell ref="R77:R84"/>
    <mergeCell ref="AA77:AB77"/>
    <mergeCell ref="AG77:AG84"/>
    <mergeCell ref="C78:D78"/>
    <mergeCell ref="AA78:AB78"/>
    <mergeCell ref="C79:D79"/>
    <mergeCell ref="AA79:AB79"/>
    <mergeCell ref="C80:D80"/>
    <mergeCell ref="C84:D84"/>
    <mergeCell ref="AA84:AB84"/>
    <mergeCell ref="AA80:AB80"/>
    <mergeCell ref="C81:D81"/>
    <mergeCell ref="AA81:AB81"/>
    <mergeCell ref="C82:D82"/>
    <mergeCell ref="AA82:AB82"/>
    <mergeCell ref="C83:D83"/>
    <mergeCell ref="AA83:AB83"/>
  </mergeCells>
  <phoneticPr fontId="3" type="noConversion"/>
  <conditionalFormatting sqref="O76:O82 O72:O73 O84 O5:O14 O16:O18 O62:O68 O26:O58">
    <cfRule type="cellIs" dxfId="1771" priority="89" operator="greaterThan">
      <formula>0</formula>
    </cfRule>
  </conditionalFormatting>
  <conditionalFormatting sqref="P5:P12 P77:P82 P37:P43 P73 P14 P16:P18 P27:P35 P63:P68 P45:P58 AE5:AE73 AE77:AE84">
    <cfRule type="cellIs" dxfId="1770" priority="93" operator="lessThan">
      <formula>0</formula>
    </cfRule>
  </conditionalFormatting>
  <conditionalFormatting sqref="Q76:Q82 Q72:Q73 Q84 Q5:Q14 Q16:Q18 Q62:Q68 Q26:Q58 AF5:AF73 AF77:AF84">
    <cfRule type="cellIs" dxfId="1769" priority="90" operator="greaterThan">
      <formula>1</formula>
    </cfRule>
    <cfRule type="cellIs" dxfId="1768" priority="91" operator="lessThan">
      <formula>0.8</formula>
    </cfRule>
  </conditionalFormatting>
  <conditionalFormatting sqref="AG17:AG18 R17:R18 R76:R82 R26:R32 AG26:AG32 AG72:AG73 R72:R73 R84 AG5:AG14 R5:R14 R36:R58 AG36:AG58 AG62:AG68 R62:R68">
    <cfRule type="cellIs" dxfId="1767" priority="95" operator="lessThan">
      <formula>0.8</formula>
    </cfRule>
  </conditionalFormatting>
  <conditionalFormatting sqref="AG53">
    <cfRule type="cellIs" dxfId="1766" priority="97" operator="lessThan">
      <formula>0.8</formula>
    </cfRule>
  </conditionalFormatting>
  <conditionalFormatting sqref="AG27:AG32">
    <cfRule type="cellIs" dxfId="1765" priority="94" operator="lessThan">
      <formula>0.8</formula>
    </cfRule>
  </conditionalFormatting>
  <conditionalFormatting sqref="AG37">
    <cfRule type="cellIs" dxfId="1764" priority="96" operator="lessThan">
      <formula>0.8</formula>
    </cfRule>
  </conditionalFormatting>
  <conditionalFormatting sqref="AG45:AG51">
    <cfRule type="cellIs" dxfId="1763" priority="92" operator="lessThan">
      <formula>0.8</formula>
    </cfRule>
  </conditionalFormatting>
  <conditionalFormatting sqref="AE76">
    <cfRule type="cellIs" dxfId="1762" priority="88" operator="lessThan">
      <formula>0</formula>
    </cfRule>
  </conditionalFormatting>
  <conditionalFormatting sqref="AF76">
    <cfRule type="cellIs" dxfId="1761" priority="86" operator="greaterThan">
      <formula>1</formula>
    </cfRule>
    <cfRule type="cellIs" dxfId="1760" priority="87" operator="lessThan">
      <formula>0.8</formula>
    </cfRule>
  </conditionalFormatting>
  <conditionalFormatting sqref="O19:O20">
    <cfRule type="cellIs" dxfId="1759" priority="81" operator="greaterThan">
      <formula>0</formula>
    </cfRule>
  </conditionalFormatting>
  <conditionalFormatting sqref="P19:P20">
    <cfRule type="cellIs" dxfId="1758" priority="84" operator="lessThan">
      <formula>0</formula>
    </cfRule>
  </conditionalFormatting>
  <conditionalFormatting sqref="Q19:Q20">
    <cfRule type="cellIs" dxfId="1757" priority="82" operator="greaterThan">
      <formula>1</formula>
    </cfRule>
    <cfRule type="cellIs" dxfId="1756" priority="83" operator="lessThan">
      <formula>0.8</formula>
    </cfRule>
  </conditionalFormatting>
  <conditionalFormatting sqref="R19:R20 AG19:AG20">
    <cfRule type="cellIs" dxfId="1755" priority="85" operator="lessThan">
      <formula>0.8</formula>
    </cfRule>
  </conditionalFormatting>
  <conditionalFormatting sqref="O15">
    <cfRule type="cellIs" dxfId="1754" priority="77" operator="greaterThan">
      <formula>0</formula>
    </cfRule>
  </conditionalFormatting>
  <conditionalFormatting sqref="P15">
    <cfRule type="cellIs" dxfId="1753" priority="80" operator="lessThan">
      <formula>0</formula>
    </cfRule>
  </conditionalFormatting>
  <conditionalFormatting sqref="Q15">
    <cfRule type="cellIs" dxfId="1752" priority="78" operator="greaterThan">
      <formula>1</formula>
    </cfRule>
    <cfRule type="cellIs" dxfId="1751" priority="79" operator="lessThan">
      <formula>0.8</formula>
    </cfRule>
  </conditionalFormatting>
  <conditionalFormatting sqref="O69">
    <cfRule type="cellIs" dxfId="1750" priority="72" operator="greaterThan">
      <formula>0</formula>
    </cfRule>
  </conditionalFormatting>
  <conditionalFormatting sqref="P69">
    <cfRule type="cellIs" dxfId="1749" priority="75" operator="lessThan">
      <formula>0</formula>
    </cfRule>
  </conditionalFormatting>
  <conditionalFormatting sqref="Q69">
    <cfRule type="cellIs" dxfId="1748" priority="73" operator="greaterThan">
      <formula>1</formula>
    </cfRule>
    <cfRule type="cellIs" dxfId="1747" priority="74" operator="lessThan">
      <formula>0.8</formula>
    </cfRule>
  </conditionalFormatting>
  <conditionalFormatting sqref="R69 AG69">
    <cfRule type="cellIs" dxfId="1746" priority="76" operator="lessThan">
      <formula>0.8</formula>
    </cfRule>
  </conditionalFormatting>
  <conditionalFormatting sqref="AG34 R34">
    <cfRule type="cellIs" dxfId="1745" priority="71" operator="lessThan">
      <formula>0.8</formula>
    </cfRule>
  </conditionalFormatting>
  <conditionalFormatting sqref="O75">
    <cfRule type="cellIs" dxfId="1744" priority="66" operator="greaterThan">
      <formula>0</formula>
    </cfRule>
  </conditionalFormatting>
  <conditionalFormatting sqref="P75 AE75">
    <cfRule type="cellIs" dxfId="1743" priority="69" operator="lessThan">
      <formula>0</formula>
    </cfRule>
  </conditionalFormatting>
  <conditionalFormatting sqref="Q75 AF75">
    <cfRule type="cellIs" dxfId="1742" priority="67" operator="greaterThan">
      <formula>1</formula>
    </cfRule>
    <cfRule type="cellIs" dxfId="1741" priority="68" operator="lessThan">
      <formula>0.8</formula>
    </cfRule>
  </conditionalFormatting>
  <conditionalFormatting sqref="R75 AG75">
    <cfRule type="cellIs" dxfId="1740" priority="70" operator="lessThan">
      <formula>0.8</formula>
    </cfRule>
  </conditionalFormatting>
  <conditionalFormatting sqref="O83">
    <cfRule type="cellIs" dxfId="1739" priority="61" operator="greaterThan">
      <formula>0</formula>
    </cfRule>
  </conditionalFormatting>
  <conditionalFormatting sqref="P83">
    <cfRule type="cellIs" dxfId="1738" priority="64" operator="lessThan">
      <formula>0</formula>
    </cfRule>
  </conditionalFormatting>
  <conditionalFormatting sqref="Q83">
    <cfRule type="cellIs" dxfId="1737" priority="62" operator="greaterThan">
      <formula>1</formula>
    </cfRule>
    <cfRule type="cellIs" dxfId="1736" priority="63" operator="lessThan">
      <formula>0.8</formula>
    </cfRule>
  </conditionalFormatting>
  <conditionalFormatting sqref="R83">
    <cfRule type="cellIs" dxfId="1735" priority="65" operator="lessThan">
      <formula>0.8</formula>
    </cfRule>
  </conditionalFormatting>
  <conditionalFormatting sqref="O21:O22">
    <cfRule type="cellIs" dxfId="1734" priority="56" operator="greaterThan">
      <formula>0</formula>
    </cfRule>
  </conditionalFormatting>
  <conditionalFormatting sqref="P21:P22">
    <cfRule type="cellIs" dxfId="1733" priority="59" operator="lessThan">
      <formula>0</formula>
    </cfRule>
  </conditionalFormatting>
  <conditionalFormatting sqref="Q21:Q22">
    <cfRule type="cellIs" dxfId="1732" priority="57" operator="greaterThan">
      <formula>1</formula>
    </cfRule>
    <cfRule type="cellIs" dxfId="1731" priority="58" operator="lessThan">
      <formula>0.8</formula>
    </cfRule>
  </conditionalFormatting>
  <conditionalFormatting sqref="R21:R22 AG21:AG22">
    <cfRule type="cellIs" dxfId="1730" priority="60" operator="lessThan">
      <formula>0.8</formula>
    </cfRule>
  </conditionalFormatting>
  <conditionalFormatting sqref="O59">
    <cfRule type="cellIs" dxfId="1729" priority="50" operator="greaterThan">
      <formula>0</formula>
    </cfRule>
  </conditionalFormatting>
  <conditionalFormatting sqref="P59">
    <cfRule type="cellIs" dxfId="1728" priority="54" operator="lessThan">
      <formula>0</formula>
    </cfRule>
  </conditionalFormatting>
  <conditionalFormatting sqref="Q59">
    <cfRule type="cellIs" dxfId="1727" priority="51" operator="greaterThan">
      <formula>1</formula>
    </cfRule>
    <cfRule type="cellIs" dxfId="1726" priority="52" operator="lessThan">
      <formula>0.8</formula>
    </cfRule>
  </conditionalFormatting>
  <conditionalFormatting sqref="R59 AG59">
    <cfRule type="cellIs" dxfId="1725" priority="55" operator="lessThan">
      <formula>0.8</formula>
    </cfRule>
  </conditionalFormatting>
  <conditionalFormatting sqref="AG59">
    <cfRule type="cellIs" dxfId="1724" priority="53" operator="lessThan">
      <formula>0.8</formula>
    </cfRule>
  </conditionalFormatting>
  <conditionalFormatting sqref="O60">
    <cfRule type="cellIs" dxfId="1723" priority="44" operator="greaterThan">
      <formula>0</formula>
    </cfRule>
  </conditionalFormatting>
  <conditionalFormatting sqref="P60">
    <cfRule type="cellIs" dxfId="1722" priority="48" operator="lessThan">
      <formula>0</formula>
    </cfRule>
  </conditionalFormatting>
  <conditionalFormatting sqref="Q60">
    <cfRule type="cellIs" dxfId="1721" priority="45" operator="greaterThan">
      <formula>1</formula>
    </cfRule>
    <cfRule type="cellIs" dxfId="1720" priority="46" operator="lessThan">
      <formula>0.8</formula>
    </cfRule>
  </conditionalFormatting>
  <conditionalFormatting sqref="R60 AG60">
    <cfRule type="cellIs" dxfId="1719" priority="49" operator="lessThan">
      <formula>0.8</formula>
    </cfRule>
  </conditionalFormatting>
  <conditionalFormatting sqref="AG60">
    <cfRule type="cellIs" dxfId="1718" priority="47" operator="lessThan">
      <formula>0.8</formula>
    </cfRule>
  </conditionalFormatting>
  <conditionalFormatting sqref="O70">
    <cfRule type="cellIs" dxfId="1717" priority="39" operator="greaterThan">
      <formula>0</formula>
    </cfRule>
  </conditionalFormatting>
  <conditionalFormatting sqref="P70">
    <cfRule type="cellIs" dxfId="1716" priority="42" operator="lessThan">
      <formula>0</formula>
    </cfRule>
  </conditionalFormatting>
  <conditionalFormatting sqref="Q70">
    <cfRule type="cellIs" dxfId="1715" priority="40" operator="greaterThan">
      <formula>1</formula>
    </cfRule>
    <cfRule type="cellIs" dxfId="1714" priority="41" operator="lessThan">
      <formula>0.8</formula>
    </cfRule>
  </conditionalFormatting>
  <conditionalFormatting sqref="AG70 R70">
    <cfRule type="cellIs" dxfId="1713" priority="43" operator="lessThan">
      <formula>0.8</formula>
    </cfRule>
  </conditionalFormatting>
  <conditionalFormatting sqref="AG35 R35">
    <cfRule type="cellIs" dxfId="1712" priority="38" operator="lessThan">
      <formula>0.8</formula>
    </cfRule>
  </conditionalFormatting>
  <conditionalFormatting sqref="R33 AG33">
    <cfRule type="cellIs" dxfId="1711" priority="37" operator="lessThan">
      <formula>0.8</formula>
    </cfRule>
  </conditionalFormatting>
  <conditionalFormatting sqref="AG33">
    <cfRule type="cellIs" dxfId="1710" priority="36" operator="lessThan">
      <formula>0.8</formula>
    </cfRule>
  </conditionalFormatting>
  <conditionalFormatting sqref="O61">
    <cfRule type="cellIs" dxfId="1709" priority="30" operator="greaterThan">
      <formula>0</formula>
    </cfRule>
  </conditionalFormatting>
  <conditionalFormatting sqref="P61">
    <cfRule type="cellIs" dxfId="1708" priority="34" operator="lessThan">
      <formula>0</formula>
    </cfRule>
  </conditionalFormatting>
  <conditionalFormatting sqref="Q61">
    <cfRule type="cellIs" dxfId="1707" priority="31" operator="greaterThan">
      <formula>1</formula>
    </cfRule>
    <cfRule type="cellIs" dxfId="1706" priority="32" operator="lessThan">
      <formula>0.8</formula>
    </cfRule>
  </conditionalFormatting>
  <conditionalFormatting sqref="R61 AG61">
    <cfRule type="cellIs" dxfId="1705" priority="35" operator="lessThan">
      <formula>0.8</formula>
    </cfRule>
  </conditionalFormatting>
  <conditionalFormatting sqref="AG61">
    <cfRule type="cellIs" dxfId="1704" priority="33" operator="lessThan">
      <formula>0.8</formula>
    </cfRule>
  </conditionalFormatting>
  <conditionalFormatting sqref="O74">
    <cfRule type="cellIs" dxfId="1703" priority="25" operator="greaterThan">
      <formula>0</formula>
    </cfRule>
  </conditionalFormatting>
  <conditionalFormatting sqref="P74 AE74">
    <cfRule type="cellIs" dxfId="1702" priority="28" operator="lessThan">
      <formula>0</formula>
    </cfRule>
  </conditionalFormatting>
  <conditionalFormatting sqref="Q74 AF74">
    <cfRule type="cellIs" dxfId="1701" priority="26" operator="greaterThan">
      <formula>1</formula>
    </cfRule>
    <cfRule type="cellIs" dxfId="1700" priority="27" operator="lessThan">
      <formula>0.8</formula>
    </cfRule>
  </conditionalFormatting>
  <conditionalFormatting sqref="R74 AG74">
    <cfRule type="cellIs" dxfId="1699" priority="29" operator="lessThan">
      <formula>0.8</formula>
    </cfRule>
  </conditionalFormatting>
  <conditionalFormatting sqref="O23">
    <cfRule type="cellIs" dxfId="1698" priority="20" operator="greaterThan">
      <formula>0</formula>
    </cfRule>
  </conditionalFormatting>
  <conditionalFormatting sqref="P23">
    <cfRule type="cellIs" dxfId="1697" priority="23" operator="lessThan">
      <formula>0</formula>
    </cfRule>
  </conditionalFormatting>
  <conditionalFormatting sqref="Q23">
    <cfRule type="cellIs" dxfId="1696" priority="21" operator="greaterThan">
      <formula>1</formula>
    </cfRule>
    <cfRule type="cellIs" dxfId="1695" priority="22" operator="lessThan">
      <formula>0.8</formula>
    </cfRule>
  </conditionalFormatting>
  <conditionalFormatting sqref="AG23 R23">
    <cfRule type="cellIs" dxfId="1694" priority="24" operator="lessThan">
      <formula>0.8</formula>
    </cfRule>
  </conditionalFormatting>
  <conditionalFormatting sqref="O24:O25">
    <cfRule type="cellIs" dxfId="1693" priority="15" operator="greaterThan">
      <formula>0</formula>
    </cfRule>
  </conditionalFormatting>
  <conditionalFormatting sqref="P24:P25">
    <cfRule type="cellIs" dxfId="1692" priority="18" operator="lessThan">
      <formula>0</formula>
    </cfRule>
  </conditionalFormatting>
  <conditionalFormatting sqref="Q24:Q25">
    <cfRule type="cellIs" dxfId="1691" priority="16" operator="greaterThan">
      <formula>1</formula>
    </cfRule>
    <cfRule type="cellIs" dxfId="1690" priority="17" operator="lessThan">
      <formula>0.8</formula>
    </cfRule>
  </conditionalFormatting>
  <conditionalFormatting sqref="AG24 R24">
    <cfRule type="cellIs" dxfId="1689" priority="19" operator="lessThan">
      <formula>0.8</formula>
    </cfRule>
  </conditionalFormatting>
  <conditionalFormatting sqref="P13">
    <cfRule type="cellIs" dxfId="1688" priority="14" operator="lessThan">
      <formula>0</formula>
    </cfRule>
  </conditionalFormatting>
  <conditionalFormatting sqref="P26">
    <cfRule type="cellIs" dxfId="1687" priority="13" operator="lessThan">
      <formula>0</formula>
    </cfRule>
  </conditionalFormatting>
  <conditionalFormatting sqref="P36">
    <cfRule type="cellIs" dxfId="1686" priority="12" operator="lessThan">
      <formula>0</formula>
    </cfRule>
  </conditionalFormatting>
  <conditionalFormatting sqref="P44">
    <cfRule type="cellIs" dxfId="1685" priority="11" operator="lessThan">
      <formula>0</formula>
    </cfRule>
  </conditionalFormatting>
  <conditionalFormatting sqref="P62">
    <cfRule type="cellIs" dxfId="1684" priority="10" operator="lessThan">
      <formula>0</formula>
    </cfRule>
  </conditionalFormatting>
  <conditionalFormatting sqref="P72">
    <cfRule type="cellIs" dxfId="1683" priority="9" operator="lessThan">
      <formula>0</formula>
    </cfRule>
  </conditionalFormatting>
  <conditionalFormatting sqref="P76">
    <cfRule type="cellIs" dxfId="1682" priority="8" operator="lessThan">
      <formula>0</formula>
    </cfRule>
  </conditionalFormatting>
  <conditionalFormatting sqref="P84">
    <cfRule type="cellIs" dxfId="1681" priority="7" operator="lessThan">
      <formula>0</formula>
    </cfRule>
  </conditionalFormatting>
  <conditionalFormatting sqref="AG25 R25">
    <cfRule type="cellIs" dxfId="1680" priority="6" operator="lessThan">
      <formula>0.8</formula>
    </cfRule>
  </conditionalFormatting>
  <conditionalFormatting sqref="O71">
    <cfRule type="cellIs" dxfId="1679" priority="1" operator="greaterThan">
      <formula>0</formula>
    </cfRule>
  </conditionalFormatting>
  <conditionalFormatting sqref="P71">
    <cfRule type="cellIs" dxfId="1678" priority="4" operator="lessThan">
      <formula>0</formula>
    </cfRule>
  </conditionalFormatting>
  <conditionalFormatting sqref="Q71">
    <cfRule type="cellIs" dxfId="1677" priority="2" operator="greaterThan">
      <formula>1</formula>
    </cfRule>
    <cfRule type="cellIs" dxfId="1676" priority="3" operator="lessThan">
      <formula>0.8</formula>
    </cfRule>
  </conditionalFormatting>
  <conditionalFormatting sqref="AG71 R71">
    <cfRule type="cellIs" dxfId="1675" priority="5" operator="lessThan">
      <formula>0.8</formula>
    </cfRule>
  </conditionalFormatting>
  <dataValidations count="1">
    <dataValidation type="list" allowBlank="1" showInputMessage="1" showErrorMessage="1" sqref="AB13 AA5:AB9 AB10:AB11 AA10:AA75 AB15:AB73 AA76:AB8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161</v>
      </c>
      <c r="C3" s="478" t="str">
        <f>TEXT('0120 4度C'!A2,"yyyy.mm.ddaaaa")</f>
        <v>2026.01.20星期二</v>
      </c>
      <c r="D3" s="479"/>
      <c r="E3" s="56" t="s">
        <v>1646</v>
      </c>
      <c r="F3" s="480">
        <f>'0120 4度C'!D1</f>
        <v>182102</v>
      </c>
      <c r="G3" s="481"/>
      <c r="H3" s="56" t="s">
        <v>1647</v>
      </c>
      <c r="I3" s="482">
        <f>'0120 4度C'!F1</f>
        <v>6373240.5199999996</v>
      </c>
      <c r="J3" s="483"/>
      <c r="K3" s="57"/>
      <c r="L3" s="58"/>
      <c r="M3" s="59"/>
      <c r="N3" s="59"/>
    </row>
    <row r="4" spans="2:17" ht="28.5" customHeight="1">
      <c r="B4" s="484" t="s">
        <v>1648</v>
      </c>
      <c r="C4" s="470" t="s">
        <v>1649</v>
      </c>
      <c r="D4" s="471"/>
      <c r="E4" s="487" t="s">
        <v>1650</v>
      </c>
      <c r="F4" s="488"/>
      <c r="G4" s="487" t="s">
        <v>1651</v>
      </c>
      <c r="H4" s="488"/>
      <c r="I4" s="487" t="s">
        <v>1652</v>
      </c>
      <c r="J4" s="488"/>
      <c r="K4" s="468" t="s">
        <v>1653</v>
      </c>
      <c r="L4" s="469"/>
      <c r="M4" s="469" t="s">
        <v>1654</v>
      </c>
      <c r="N4" s="469"/>
    </row>
    <row r="5" spans="2:17" ht="28.5" customHeight="1">
      <c r="B5" s="485"/>
      <c r="C5" s="470" t="s">
        <v>1655</v>
      </c>
      <c r="D5" s="471"/>
      <c r="E5" s="470" t="s">
        <v>1656</v>
      </c>
      <c r="F5" s="471"/>
      <c r="G5" s="472" t="s">
        <v>1657</v>
      </c>
      <c r="H5" s="473"/>
      <c r="I5" s="474" t="s">
        <v>1658</v>
      </c>
      <c r="J5" s="475"/>
      <c r="K5" s="60" t="s">
        <v>1413</v>
      </c>
      <c r="L5" s="61" t="s">
        <v>1660</v>
      </c>
      <c r="M5" s="60" t="s">
        <v>1413</v>
      </c>
      <c r="N5" s="61" t="s">
        <v>1661</v>
      </c>
    </row>
    <row r="6" spans="2:17" ht="28.5" customHeight="1">
      <c r="B6" s="485"/>
      <c r="C6" s="470" t="s">
        <v>144</v>
      </c>
      <c r="D6" s="471"/>
      <c r="E6" s="462">
        <f>AVERAGE(D13:M13)</f>
        <v>144.35787634696911</v>
      </c>
      <c r="F6" s="463">
        <f>AVERAGE(D31:O31,D13:J13)</f>
        <v>146.69212153045595</v>
      </c>
      <c r="G6" s="464">
        <f>AVERAGE(D13:J13)</f>
        <v>146.69212153045595</v>
      </c>
      <c r="H6" s="465"/>
      <c r="I6" s="464">
        <f>AVERAGE(K13:M13)</f>
        <v>138.91130425216645</v>
      </c>
      <c r="J6" s="465"/>
      <c r="K6" s="466">
        <f>'0120 4度C'!Y2</f>
        <v>0</v>
      </c>
      <c r="L6" s="451">
        <f>'0120 4度C'!Z2</f>
        <v>0</v>
      </c>
      <c r="M6" s="467">
        <f>'0120 4度C'!AC2</f>
        <v>44</v>
      </c>
      <c r="N6" s="451">
        <f>'0120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138.00419143299092</v>
      </c>
      <c r="F7" s="455">
        <f>AVERAGE(D32:O32,D14:J14)</f>
        <v>140.24213621950094</v>
      </c>
      <c r="G7" s="456">
        <f>AVERAGE(D14:J14)</f>
        <v>140.24213621950094</v>
      </c>
      <c r="H7" s="457"/>
      <c r="I7" s="456">
        <f>AVERAGE(K14:M14)</f>
        <v>132.78232026446764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0.95536623086945271</v>
      </c>
      <c r="F8" s="459">
        <f>AVERAGE(D15:J15,D33:O33)</f>
        <v>0.95511947045279932</v>
      </c>
      <c r="G8" s="460">
        <f>AVERAGE(D15:J15)</f>
        <v>0.95511947045279932</v>
      </c>
      <c r="H8" s="461"/>
      <c r="I8" s="460">
        <f>AVERAGE(K15:M15)</f>
        <v>0.95594200517497718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1313</v>
      </c>
      <c r="N9" s="59"/>
      <c r="O9" s="59"/>
      <c r="P9" s="59"/>
      <c r="Q9" s="59"/>
    </row>
    <row r="10" spans="2:17" ht="30" customHeight="1">
      <c r="B10" s="434" t="s">
        <v>1663</v>
      </c>
      <c r="C10" s="435"/>
      <c r="D10" s="436" t="s">
        <v>180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182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1664</v>
      </c>
      <c r="C13" s="72" t="s">
        <v>1665</v>
      </c>
      <c r="D13" s="73">
        <f>SUMIFS('0120 4度C'!$K:$K,'0120 4度C'!$A:$A,"新豐6線",'0120 4度C'!$B:$B,"平均")</f>
        <v>115.38461538461539</v>
      </c>
      <c r="E13" s="74">
        <f>SUMIFS('0120 4度C'!$K:$K,'0120 4度C'!$A:$A,"新豐2線",'0120 4度C'!$B:$B,"平均")</f>
        <v>83.333333333333329</v>
      </c>
      <c r="F13" s="75">
        <f>SUMIFS('0120 4度C'!$K:$K,'0120 4度C'!$A:$A,"新豐5線",'0120 4度C'!$B:$B,"平均")</f>
        <v>116.43835616438356</v>
      </c>
      <c r="G13" s="75">
        <f>SUMIFS('0120 4度C'!$K:$K,'0120 4度C'!$A:$A,"新豐7線",'0120 4度C'!$B:$B,"平均")</f>
        <v>117.02127659574468</v>
      </c>
      <c r="H13" s="75">
        <f>SUMIFS('0120 4度C'!$K:$K,'0120 4度C'!$A:$A,"新豐3線",'0120 4度C'!$B:$B,"平均")</f>
        <v>300</v>
      </c>
      <c r="I13" s="75">
        <f>SUMIFS('0120 4度C'!$K:$K,'0120 4度C'!$A:$A,"新豐1線",'0120 4度C'!$B:$B,"平均")</f>
        <v>105.9880239520958</v>
      </c>
      <c r="J13" s="76">
        <f>SUMIFS('0120 4度C'!$K:$K,'0120 4度C'!$A:$A,"新豐10線",'0120 4度C'!$B:$B,"平均")</f>
        <v>188.67924528301887</v>
      </c>
      <c r="K13" s="77">
        <f>SUMIFS('0120 4度C'!$K:$K,'0120 4度C'!$A:$A,"新豐8線",'0120 4度C'!$B:$B,"平均")</f>
        <v>132.11009174311926</v>
      </c>
      <c r="L13" s="78">
        <f>SUMIFS('0120 4度C'!$K:$K,'0120 4度C'!$A:$A,"新豐9線",'0120 4度C'!$B:$B,"平均")</f>
        <v>136.17021276595744</v>
      </c>
      <c r="M13" s="76">
        <f>SUMIFS('0120 4度C'!$K:$K,'0120 4度C'!$A:$A,"新豐4線",'0120 4度C'!$B:$B,"平均")</f>
        <v>148.45360824742266</v>
      </c>
    </row>
    <row r="14" spans="2:17" ht="39.6" customHeight="1">
      <c r="B14" s="447"/>
      <c r="C14" s="79" t="s">
        <v>1666</v>
      </c>
      <c r="D14" s="80">
        <f>SUMIFS('0120 4度C'!$N:$N,'0120 4度C'!$A:$A,"新豐6線",'0120 4度C'!$B:$B,"平均")</f>
        <v>110.62769854729987</v>
      </c>
      <c r="E14" s="81">
        <f>SUMIFS('0120 4度C'!$N:$N,'0120 4度C'!$A:$A,"新豐2線",'0120 4度C'!$B:$B,"平均")</f>
        <v>79.440836940836945</v>
      </c>
      <c r="F14" s="81">
        <f>SUMIFS('0120 4度C'!$N:$N,'0120 4度C'!$A:$A,"新豐5線",'0120 4度C'!$B:$B,"平均")</f>
        <v>111.3116398441741</v>
      </c>
      <c r="G14" s="81">
        <f>SUMIFS('0120 4度C'!$N:$N,'0120 4度C'!$A:$A,"新豐7線",'0120 4度C'!$B:$B,"平均")</f>
        <v>112.48948301334661</v>
      </c>
      <c r="H14" s="81">
        <f>SUMIFS('0120 4度C'!$N:$N,'0120 4度C'!$A:$A,"新豐3線",'0120 4度C'!$B:$B,"平均")</f>
        <v>286.80060086829417</v>
      </c>
      <c r="I14" s="81">
        <f>SUMIFS('0120 4度C'!$N:$N,'0120 4度C'!$A:$A,"新豐1線",'0120 4度C'!$B:$B,"平均")</f>
        <v>99.417860547410555</v>
      </c>
      <c r="J14" s="82">
        <f>SUMIFS('0120 4度C'!$N:$N,'0120 4度C'!$A:$A,"新豐10線",'0120 4度C'!$B:$B,"平均")</f>
        <v>181.60683377514425</v>
      </c>
      <c r="K14" s="83">
        <f>SUMIFS('0120 4度C'!$N:$N,'0120 4度C'!$A:$A,"新豐8線",'0120 4度C'!$B:$B,"平均")</f>
        <v>126.18394328119217</v>
      </c>
      <c r="L14" s="84">
        <f>SUMIFS('0120 4度C'!$N:$N,'0120 4度C'!$A:$A,"新豐9線",'0120 4度C'!$B:$B,"平均")</f>
        <v>130.60938368281407</v>
      </c>
      <c r="M14" s="82">
        <f>SUMIFS('0120 4度C'!$N:$N,'0120 4度C'!$A:$A,"新豐4線",'0120 4度C'!$B:$B,"平均")</f>
        <v>141.55363382939669</v>
      </c>
    </row>
    <row r="15" spans="2:17" ht="40.15" customHeight="1">
      <c r="B15" s="448"/>
      <c r="C15" s="85" t="s">
        <v>1667</v>
      </c>
      <c r="D15" s="86">
        <f t="shared" ref="D15:M15" si="0">D14/D13</f>
        <v>0.95877338740993223</v>
      </c>
      <c r="E15" s="87">
        <f t="shared" si="0"/>
        <v>0.95329004329004341</v>
      </c>
      <c r="F15" s="87">
        <f t="shared" si="0"/>
        <v>0.95597055395584807</v>
      </c>
      <c r="G15" s="87">
        <f t="shared" si="0"/>
        <v>0.96127376393223474</v>
      </c>
      <c r="H15" s="87">
        <f t="shared" si="0"/>
        <v>0.95600200289431392</v>
      </c>
      <c r="I15" s="87">
        <f t="shared" si="0"/>
        <v>0.93801032267895845</v>
      </c>
      <c r="J15" s="88">
        <f t="shared" si="0"/>
        <v>0.96251621900826456</v>
      </c>
      <c r="K15" s="86">
        <f t="shared" si="0"/>
        <v>0.95514234844791301</v>
      </c>
      <c r="L15" s="87">
        <f t="shared" si="0"/>
        <v>0.95916266142066586</v>
      </c>
      <c r="M15" s="88">
        <f t="shared" si="0"/>
        <v>0.95352100565635278</v>
      </c>
    </row>
    <row r="16" spans="2:17" ht="17.25" customHeight="1">
      <c r="B16" s="449" t="s">
        <v>187</v>
      </c>
      <c r="C16" s="89" t="s">
        <v>188</v>
      </c>
      <c r="D16" s="90">
        <f>VLOOKUP("新豐6線",'0120 4度C'!$A:$T,19,0)</f>
        <v>0.70833333333333337</v>
      </c>
      <c r="E16" s="91">
        <f>VLOOKUP("新豐2線",'0120 4度C'!$A:$T,19,0)</f>
        <v>0.16666666666666666</v>
      </c>
      <c r="F16" s="91">
        <f>VLOOKUP("新豐5線",'0120 4度C'!$A:$T,19,0)</f>
        <v>0.20833333333333334</v>
      </c>
      <c r="G16" s="91">
        <f>VLOOKUP("新豐7線",'0120 4度C'!$A:$T,19,0)</f>
        <v>0.20833333333333334</v>
      </c>
      <c r="H16" s="91">
        <f>VLOOKUP("新豐3線",'0120 4度C'!$A:$T,19,0)</f>
        <v>8.3333333333333329E-2</v>
      </c>
      <c r="I16" s="91">
        <f>VLOOKUP("新豐1線",'0120 4度C'!$A:$T,19,0)</f>
        <v>0.20833333333333334</v>
      </c>
      <c r="J16" s="92">
        <f>VLOOKUP("新豐10線",'0120 4度C'!$A:$T,19,0)</f>
        <v>0.20833333333333334</v>
      </c>
      <c r="K16" s="93">
        <f>VLOOKUP("新豐8線",'0120 4度C'!$A:$T,19,0)</f>
        <v>8.3333333333333329E-2</v>
      </c>
      <c r="L16" s="94">
        <f>VLOOKUP("新豐9線",'0120 4度C'!$A:$T,19,0)</f>
        <v>8.3333333333333329E-2</v>
      </c>
      <c r="M16" s="95">
        <f>VLOOKUP("新豐4線",'0120 4度C'!$A:$T,19,0)</f>
        <v>8.3333333333333329E-2</v>
      </c>
    </row>
    <row r="17" spans="2:13" ht="17.25" customHeight="1">
      <c r="B17" s="450"/>
      <c r="C17" s="89" t="s">
        <v>1668</v>
      </c>
      <c r="D17" s="93">
        <f>LOOKUP(2,1/(('0120 4度C'!$A:$A="新豐6線")*('0120 4度C'!$T:$T&lt;&gt;"")),'0120 4度C'!$T:$T)</f>
        <v>0.94861111111111107</v>
      </c>
      <c r="E17" s="91">
        <f>LOOKUP(2,1/(('0120 4度C'!$A:$A="新豐2線")*('0120 4度C'!$T:$T&lt;&gt;"")),'0120 4度C'!$T:$T)</f>
        <v>0.41180555555555554</v>
      </c>
      <c r="F17" s="91">
        <f>LOOKUP(2,1/(('0120 4度C'!$A:$A="新豐5線")*('0120 4度C'!$T:$T&lt;&gt;"")),'0120 4度C'!$T:$T)</f>
        <v>0.93680555555555556</v>
      </c>
      <c r="G17" s="91">
        <f>LOOKUP(2,1/(('0120 4度C'!$A:$A="新豐7線")*('0120 4度C'!$T:$T&lt;&gt;"")),'0120 4度C'!$T:$T)</f>
        <v>0.93888888888888888</v>
      </c>
      <c r="H17" s="91">
        <f>LOOKUP(2,1/(('0120 4度C'!$A:$A="新豐3線")*('0120 4度C'!$T:$T&lt;&gt;"")),'0120 4度C'!$T:$T)</f>
        <v>0.66388888888888875</v>
      </c>
      <c r="I17" s="91">
        <f>LOOKUP(2,1/(('0120 4度C'!$A:$A="新豐1線")*('0120 4度C'!$T:$T&lt;&gt;"")),'0120 4度C'!$T:$T)</f>
        <v>0.93819444444444444</v>
      </c>
      <c r="J17" s="92">
        <f>LOOKUP(2,1/(('0120 4度C'!$A:$A="新豐10線")*('0120 4度C'!$T:$T&lt;&gt;"")),'0120 4度C'!$T:$T)</f>
        <v>0.48680555555555549</v>
      </c>
      <c r="K17" s="90">
        <f>LOOKUP(2,1/(('0120 4度C'!$A:$A="新豐8線")*('0120 4度C'!$T:$T&lt;&gt;"")),'0120 4度C'!$T:$T)</f>
        <v>0.61597222222222214</v>
      </c>
      <c r="L17" s="91">
        <f>LOOKUP(2,1/(('0120 4度C'!$A:$A="新豐9線")*('0120 4度C'!$T:$T&lt;&gt;"")),'0120 4度C'!$T:$T)</f>
        <v>0.66666666666666663</v>
      </c>
      <c r="M17" s="92">
        <f>LOOKUP(2,1/(('0120 4度C'!$A:$A="新豐4線")*('0120 4度C'!$T:$T&lt;&gt;"")),'0120 4度C'!$T:$T)</f>
        <v>0.60833333333333328</v>
      </c>
    </row>
    <row r="18" spans="2:13" ht="17.25" customHeight="1">
      <c r="B18" s="428" t="s">
        <v>190</v>
      </c>
      <c r="C18" s="96" t="s">
        <v>41</v>
      </c>
      <c r="D18" s="97">
        <f>SUMIFS('0120 4度C'!$Y:$Y,'0120 4度C'!$A:$A,"新豐6線",'0120 4度C'!$B:$B,"平均")</f>
        <v>0</v>
      </c>
      <c r="E18" s="98">
        <f>SUMIFS('0120 4度C'!$Y:$Y,'0120 4度C'!$A:$A,"新豐2線",'0120 4度C'!$B:$B,"平均")</f>
        <v>0</v>
      </c>
      <c r="F18" s="98">
        <f>SUMIFS('0120 4度C'!$Y:$Y,'0120 4度C'!$A:$A,"新豐5線",'0120 4度C'!$B:$B,"平均")</f>
        <v>0</v>
      </c>
      <c r="G18" s="98">
        <f>SUMIFS('0120 4度C'!$Y:$Y,'0120 4度C'!$A:$A,"新豐7線",'0120 4度C'!$B:$B,"平均")</f>
        <v>0</v>
      </c>
      <c r="H18" s="98">
        <f>SUMIFS('0120 4度C'!$Y:$Y,'0120 4度C'!$A:$A,"新豐3線",'0120 4度C'!$B:$B,"平均")</f>
        <v>0</v>
      </c>
      <c r="I18" s="98">
        <f>SUMIFS('0120 4度C'!$Y:$Y,'0120 4度C'!$A:$A,"新豐1線",'0120 4度C'!$B:$B,"平均")</f>
        <v>0</v>
      </c>
      <c r="J18" s="99">
        <f>SUMIFS('0120 4度C'!$Y:$Y,'0120 4度C'!$A:$A,"新豐10線",'0120 4度C'!$B:$B,"平均")</f>
        <v>0</v>
      </c>
      <c r="K18" s="100">
        <f>SUMIFS('0120 4度C'!$Y:$Y,'0120 4度C'!$A:$A,"新豐8線",'0120 4度C'!$B:$B,"平均")</f>
        <v>0</v>
      </c>
      <c r="L18" s="98">
        <f>SUMIFS('0120 4度C'!$Y:$Y,'0120 4度C'!$A:$A,"新豐9線",'0120 4度C'!$B:$B,"平均")</f>
        <v>0</v>
      </c>
      <c r="M18" s="99">
        <f>SUMIFS('0120 4度C'!$Y:$Y,'0120 4度C'!$A:$A,"新豐4線",'0120 4度C'!$B:$B,"平均")</f>
        <v>0</v>
      </c>
    </row>
    <row r="19" spans="2:13" ht="17.25" customHeight="1">
      <c r="B19" s="429"/>
      <c r="C19" s="96" t="s">
        <v>42</v>
      </c>
      <c r="D19" s="97">
        <f>SUMIFS('0120 4度C'!$Z:$Z,'0120 4度C'!$A:$A,"新豐6線",'0120 4度C'!$B:$B,"平均")</f>
        <v>0</v>
      </c>
      <c r="E19" s="98">
        <f>SUMIFS('0120 4度C'!$Z:$Z,'0120 4度C'!$A:$A,"新豐2線",'0120 4度C'!$B:$B,"平均")</f>
        <v>0</v>
      </c>
      <c r="F19" s="98">
        <f>SUMIFS('0120 4度C'!$Z:$Z,'0120 4度C'!$A:$A,"新豐5線",'0120 4度C'!$B:$B,"平均")</f>
        <v>0</v>
      </c>
      <c r="G19" s="98">
        <f>SUMIFS('0120 4度C'!$Z:$Z,'0120 4度C'!$A:$A,"新豐7線",'0120 4度C'!$B:$B,"平均")</f>
        <v>0</v>
      </c>
      <c r="H19" s="98">
        <f>SUMIFS('0120 4度C'!$Z:$Z,'0120 4度C'!$A:$A,"新豐3線",'0120 4度C'!$B:$B,"平均")</f>
        <v>0</v>
      </c>
      <c r="I19" s="98">
        <f>SUMIFS('0120 4度C'!$Z:$Z,'0120 4度C'!$A:$A,"新豐1線",'0120 4度C'!$B:$B,"平均")</f>
        <v>0</v>
      </c>
      <c r="J19" s="99">
        <f>SUMIFS('0120 4度C'!$Z:$Z,'0120 4度C'!$A:$A,"新豐10線",'0120 4度C'!$B:$B,"平均")</f>
        <v>0</v>
      </c>
      <c r="K19" s="100">
        <f>SUMIFS('0120 4度C'!$Z:$Z,'0120 4度C'!$A:$A,"新豐8線",'0120 4度C'!$B:$B,"平均")</f>
        <v>0</v>
      </c>
      <c r="L19" s="98">
        <f>SUMIFS('0120 4度C'!$Z:$Z,'0120 4度C'!$A:$A,"新豐9線",'0120 4度C'!$B:$B,"平均")</f>
        <v>0</v>
      </c>
      <c r="M19" s="99">
        <f>SUMIFS('0120 4度C'!$Z:$Z,'0120 4度C'!$A:$A,"新豐4線",'0120 4度C'!$B:$B,"平均")</f>
        <v>0</v>
      </c>
    </row>
    <row r="20" spans="2:13" ht="17.25" customHeight="1">
      <c r="B20" s="428" t="s">
        <v>193</v>
      </c>
      <c r="C20" s="96" t="s">
        <v>41</v>
      </c>
      <c r="D20" s="97">
        <f>SUMIFS('0120 4度C'!$AC:$AC,'0120 4度C'!$A:$A,"新豐6線",'0120 4度C'!$B:$B,"平均")</f>
        <v>2</v>
      </c>
      <c r="E20" s="98">
        <f>SUMIFS('0120 4度C'!$AC:$AC,'0120 4度C'!$A:$A,"新豐2線",'0120 4度C'!$B:$B,"平均")</f>
        <v>2</v>
      </c>
      <c r="F20" s="98">
        <f>SUMIFS('0120 4度C'!$AC:$AC,'0120 4度C'!$A:$A,"新豐5線",'0120 4度C'!$B:$B,"平均")</f>
        <v>3</v>
      </c>
      <c r="G20" s="98">
        <f>SUMIFS('0120 4度C'!$AC:$AC,'0120 4度C'!$A:$A,"新豐7線",'0120 4度C'!$B:$B,"平均")</f>
        <v>3</v>
      </c>
      <c r="H20" s="98">
        <f>SUMIFS('0120 4度C'!$AC:$AC,'0120 4度C'!$A:$A,"新豐3線",'0120 4度C'!$B:$B,"平均")</f>
        <v>2</v>
      </c>
      <c r="I20" s="98">
        <f>SUMIFS('0120 4度C'!$AC:$AC,'0120 4度C'!$A:$A,"新豐1線",'0120 4度C'!$B:$B,"平均")</f>
        <v>6</v>
      </c>
      <c r="J20" s="99">
        <f>SUMIFS('0120 4度C'!$AC:$AC,'0120 4度C'!$A:$A,"新豐10線",'0120 4度C'!$B:$B,"平均")</f>
        <v>1</v>
      </c>
      <c r="K20" s="100">
        <f>SUMIFS('0120 4度C'!$AC:$AC,'0120 4度C'!$A:$A,"新豐8線",'0120 4度C'!$B:$B,"平均")</f>
        <v>8</v>
      </c>
      <c r="L20" s="98">
        <f>SUMIFS('0120 4度C'!$AC:$AC,'0120 4度C'!$A:$A,"新豐9線",'0120 4度C'!$B:$B,"平均")</f>
        <v>9</v>
      </c>
      <c r="M20" s="99">
        <f>SUMIFS('0120 4度C'!$AC:$AC,'0120 4度C'!$A:$A,"新豐4線",'0120 4度C'!$B:$B,"平均")</f>
        <v>8</v>
      </c>
    </row>
    <row r="21" spans="2:13" ht="17.25" customHeight="1">
      <c r="B21" s="429"/>
      <c r="C21" s="96" t="s">
        <v>194</v>
      </c>
      <c r="D21" s="97">
        <f>SUMIFS('0120 4度C'!$AD:$AD,'0120 4度C'!$A:$A,"新豐6線",'0120 4度C'!$B:$B,"平均")</f>
        <v>0</v>
      </c>
      <c r="E21" s="98">
        <f>SUMIFS('0120 4度C'!$AD:$AD,'0120 4度C'!$A:$A,"新豐2線",'0120 4度C'!$B:$B,"平均")</f>
        <v>0</v>
      </c>
      <c r="F21" s="98">
        <f>SUMIFS('0120 4度C'!$AD:$AD,'0120 4度C'!$A:$A,"新豐5線",'0120 4度C'!$B:$B,"平均")</f>
        <v>0</v>
      </c>
      <c r="G21" s="98">
        <f>SUMIFS('0120 4度C'!$AD:$AD,'0120 4度C'!$A:$A,"新豐7線",'0120 4度C'!$B:$B,"平均")</f>
        <v>0</v>
      </c>
      <c r="H21" s="98">
        <f>SUMIFS('0120 4度C'!$AD:$AD,'0120 4度C'!$A:$A,"新豐3線",'0120 4度C'!$B:$B,"平均")</f>
        <v>0</v>
      </c>
      <c r="I21" s="98">
        <f>SUMIFS('0120 4度C'!$AD:$AD,'0120 4度C'!$A:$A,"新豐1線",'0120 4度C'!$B:$B,"平均")</f>
        <v>0</v>
      </c>
      <c r="J21" s="99">
        <f>SUMIFS('0120 4度C'!$AD:$AD,'0120 4度C'!$A:$A,"新豐10線",'0120 4度C'!$B:$B,"平均")</f>
        <v>0</v>
      </c>
      <c r="K21" s="100">
        <f>SUMIFS('0120 4度C'!$AD:$AD,'0120 4度C'!$A:$A,"新豐8線",'0120 4度C'!$B:$B,"平均")</f>
        <v>0</v>
      </c>
      <c r="L21" s="98">
        <f>SUMIFS('0120 4度C'!$AD:$AD,'0120 4度C'!$A:$A,"新豐9線",'0120 4度C'!$B:$B,"平均")</f>
        <v>0</v>
      </c>
      <c r="M21" s="99">
        <f>SUMIFS('0120 4度C'!$AD:$AD,'0120 4度C'!$A:$A,"新豐4線",'0120 4度C'!$B:$B,"平均")</f>
        <v>0</v>
      </c>
    </row>
    <row r="22" spans="2:13" ht="17.25" customHeight="1">
      <c r="B22" s="430" t="s">
        <v>195</v>
      </c>
      <c r="C22" s="431"/>
      <c r="D22" s="101">
        <f>SUMIFS('0120 4度C'!$I:$I,'0120 4度C'!$A:$A,"新豐6線",'0120 4度C'!$B:$B,"平均")</f>
        <v>17.333333333333332</v>
      </c>
      <c r="E22" s="102">
        <f>SUMIFS('0120 4度C'!$I:$I,'0120 4度C'!$A:$A,"新豐2線",'0120 4度C'!$B:$B,"平均")</f>
        <v>18</v>
      </c>
      <c r="F22" s="102">
        <f>SUMIFS('0120 4度C'!$I:$I,'0120 4度C'!$A:$A,"新豐5線",'0120 4度C'!$B:$B,"平均")</f>
        <v>16.222222222222221</v>
      </c>
      <c r="G22" s="102">
        <f>SUMIFS('0120 4度C'!$I:$I,'0120 4度C'!$A:$A,"新豐7線",'0120 4度C'!$B:$B,"平均")</f>
        <v>15.666666666666666</v>
      </c>
      <c r="H22" s="102">
        <f>SUMIFS('0120 4度C'!$I:$I,'0120 4度C'!$A:$A,"新豐3線",'0120 4度C'!$B:$B,"平均")</f>
        <v>10</v>
      </c>
      <c r="I22" s="102">
        <f>SUMIFS('0120 4度C'!$I:$I,'0120 4度C'!$A:$A,"新豐1線",'0120 4度C'!$B:$B,"平均")</f>
        <v>18.555555555555557</v>
      </c>
      <c r="J22" s="103">
        <f>SUMIFS('0120 4度C'!$I:$I,'0120 4度C'!$A:$A,"新豐10線",'0120 4度C'!$B:$B,"平均")</f>
        <v>10.6</v>
      </c>
      <c r="K22" s="101">
        <f>SUMIFS('0120 4度C'!$I:$I,'0120 4度C'!$A:$A,"新豐8線",'0120 4度C'!$B:$B,"平均")</f>
        <v>18.166666666666668</v>
      </c>
      <c r="L22" s="102">
        <f>SUMIFS('0120 4度C'!$I:$I,'0120 4度C'!$A:$A,"新豐9線",'0120 4度C'!$B:$B,"平均")</f>
        <v>17.625</v>
      </c>
      <c r="M22" s="103">
        <f>SUMIFS('0120 4度C'!$I:$I,'0120 4度C'!$A:$A,"新豐4線",'0120 4度C'!$B:$B,"平均")</f>
        <v>16.166666666666668</v>
      </c>
    </row>
    <row r="23" spans="2:13" ht="17.25" customHeight="1">
      <c r="B23" s="430" t="s">
        <v>1669</v>
      </c>
      <c r="C23" s="431"/>
      <c r="D23" s="104" t="s">
        <v>157</v>
      </c>
      <c r="E23" s="105" t="s">
        <v>158</v>
      </c>
      <c r="F23" s="105" t="s">
        <v>197</v>
      </c>
      <c r="G23" s="105" t="s">
        <v>197</v>
      </c>
      <c r="H23" s="105" t="s">
        <v>159</v>
      </c>
      <c r="I23" s="105" t="s">
        <v>157</v>
      </c>
      <c r="J23" s="106" t="s">
        <v>159</v>
      </c>
      <c r="K23" s="104" t="s">
        <v>199</v>
      </c>
      <c r="L23" s="105" t="s">
        <v>199</v>
      </c>
      <c r="M23" s="106" t="s">
        <v>1670</v>
      </c>
    </row>
    <row r="24" spans="2:13" ht="17.25" customHeight="1">
      <c r="B24" s="430" t="s">
        <v>200</v>
      </c>
      <c r="C24" s="431"/>
      <c r="D24" s="104"/>
      <c r="E24" s="105"/>
      <c r="F24" s="105" t="s">
        <v>201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202</v>
      </c>
      <c r="C25" s="433"/>
      <c r="D25" s="107"/>
      <c r="E25" s="108" t="s">
        <v>203</v>
      </c>
      <c r="F25" s="426" t="s">
        <v>1671</v>
      </c>
      <c r="G25" s="427"/>
      <c r="H25" s="108" t="s">
        <v>1672</v>
      </c>
      <c r="I25" s="108" t="s">
        <v>206</v>
      </c>
      <c r="J25" s="109" t="s">
        <v>1672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7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6"/>
  <sheetViews>
    <sheetView topLeftCell="O1" zoomScale="80" zoomScaleNormal="80" workbookViewId="0">
      <pane ySplit="4" topLeftCell="A5" activePane="bottomLeft" state="frozen"/>
      <selection activeCell="F3" sqref="F3:G3"/>
      <selection pane="bottomLeft" activeCell="AA19" sqref="AA19:AB1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1737</v>
      </c>
      <c r="B1" s="1"/>
      <c r="C1" s="2" t="s">
        <v>1738</v>
      </c>
      <c r="D1" s="3">
        <f>SUM(F5:F83)</f>
        <v>182102</v>
      </c>
      <c r="E1" s="306" t="s">
        <v>1739</v>
      </c>
      <c r="F1" s="1">
        <f>SUM(G5:G83)</f>
        <v>6373240.5199999996</v>
      </c>
      <c r="G1" s="1" t="s">
        <v>1740</v>
      </c>
      <c r="H1" s="5">
        <f>L11+L14+L60+L70+L24+L76+L41+L50+L34+L83</f>
        <v>158.33611111111111</v>
      </c>
      <c r="I1" s="542" t="s">
        <v>1741</v>
      </c>
      <c r="J1" s="542"/>
      <c r="K1" s="542"/>
      <c r="L1" s="542" t="s">
        <v>1742</v>
      </c>
      <c r="M1" s="542"/>
      <c r="N1" s="542"/>
      <c r="O1" s="542" t="s">
        <v>1743</v>
      </c>
      <c r="P1" s="542"/>
      <c r="Q1" s="542"/>
      <c r="R1" s="542"/>
      <c r="S1" s="542" t="s">
        <v>1744</v>
      </c>
      <c r="T1" s="542"/>
      <c r="U1" s="542"/>
      <c r="V1" s="542"/>
      <c r="W1" s="542"/>
      <c r="X1" s="542"/>
      <c r="Y1" s="6" t="s">
        <v>1745</v>
      </c>
      <c r="Z1" s="7" t="s">
        <v>1746</v>
      </c>
      <c r="AA1" s="543" t="s">
        <v>1747</v>
      </c>
      <c r="AB1" s="543"/>
      <c r="AC1" s="156" t="s">
        <v>1745</v>
      </c>
      <c r="AD1" s="7" t="s">
        <v>1748</v>
      </c>
      <c r="AE1" s="542" t="s">
        <v>1749</v>
      </c>
      <c r="AF1" s="544"/>
      <c r="AG1" s="544"/>
    </row>
    <row r="2" spans="1:33" ht="26.25" customHeight="1">
      <c r="A2" s="49">
        <v>46042</v>
      </c>
      <c r="B2" s="50" t="s">
        <v>517</v>
      </c>
      <c r="C2" s="2" t="s">
        <v>1750</v>
      </c>
      <c r="D2" s="10">
        <f>AVERAGE(N11,N14,N60,N70,N24,N76,N34,N41,N50,N83)</f>
        <v>138.00419143299092</v>
      </c>
      <c r="E2" s="11" t="s">
        <v>14</v>
      </c>
      <c r="F2" s="12">
        <f>F1/D1</f>
        <v>34.998190684341743</v>
      </c>
      <c r="G2" s="1" t="s">
        <v>1751</v>
      </c>
      <c r="H2" s="318">
        <f>COUNT(H5:H83)</f>
        <v>13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SUM(Y11+Y14+Y24+Y34+Y41+Y50+Y60+Y70+Y76+Y83)</f>
        <v>0</v>
      </c>
      <c r="Z2" s="14">
        <f>SUM(Z11+Z14+Z24+Z34+Z41+Z50+Z60+Z70+Z76+Z83)</f>
        <v>0</v>
      </c>
      <c r="AA2" s="543"/>
      <c r="AB2" s="543"/>
      <c r="AC2" s="157">
        <v>44</v>
      </c>
      <c r="AD2" s="14">
        <f>SUM(AD11+AD14+AD24+AD34+AD41+AD50+AD60+AD70+AD76+AD83)</f>
        <v>0</v>
      </c>
      <c r="AE2" s="544"/>
      <c r="AF2" s="544"/>
      <c r="AG2" s="544"/>
    </row>
    <row r="3" spans="1:33" ht="40.5" customHeight="1">
      <c r="A3" s="491" t="s">
        <v>1752</v>
      </c>
      <c r="B3" s="491" t="s">
        <v>1753</v>
      </c>
      <c r="C3" s="491" t="s">
        <v>1754</v>
      </c>
      <c r="D3" s="491"/>
      <c r="E3" s="540" t="s">
        <v>1755</v>
      </c>
      <c r="F3" s="491" t="s">
        <v>1756</v>
      </c>
      <c r="G3" s="540" t="s">
        <v>1757</v>
      </c>
      <c r="H3" s="533" t="s">
        <v>1758</v>
      </c>
      <c r="I3" s="531" t="s">
        <v>1759</v>
      </c>
      <c r="J3" s="528" t="s">
        <v>1760</v>
      </c>
      <c r="K3" s="538" t="s">
        <v>1750</v>
      </c>
      <c r="L3" s="531" t="s">
        <v>1759</v>
      </c>
      <c r="M3" s="528" t="s">
        <v>1760</v>
      </c>
      <c r="N3" s="538" t="s">
        <v>1750</v>
      </c>
      <c r="O3" s="531" t="s">
        <v>1759</v>
      </c>
      <c r="P3" s="538" t="s">
        <v>1750</v>
      </c>
      <c r="Q3" s="529" t="s">
        <v>1761</v>
      </c>
      <c r="R3" s="507" t="s">
        <v>1762</v>
      </c>
      <c r="S3" s="539" t="s">
        <v>27</v>
      </c>
      <c r="T3" s="539"/>
      <c r="U3" s="533" t="s">
        <v>28</v>
      </c>
      <c r="V3" s="533" t="s">
        <v>1763</v>
      </c>
      <c r="W3" s="491" t="s">
        <v>1764</v>
      </c>
      <c r="X3" s="491"/>
      <c r="Y3" s="534" t="s">
        <v>1765</v>
      </c>
      <c r="Z3" s="495"/>
      <c r="AA3" s="535" t="s">
        <v>1766</v>
      </c>
      <c r="AB3" s="536"/>
      <c r="AC3" s="534" t="s">
        <v>1767</v>
      </c>
      <c r="AD3" s="495"/>
      <c r="AE3" s="528" t="s">
        <v>1760</v>
      </c>
      <c r="AF3" s="529" t="s">
        <v>1768</v>
      </c>
      <c r="AG3" s="507" t="s">
        <v>1769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17" t="s">
        <v>37</v>
      </c>
      <c r="T4" s="317" t="s">
        <v>38</v>
      </c>
      <c r="U4" s="533"/>
      <c r="V4" s="533"/>
      <c r="W4" s="306" t="s">
        <v>1770</v>
      </c>
      <c r="X4" s="306" t="s">
        <v>1771</v>
      </c>
      <c r="Y4" s="308" t="s">
        <v>1772</v>
      </c>
      <c r="Z4" s="308" t="s">
        <v>1773</v>
      </c>
      <c r="AA4" s="537"/>
      <c r="AB4" s="536"/>
      <c r="AC4" s="308" t="s">
        <v>1774</v>
      </c>
      <c r="AD4" s="308" t="s">
        <v>1775</v>
      </c>
      <c r="AE4" s="528"/>
      <c r="AF4" s="529"/>
      <c r="AG4" s="507"/>
    </row>
    <row r="5" spans="1:33">
      <c r="A5" s="530" t="s">
        <v>1776</v>
      </c>
      <c r="B5" s="42" t="s">
        <v>103</v>
      </c>
      <c r="C5" s="532" t="s">
        <v>120</v>
      </c>
      <c r="D5" s="532"/>
      <c r="E5" s="42">
        <v>50.67</v>
      </c>
      <c r="F5" s="317">
        <v>1366</v>
      </c>
      <c r="G5" s="306">
        <f t="shared" ref="G5:G10" si="0">E5*F5</f>
        <v>69215.22</v>
      </c>
      <c r="H5" s="319" t="s">
        <v>79</v>
      </c>
      <c r="I5" s="315">
        <v>17</v>
      </c>
      <c r="J5" s="37">
        <v>2000</v>
      </c>
      <c r="K5" s="17">
        <f t="shared" ref="K5:K68" si="1">J5/I5</f>
        <v>117.64705882352941</v>
      </c>
      <c r="L5" s="315">
        <v>17</v>
      </c>
      <c r="M5" s="18">
        <f t="shared" ref="M5:M10" si="2">F5/V5*60</f>
        <v>1906.0465116279067</v>
      </c>
      <c r="N5" s="17">
        <f t="shared" ref="N5:N68" si="3">M5/L5</f>
        <v>112.12038303693569</v>
      </c>
      <c r="O5" s="19">
        <f t="shared" ref="O5:O68" si="4">L5-I5</f>
        <v>0</v>
      </c>
      <c r="P5" s="20">
        <f t="shared" ref="P5:P68" si="5">N5-K5</f>
        <v>-5.5266757865937137</v>
      </c>
      <c r="Q5" s="309">
        <f t="shared" ref="Q5:Q68" si="6">N5/K5</f>
        <v>0.95302325581395342</v>
      </c>
      <c r="R5" s="489">
        <f>Q11</f>
        <v>0.95877338740993223</v>
      </c>
      <c r="S5" s="40">
        <v>0.70833333333333337</v>
      </c>
      <c r="T5" s="40">
        <v>0.73819444444444449</v>
      </c>
      <c r="U5" s="306"/>
      <c r="V5" s="316">
        <f t="shared" ref="V5:V10" si="7">(T5-S5)*24*60</f>
        <v>43.000000000000007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-93.953488372093261</v>
      </c>
      <c r="AF5" s="309">
        <f t="shared" ref="AF5:AF68" si="9">M5/J5</f>
        <v>0.95302325581395342</v>
      </c>
      <c r="AG5" s="489">
        <f>AF11</f>
        <v>0.95877338740993223</v>
      </c>
    </row>
    <row r="6" spans="1:33">
      <c r="A6" s="531" t="s">
        <v>46</v>
      </c>
      <c r="B6" s="42" t="s">
        <v>103</v>
      </c>
      <c r="C6" s="532" t="s">
        <v>121</v>
      </c>
      <c r="D6" s="532"/>
      <c r="E6" s="42">
        <v>54.09</v>
      </c>
      <c r="F6" s="317">
        <v>1344</v>
      </c>
      <c r="G6" s="306">
        <f t="shared" si="0"/>
        <v>72696.960000000006</v>
      </c>
      <c r="H6" s="319" t="s">
        <v>79</v>
      </c>
      <c r="I6" s="315">
        <v>19</v>
      </c>
      <c r="J6" s="37">
        <v>2000</v>
      </c>
      <c r="K6" s="17">
        <f t="shared" si="1"/>
        <v>105.26315789473684</v>
      </c>
      <c r="L6" s="315">
        <v>19</v>
      </c>
      <c r="M6" s="18">
        <f t="shared" si="2"/>
        <v>1919.9999999999993</v>
      </c>
      <c r="N6" s="17">
        <f t="shared" si="3"/>
        <v>101.05263157894733</v>
      </c>
      <c r="O6" s="19">
        <f t="shared" si="4"/>
        <v>0</v>
      </c>
      <c r="P6" s="20">
        <f t="shared" si="5"/>
        <v>-4.2105263157895081</v>
      </c>
      <c r="Q6" s="309">
        <f t="shared" si="6"/>
        <v>0.95999999999999963</v>
      </c>
      <c r="R6" s="489"/>
      <c r="S6" s="40">
        <v>0.74375000000000002</v>
      </c>
      <c r="T6" s="40">
        <v>0.7729166666666667</v>
      </c>
      <c r="U6" s="306">
        <f t="shared" ref="U6:U10" si="10">IF(S6=TIME(17,0,0),"",(S6-T5)*24*60)</f>
        <v>7.9999999999999716</v>
      </c>
      <c r="V6" s="316">
        <f t="shared" si="7"/>
        <v>42.000000000000014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-80.000000000000682</v>
      </c>
      <c r="AF6" s="309">
        <f t="shared" si="9"/>
        <v>0.95999999999999963</v>
      </c>
      <c r="AG6" s="489"/>
    </row>
    <row r="7" spans="1:33">
      <c r="A7" s="531" t="s">
        <v>46</v>
      </c>
      <c r="B7" s="42" t="s">
        <v>103</v>
      </c>
      <c r="C7" s="523" t="s">
        <v>122</v>
      </c>
      <c r="D7" s="524"/>
      <c r="E7" s="42">
        <v>50.29</v>
      </c>
      <c r="F7" s="317">
        <v>1059</v>
      </c>
      <c r="G7" s="306">
        <f t="shared" si="0"/>
        <v>53257.11</v>
      </c>
      <c r="H7" s="319" t="s">
        <v>79</v>
      </c>
      <c r="I7" s="315">
        <v>16</v>
      </c>
      <c r="J7" s="37">
        <v>2000</v>
      </c>
      <c r="K7" s="17">
        <f t="shared" si="1"/>
        <v>125</v>
      </c>
      <c r="L7" s="315">
        <v>16</v>
      </c>
      <c r="M7" s="18">
        <f t="shared" si="2"/>
        <v>1925.454545454543</v>
      </c>
      <c r="N7" s="17">
        <f t="shared" si="3"/>
        <v>120.34090909090894</v>
      </c>
      <c r="O7" s="19">
        <f t="shared" si="4"/>
        <v>0</v>
      </c>
      <c r="P7" s="20">
        <f t="shared" si="5"/>
        <v>-4.6590909090910628</v>
      </c>
      <c r="Q7" s="309">
        <f t="shared" si="6"/>
        <v>0.96272727272727154</v>
      </c>
      <c r="R7" s="489"/>
      <c r="S7" s="40">
        <v>0.77708333333333335</v>
      </c>
      <c r="T7" s="40">
        <v>0.8</v>
      </c>
      <c r="U7" s="306">
        <f t="shared" si="10"/>
        <v>5.9999999999999787</v>
      </c>
      <c r="V7" s="316">
        <f t="shared" si="7"/>
        <v>33.000000000000043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-74.545454545457005</v>
      </c>
      <c r="AF7" s="309">
        <f t="shared" si="9"/>
        <v>0.96272727272727154</v>
      </c>
      <c r="AG7" s="489"/>
    </row>
    <row r="8" spans="1:33">
      <c r="A8" s="531" t="s">
        <v>46</v>
      </c>
      <c r="B8" s="42" t="s">
        <v>103</v>
      </c>
      <c r="C8" s="523" t="s">
        <v>515</v>
      </c>
      <c r="D8" s="524"/>
      <c r="E8" s="42">
        <v>50.67</v>
      </c>
      <c r="F8" s="317">
        <v>1571</v>
      </c>
      <c r="G8" s="306">
        <f t="shared" si="0"/>
        <v>79602.570000000007</v>
      </c>
      <c r="H8" s="319" t="s">
        <v>79</v>
      </c>
      <c r="I8" s="315">
        <v>21</v>
      </c>
      <c r="J8" s="37">
        <v>2000</v>
      </c>
      <c r="K8" s="17">
        <f t="shared" si="1"/>
        <v>95.238095238095241</v>
      </c>
      <c r="L8" s="315">
        <v>21</v>
      </c>
      <c r="M8" s="18">
        <f t="shared" si="2"/>
        <v>1923.6734693877556</v>
      </c>
      <c r="N8" s="17">
        <f t="shared" si="3"/>
        <v>91.603498542274082</v>
      </c>
      <c r="O8" s="19">
        <f t="shared" si="4"/>
        <v>0</v>
      </c>
      <c r="P8" s="20">
        <f t="shared" si="5"/>
        <v>-3.6345966958211591</v>
      </c>
      <c r="Q8" s="309">
        <f t="shared" si="6"/>
        <v>0.96183673469387787</v>
      </c>
      <c r="R8" s="489"/>
      <c r="S8" s="40">
        <v>0.80347222222222225</v>
      </c>
      <c r="T8" s="40">
        <v>0.83750000000000002</v>
      </c>
      <c r="U8" s="306">
        <f t="shared" si="10"/>
        <v>4.9999999999999822</v>
      </c>
      <c r="V8" s="316">
        <f t="shared" si="7"/>
        <v>48.999999999999986</v>
      </c>
      <c r="W8" s="23">
        <f>T8</f>
        <v>0.83750000000000002</v>
      </c>
      <c r="X8" s="23">
        <f>S9</f>
        <v>0.87638888888888888</v>
      </c>
      <c r="Y8" s="29"/>
      <c r="Z8" s="29"/>
      <c r="AA8" s="503"/>
      <c r="AB8" s="504"/>
      <c r="AC8" s="155"/>
      <c r="AD8" s="27"/>
      <c r="AE8" s="19">
        <f t="shared" si="8"/>
        <v>-76.326530612244369</v>
      </c>
      <c r="AF8" s="309">
        <f t="shared" si="9"/>
        <v>0.96183673469387787</v>
      </c>
      <c r="AG8" s="489"/>
    </row>
    <row r="9" spans="1:33">
      <c r="A9" s="531" t="s">
        <v>46</v>
      </c>
      <c r="B9" s="42" t="s">
        <v>103</v>
      </c>
      <c r="C9" s="523" t="s">
        <v>123</v>
      </c>
      <c r="D9" s="524"/>
      <c r="E9" s="42">
        <v>50.98</v>
      </c>
      <c r="F9" s="317">
        <v>1604</v>
      </c>
      <c r="G9" s="306">
        <f t="shared" si="0"/>
        <v>81771.92</v>
      </c>
      <c r="H9" s="319" t="s">
        <v>79</v>
      </c>
      <c r="I9" s="315">
        <v>16</v>
      </c>
      <c r="J9" s="37">
        <v>2000</v>
      </c>
      <c r="K9" s="17">
        <f t="shared" si="1"/>
        <v>125</v>
      </c>
      <c r="L9" s="315">
        <v>16</v>
      </c>
      <c r="M9" s="18">
        <f t="shared" si="2"/>
        <v>1924.8000000000006</v>
      </c>
      <c r="N9" s="17">
        <f t="shared" si="3"/>
        <v>120.30000000000004</v>
      </c>
      <c r="O9" s="19">
        <f t="shared" si="4"/>
        <v>0</v>
      </c>
      <c r="P9" s="20">
        <f t="shared" si="5"/>
        <v>-4.6999999999999602</v>
      </c>
      <c r="Q9" s="309">
        <f t="shared" si="6"/>
        <v>0.96240000000000037</v>
      </c>
      <c r="R9" s="489"/>
      <c r="S9" s="40">
        <v>0.87638888888888888</v>
      </c>
      <c r="T9" s="40">
        <v>0.91111111111111109</v>
      </c>
      <c r="U9" s="306">
        <f t="shared" si="10"/>
        <v>55.999999999999957</v>
      </c>
      <c r="V9" s="316">
        <f t="shared" si="7"/>
        <v>49.999999999999986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-75.199999999999363</v>
      </c>
      <c r="AF9" s="309">
        <f t="shared" si="9"/>
        <v>0.96240000000000037</v>
      </c>
      <c r="AG9" s="489"/>
    </row>
    <row r="10" spans="1:33">
      <c r="A10" s="531" t="s">
        <v>46</v>
      </c>
      <c r="B10" s="42" t="s">
        <v>103</v>
      </c>
      <c r="C10" s="523" t="s">
        <v>132</v>
      </c>
      <c r="D10" s="524"/>
      <c r="E10" s="42">
        <v>50.92</v>
      </c>
      <c r="F10" s="317">
        <v>1556</v>
      </c>
      <c r="G10" s="306">
        <f t="shared" si="0"/>
        <v>79231.520000000004</v>
      </c>
      <c r="H10" s="319" t="s">
        <v>79</v>
      </c>
      <c r="I10" s="315">
        <v>15</v>
      </c>
      <c r="J10" s="37">
        <v>2000</v>
      </c>
      <c r="K10" s="17">
        <f t="shared" si="1"/>
        <v>133.33333333333334</v>
      </c>
      <c r="L10" s="315">
        <v>15</v>
      </c>
      <c r="M10" s="18">
        <f t="shared" si="2"/>
        <v>1905.3061224489802</v>
      </c>
      <c r="N10" s="17">
        <f t="shared" si="3"/>
        <v>127.02040816326534</v>
      </c>
      <c r="O10" s="19">
        <f t="shared" si="4"/>
        <v>0</v>
      </c>
      <c r="P10" s="20">
        <f t="shared" si="5"/>
        <v>-6.3129251700679987</v>
      </c>
      <c r="Q10" s="309">
        <f t="shared" si="6"/>
        <v>0.95265306122449001</v>
      </c>
      <c r="R10" s="489"/>
      <c r="S10" s="40">
        <v>0.9145833333333333</v>
      </c>
      <c r="T10" s="40">
        <v>0.94861111111111107</v>
      </c>
      <c r="U10" s="306">
        <f t="shared" si="10"/>
        <v>4.9999999999999822</v>
      </c>
      <c r="V10" s="316">
        <f t="shared" si="7"/>
        <v>48.999999999999986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-94.693877551019796</v>
      </c>
      <c r="AF10" s="309">
        <f t="shared" si="9"/>
        <v>0.95265306122449012</v>
      </c>
      <c r="AG10" s="489"/>
    </row>
    <row r="11" spans="1:33">
      <c r="A11" s="531" t="s">
        <v>46</v>
      </c>
      <c r="B11" s="42" t="s">
        <v>299</v>
      </c>
      <c r="C11" s="494"/>
      <c r="D11" s="494"/>
      <c r="E11" s="310"/>
      <c r="F11" s="44"/>
      <c r="G11" s="17"/>
      <c r="H11" s="317"/>
      <c r="I11" s="30">
        <v>17.333333333333332</v>
      </c>
      <c r="J11" s="37">
        <v>2000</v>
      </c>
      <c r="K11" s="17">
        <f t="shared" si="1"/>
        <v>115.38461538461539</v>
      </c>
      <c r="L11" s="30">
        <v>17.333333333333332</v>
      </c>
      <c r="M11" s="18">
        <f>AVERAGE(M5:M10)</f>
        <v>1917.5467748198644</v>
      </c>
      <c r="N11" s="17">
        <f t="shared" si="3"/>
        <v>110.62769854729987</v>
      </c>
      <c r="O11" s="19">
        <f t="shared" si="4"/>
        <v>0</v>
      </c>
      <c r="P11" s="20">
        <f t="shared" si="5"/>
        <v>-4.7569168373155151</v>
      </c>
      <c r="Q11" s="309">
        <f t="shared" si="6"/>
        <v>0.95877338740993223</v>
      </c>
      <c r="R11" s="489"/>
      <c r="S11" s="40"/>
      <c r="T11" s="40"/>
      <c r="U11" s="306"/>
      <c r="V11" s="316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v>2</v>
      </c>
      <c r="AD11" s="31">
        <f>SUM(AD5:AD10)</f>
        <v>0</v>
      </c>
      <c r="AE11" s="19">
        <f t="shared" si="8"/>
        <v>-82.453225180135632</v>
      </c>
      <c r="AF11" s="309">
        <f t="shared" si="9"/>
        <v>0.95877338740993223</v>
      </c>
      <c r="AG11" s="489"/>
    </row>
    <row r="12" spans="1:33" ht="15.75" customHeight="1">
      <c r="A12" s="527" t="s">
        <v>50</v>
      </c>
      <c r="B12" s="42" t="s">
        <v>100</v>
      </c>
      <c r="C12" s="523" t="s">
        <v>124</v>
      </c>
      <c r="D12" s="524"/>
      <c r="E12" s="42">
        <v>39.619999999999997</v>
      </c>
      <c r="F12" s="317">
        <v>2997</v>
      </c>
      <c r="G12" s="306">
        <f t="shared" ref="G12:G13" si="11">E12*F12</f>
        <v>118741.14</v>
      </c>
      <c r="H12" s="319" t="s">
        <v>79</v>
      </c>
      <c r="I12" s="315">
        <v>19</v>
      </c>
      <c r="J12" s="37">
        <v>1500</v>
      </c>
      <c r="K12" s="17">
        <f t="shared" si="1"/>
        <v>78.94736842105263</v>
      </c>
      <c r="L12" s="315">
        <v>19</v>
      </c>
      <c r="M12" s="18">
        <f t="shared" ref="M12:M13" si="12">F12/V12*60</f>
        <v>1427.1428571428576</v>
      </c>
      <c r="N12" s="17">
        <f t="shared" si="3"/>
        <v>75.11278195488724</v>
      </c>
      <c r="O12" s="19">
        <f t="shared" si="4"/>
        <v>0</v>
      </c>
      <c r="P12" s="20">
        <f t="shared" si="5"/>
        <v>-3.8345864661653906</v>
      </c>
      <c r="Q12" s="309">
        <f t="shared" si="6"/>
        <v>0.95142857142857173</v>
      </c>
      <c r="R12" s="489">
        <f>Q14</f>
        <v>0.95329004329004341</v>
      </c>
      <c r="S12" s="40">
        <v>0.16666666666666666</v>
      </c>
      <c r="T12" s="40">
        <v>0.25416666666666665</v>
      </c>
      <c r="U12" s="306"/>
      <c r="V12" s="316">
        <f t="shared" ref="V12:V13" si="13">(T12-S12)*24*60</f>
        <v>125.99999999999997</v>
      </c>
      <c r="W12" s="23">
        <f>T12</f>
        <v>0.25416666666666665</v>
      </c>
      <c r="X12" s="23">
        <f>S13</f>
        <v>0.27430555555555552</v>
      </c>
      <c r="Y12" s="23"/>
      <c r="Z12" s="23"/>
      <c r="AA12" s="491"/>
      <c r="AB12" s="491"/>
      <c r="AC12" s="154">
        <v>2</v>
      </c>
      <c r="AD12" s="25"/>
      <c r="AE12" s="19">
        <f t="shared" si="8"/>
        <v>-72.857142857142435</v>
      </c>
      <c r="AF12" s="309">
        <f t="shared" si="9"/>
        <v>0.95142857142857173</v>
      </c>
      <c r="AG12" s="489">
        <f>AF14</f>
        <v>0.9532900432900433</v>
      </c>
    </row>
    <row r="13" spans="1:33" ht="15.75" customHeight="1">
      <c r="A13" s="527" t="s">
        <v>50</v>
      </c>
      <c r="B13" s="42" t="s">
        <v>100</v>
      </c>
      <c r="C13" s="523" t="s">
        <v>125</v>
      </c>
      <c r="D13" s="524"/>
      <c r="E13" s="42">
        <v>39.799999999999997</v>
      </c>
      <c r="F13" s="317">
        <v>4728</v>
      </c>
      <c r="G13" s="306">
        <f t="shared" si="11"/>
        <v>188174.4</v>
      </c>
      <c r="H13" s="319" t="s">
        <v>79</v>
      </c>
      <c r="I13" s="315">
        <v>17</v>
      </c>
      <c r="J13" s="37">
        <v>1500</v>
      </c>
      <c r="K13" s="17">
        <f t="shared" si="1"/>
        <v>88.235294117647058</v>
      </c>
      <c r="L13" s="315">
        <v>17</v>
      </c>
      <c r="M13" s="18">
        <f t="shared" si="12"/>
        <v>1432.7272727272725</v>
      </c>
      <c r="N13" s="17">
        <f t="shared" si="3"/>
        <v>84.278074866310149</v>
      </c>
      <c r="O13" s="19">
        <f t="shared" si="4"/>
        <v>0</v>
      </c>
      <c r="P13" s="20">
        <f t="shared" si="5"/>
        <v>-3.9572192513369089</v>
      </c>
      <c r="Q13" s="309">
        <f t="shared" si="6"/>
        <v>0.95515151515151508</v>
      </c>
      <c r="R13" s="489"/>
      <c r="S13" s="40">
        <v>0.27430555555555552</v>
      </c>
      <c r="T13" s="40">
        <v>0.41180555555555554</v>
      </c>
      <c r="U13" s="306">
        <f t="shared" ref="U13" si="14">IF(S13=TIME(17,0,0),"",(S13-T12)*24*60)</f>
        <v>28.999999999999979</v>
      </c>
      <c r="V13" s="316">
        <f t="shared" si="13"/>
        <v>198.00000000000003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-67.272727272727479</v>
      </c>
      <c r="AF13" s="309">
        <f t="shared" si="9"/>
        <v>0.95515151515151497</v>
      </c>
      <c r="AG13" s="489"/>
    </row>
    <row r="14" spans="1:33" ht="16.5" customHeight="1">
      <c r="A14" s="527" t="s">
        <v>50</v>
      </c>
      <c r="B14" s="42" t="s">
        <v>299</v>
      </c>
      <c r="C14" s="494"/>
      <c r="D14" s="494"/>
      <c r="E14" s="310"/>
      <c r="F14" s="37"/>
      <c r="G14" s="18"/>
      <c r="H14" s="317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1429.9350649350649</v>
      </c>
      <c r="N14" s="17">
        <f t="shared" si="3"/>
        <v>79.440836940836945</v>
      </c>
      <c r="O14" s="19">
        <f t="shared" si="4"/>
        <v>0</v>
      </c>
      <c r="P14" s="20">
        <f t="shared" si="5"/>
        <v>-3.8924963924963834</v>
      </c>
      <c r="Q14" s="309">
        <f t="shared" si="6"/>
        <v>0.95329004329004341</v>
      </c>
      <c r="R14" s="489"/>
      <c r="S14" s="40"/>
      <c r="T14" s="40"/>
      <c r="U14" s="17"/>
      <c r="V14" s="316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v>2</v>
      </c>
      <c r="AD14" s="31">
        <f>SUM(AD12:AD13)</f>
        <v>0</v>
      </c>
      <c r="AE14" s="19">
        <f t="shared" si="8"/>
        <v>-70.064935064935071</v>
      </c>
      <c r="AF14" s="309">
        <f t="shared" si="9"/>
        <v>0.9532900432900433</v>
      </c>
      <c r="AG14" s="489"/>
    </row>
    <row r="15" spans="1:33" ht="16.5" customHeight="1">
      <c r="A15" s="525" t="s">
        <v>52</v>
      </c>
      <c r="B15" s="317" t="s">
        <v>126</v>
      </c>
      <c r="C15" s="515" t="s">
        <v>127</v>
      </c>
      <c r="D15" s="515"/>
      <c r="E15" s="42">
        <v>41</v>
      </c>
      <c r="F15" s="317">
        <v>2290</v>
      </c>
      <c r="G15" s="306">
        <f t="shared" ref="G15:G23" si="15">E15*F15</f>
        <v>93890</v>
      </c>
      <c r="H15" s="319" t="s">
        <v>79</v>
      </c>
      <c r="I15" s="315">
        <v>26</v>
      </c>
      <c r="J15" s="37">
        <v>1500</v>
      </c>
      <c r="K15" s="17">
        <f t="shared" si="1"/>
        <v>57.692307692307693</v>
      </c>
      <c r="L15" s="315">
        <v>26</v>
      </c>
      <c r="M15" s="18">
        <f t="shared" ref="M15:M23" si="16">F15/V15*60</f>
        <v>1431.2499999999998</v>
      </c>
      <c r="N15" s="17">
        <f t="shared" si="3"/>
        <v>55.048076923076913</v>
      </c>
      <c r="O15" s="19">
        <f t="shared" si="4"/>
        <v>0</v>
      </c>
      <c r="P15" s="20">
        <f t="shared" si="5"/>
        <v>-2.6442307692307807</v>
      </c>
      <c r="Q15" s="309">
        <f t="shared" si="6"/>
        <v>0.9541666666666665</v>
      </c>
      <c r="R15" s="489">
        <f>Q24</f>
        <v>0.95597055395584807</v>
      </c>
      <c r="S15" s="40">
        <v>0.20833333333333334</v>
      </c>
      <c r="T15" s="40">
        <v>0.27500000000000002</v>
      </c>
      <c r="U15" s="306"/>
      <c r="V15" s="316">
        <f t="shared" ref="V15:V23" si="17">(T15-S15)*24*60</f>
        <v>96.000000000000014</v>
      </c>
      <c r="W15" s="28"/>
      <c r="X15" s="28"/>
      <c r="Y15" s="28"/>
      <c r="Z15" s="28"/>
      <c r="AA15" s="491"/>
      <c r="AB15" s="491"/>
      <c r="AC15" s="154">
        <v>3</v>
      </c>
      <c r="AD15" s="25"/>
      <c r="AE15" s="19">
        <f t="shared" si="8"/>
        <v>-68.750000000000227</v>
      </c>
      <c r="AF15" s="309">
        <f t="shared" si="9"/>
        <v>0.9541666666666665</v>
      </c>
      <c r="AG15" s="489">
        <f>AF24</f>
        <v>0.95597055395584807</v>
      </c>
    </row>
    <row r="16" spans="1:33" ht="16.5" customHeight="1">
      <c r="A16" s="526" t="s">
        <v>52</v>
      </c>
      <c r="B16" s="317" t="s">
        <v>128</v>
      </c>
      <c r="C16" s="515" t="s">
        <v>129</v>
      </c>
      <c r="D16" s="515"/>
      <c r="E16" s="42">
        <v>72.400000000000006</v>
      </c>
      <c r="F16" s="317">
        <v>1091</v>
      </c>
      <c r="G16" s="306">
        <f t="shared" si="15"/>
        <v>78988.400000000009</v>
      </c>
      <c r="H16" s="319" t="s">
        <v>79</v>
      </c>
      <c r="I16" s="315">
        <v>18</v>
      </c>
      <c r="J16" s="37">
        <v>1500</v>
      </c>
      <c r="K16" s="17">
        <f t="shared" si="1"/>
        <v>83.333333333333329</v>
      </c>
      <c r="L16" s="315">
        <v>18</v>
      </c>
      <c r="M16" s="18">
        <f t="shared" si="16"/>
        <v>1454.6666666666665</v>
      </c>
      <c r="N16" s="17">
        <f t="shared" si="3"/>
        <v>80.81481481481481</v>
      </c>
      <c r="O16" s="19">
        <f t="shared" si="4"/>
        <v>0</v>
      </c>
      <c r="P16" s="20">
        <f t="shared" si="5"/>
        <v>-2.518518518518519</v>
      </c>
      <c r="Q16" s="309">
        <f t="shared" si="6"/>
        <v>0.96977777777777774</v>
      </c>
      <c r="R16" s="489"/>
      <c r="S16" s="40">
        <v>0.27847222222222223</v>
      </c>
      <c r="T16" s="40">
        <v>0.30972222222222223</v>
      </c>
      <c r="U16" s="306">
        <f t="shared" ref="U16:U23" si="18">IF(S16=TIME(17,0,0),"",(S16-T15)*24*60)</f>
        <v>4.9999999999999822</v>
      </c>
      <c r="V16" s="316">
        <f t="shared" si="17"/>
        <v>45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-45.333333333333485</v>
      </c>
      <c r="AF16" s="309">
        <f t="shared" si="9"/>
        <v>0.96977777777777763</v>
      </c>
      <c r="AG16" s="489"/>
    </row>
    <row r="17" spans="1:33" ht="16.5" customHeight="1">
      <c r="A17" s="526" t="s">
        <v>52</v>
      </c>
      <c r="B17" s="317" t="s">
        <v>103</v>
      </c>
      <c r="C17" s="515" t="s">
        <v>123</v>
      </c>
      <c r="D17" s="515"/>
      <c r="E17" s="42">
        <v>50.98</v>
      </c>
      <c r="F17" s="317">
        <v>800</v>
      </c>
      <c r="G17" s="306">
        <f t="shared" si="15"/>
        <v>40784</v>
      </c>
      <c r="H17" s="319">
        <v>2</v>
      </c>
      <c r="I17" s="315">
        <v>16</v>
      </c>
      <c r="J17" s="37">
        <v>2000</v>
      </c>
      <c r="K17" s="17">
        <f t="shared" si="1"/>
        <v>125</v>
      </c>
      <c r="L17" s="315">
        <v>16</v>
      </c>
      <c r="M17" s="18">
        <f t="shared" si="16"/>
        <v>1919.9999999999945</v>
      </c>
      <c r="N17" s="17">
        <f t="shared" si="3"/>
        <v>119.99999999999966</v>
      </c>
      <c r="O17" s="19">
        <f t="shared" si="4"/>
        <v>0</v>
      </c>
      <c r="P17" s="20">
        <f t="shared" si="5"/>
        <v>-5.0000000000003411</v>
      </c>
      <c r="Q17" s="309">
        <f t="shared" si="6"/>
        <v>0.9599999999999973</v>
      </c>
      <c r="R17" s="489"/>
      <c r="S17" s="40">
        <v>0.70833333333333337</v>
      </c>
      <c r="T17" s="40">
        <v>0.72569444444444453</v>
      </c>
      <c r="U17" s="306" t="str">
        <f t="shared" si="18"/>
        <v/>
      </c>
      <c r="V17" s="316">
        <f t="shared" si="17"/>
        <v>25.000000000000071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-80.000000000005457</v>
      </c>
      <c r="AF17" s="309">
        <f t="shared" si="9"/>
        <v>0.9599999999999973</v>
      </c>
      <c r="AG17" s="489"/>
    </row>
    <row r="18" spans="1:33" ht="16.5" customHeight="1">
      <c r="A18" s="526" t="s">
        <v>52</v>
      </c>
      <c r="B18" s="317" t="s">
        <v>103</v>
      </c>
      <c r="C18" s="515" t="s">
        <v>132</v>
      </c>
      <c r="D18" s="515"/>
      <c r="E18" s="42">
        <v>50.92</v>
      </c>
      <c r="F18" s="317">
        <v>800</v>
      </c>
      <c r="G18" s="306">
        <f t="shared" si="15"/>
        <v>40736</v>
      </c>
      <c r="H18" s="319">
        <v>2</v>
      </c>
      <c r="I18" s="315">
        <v>15</v>
      </c>
      <c r="J18" s="37">
        <v>2000</v>
      </c>
      <c r="K18" s="17">
        <f t="shared" si="1"/>
        <v>133.33333333333334</v>
      </c>
      <c r="L18" s="315">
        <v>15</v>
      </c>
      <c r="M18" s="18">
        <f t="shared" si="16"/>
        <v>1919.9999999999945</v>
      </c>
      <c r="N18" s="17">
        <f t="shared" si="3"/>
        <v>127.99999999999963</v>
      </c>
      <c r="O18" s="19">
        <f t="shared" si="4"/>
        <v>0</v>
      </c>
      <c r="P18" s="20">
        <f t="shared" si="5"/>
        <v>-5.3333333333337123</v>
      </c>
      <c r="Q18" s="309">
        <f t="shared" si="6"/>
        <v>0.95999999999999719</v>
      </c>
      <c r="R18" s="489"/>
      <c r="S18" s="40">
        <v>0.72916666666666674</v>
      </c>
      <c r="T18" s="40">
        <v>0.7465277777777779</v>
      </c>
      <c r="U18" s="306">
        <f t="shared" si="18"/>
        <v>4.9999999999999822</v>
      </c>
      <c r="V18" s="316">
        <f t="shared" si="17"/>
        <v>25.000000000000071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-80.000000000005457</v>
      </c>
      <c r="AF18" s="309">
        <f t="shared" si="9"/>
        <v>0.9599999999999973</v>
      </c>
      <c r="AG18" s="489"/>
    </row>
    <row r="19" spans="1:33" ht="16.5" customHeight="1">
      <c r="A19" s="526" t="s">
        <v>52</v>
      </c>
      <c r="B19" s="317" t="s">
        <v>103</v>
      </c>
      <c r="C19" s="515" t="s">
        <v>133</v>
      </c>
      <c r="D19" s="515"/>
      <c r="E19" s="42">
        <v>50.67</v>
      </c>
      <c r="F19" s="317">
        <v>500</v>
      </c>
      <c r="G19" s="306">
        <f t="shared" si="15"/>
        <v>25335</v>
      </c>
      <c r="H19" s="319">
        <v>2</v>
      </c>
      <c r="I19" s="315">
        <v>15</v>
      </c>
      <c r="J19" s="37">
        <v>2000</v>
      </c>
      <c r="K19" s="17">
        <f t="shared" si="1"/>
        <v>133.33333333333334</v>
      </c>
      <c r="L19" s="315">
        <v>15</v>
      </c>
      <c r="M19" s="18">
        <f t="shared" si="16"/>
        <v>1875.0000000000066</v>
      </c>
      <c r="N19" s="17">
        <f t="shared" si="3"/>
        <v>125.00000000000044</v>
      </c>
      <c r="O19" s="19">
        <f t="shared" si="4"/>
        <v>0</v>
      </c>
      <c r="P19" s="20">
        <f t="shared" si="5"/>
        <v>-8.3333333333329023</v>
      </c>
      <c r="Q19" s="309">
        <f t="shared" si="6"/>
        <v>0.93750000000000322</v>
      </c>
      <c r="R19" s="489"/>
      <c r="S19" s="40">
        <v>0.75069444444444455</v>
      </c>
      <c r="T19" s="40">
        <v>0.76180555555555562</v>
      </c>
      <c r="U19" s="306">
        <f t="shared" si="18"/>
        <v>5.9999999999999787</v>
      </c>
      <c r="V19" s="316">
        <f t="shared" si="17"/>
        <v>15.999999999999943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-124.99999999999341</v>
      </c>
      <c r="AF19" s="309">
        <f t="shared" si="9"/>
        <v>0.93750000000000333</v>
      </c>
      <c r="AG19" s="489"/>
    </row>
    <row r="20" spans="1:33" ht="16.5" customHeight="1">
      <c r="A20" s="526" t="s">
        <v>52</v>
      </c>
      <c r="B20" s="317" t="s">
        <v>103</v>
      </c>
      <c r="C20" s="521" t="s">
        <v>134</v>
      </c>
      <c r="D20" s="522"/>
      <c r="E20" s="42">
        <v>57.3</v>
      </c>
      <c r="F20" s="317">
        <v>700</v>
      </c>
      <c r="G20" s="306">
        <f t="shared" si="15"/>
        <v>40110</v>
      </c>
      <c r="H20" s="319">
        <v>2</v>
      </c>
      <c r="I20" s="315">
        <v>13</v>
      </c>
      <c r="J20" s="37">
        <v>2000</v>
      </c>
      <c r="K20" s="17">
        <f t="shared" si="1"/>
        <v>153.84615384615384</v>
      </c>
      <c r="L20" s="315">
        <v>13</v>
      </c>
      <c r="M20" s="18">
        <f t="shared" si="16"/>
        <v>1909.0909090909158</v>
      </c>
      <c r="N20" s="17">
        <f t="shared" si="3"/>
        <v>146.85314685314736</v>
      </c>
      <c r="O20" s="19">
        <f t="shared" si="4"/>
        <v>0</v>
      </c>
      <c r="P20" s="20">
        <f t="shared" si="5"/>
        <v>-6.9930069930064747</v>
      </c>
      <c r="Q20" s="309">
        <f t="shared" si="6"/>
        <v>0.95454545454545792</v>
      </c>
      <c r="R20" s="489"/>
      <c r="S20" s="40">
        <v>0.76666666666666672</v>
      </c>
      <c r="T20" s="40">
        <v>0.78194444444444444</v>
      </c>
      <c r="U20" s="306">
        <f t="shared" si="18"/>
        <v>6.9999999999999751</v>
      </c>
      <c r="V20" s="316">
        <f t="shared" si="17"/>
        <v>21.999999999999922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-90.909090909084171</v>
      </c>
      <c r="AF20" s="309">
        <f t="shared" si="9"/>
        <v>0.95454545454545792</v>
      </c>
      <c r="AG20" s="489"/>
    </row>
    <row r="21" spans="1:33" ht="16.5" customHeight="1">
      <c r="A21" s="526" t="s">
        <v>52</v>
      </c>
      <c r="B21" s="317" t="s">
        <v>103</v>
      </c>
      <c r="C21" s="313" t="s">
        <v>1708</v>
      </c>
      <c r="D21" s="314"/>
      <c r="E21" s="42">
        <v>54.7</v>
      </c>
      <c r="F21" s="317">
        <v>2300</v>
      </c>
      <c r="G21" s="306">
        <f t="shared" si="15"/>
        <v>125810</v>
      </c>
      <c r="H21" s="319">
        <v>2</v>
      </c>
      <c r="I21" s="315">
        <v>15</v>
      </c>
      <c r="J21" s="37">
        <v>2000</v>
      </c>
      <c r="K21" s="17">
        <f t="shared" si="1"/>
        <v>133.33333333333334</v>
      </c>
      <c r="L21" s="315">
        <v>15</v>
      </c>
      <c r="M21" s="18">
        <f t="shared" si="16"/>
        <v>1916.6666666666652</v>
      </c>
      <c r="N21" s="17">
        <f t="shared" si="3"/>
        <v>127.77777777777767</v>
      </c>
      <c r="O21" s="19">
        <f t="shared" si="4"/>
        <v>0</v>
      </c>
      <c r="P21" s="20">
        <f t="shared" si="5"/>
        <v>-5.5555555555556708</v>
      </c>
      <c r="Q21" s="309">
        <f t="shared" si="6"/>
        <v>0.95833333333333248</v>
      </c>
      <c r="R21" s="489"/>
      <c r="S21" s="40">
        <v>0.78611111111111109</v>
      </c>
      <c r="T21" s="40">
        <v>0.83611111111111114</v>
      </c>
      <c r="U21" s="306">
        <f t="shared" si="18"/>
        <v>5.9999999999999787</v>
      </c>
      <c r="V21" s="316">
        <f t="shared" si="17"/>
        <v>72.000000000000057</v>
      </c>
      <c r="W21" s="23">
        <f>T21</f>
        <v>0.83611111111111114</v>
      </c>
      <c r="X21" s="23">
        <f>S22</f>
        <v>0.87569444444444444</v>
      </c>
      <c r="Y21" s="26"/>
      <c r="Z21" s="26"/>
      <c r="AA21" s="503"/>
      <c r="AB21" s="504"/>
      <c r="AC21" s="154"/>
      <c r="AD21" s="25"/>
      <c r="AE21" s="19">
        <f t="shared" si="8"/>
        <v>-83.333333333334849</v>
      </c>
      <c r="AF21" s="309">
        <f t="shared" si="9"/>
        <v>0.95833333333333259</v>
      </c>
      <c r="AG21" s="489"/>
    </row>
    <row r="22" spans="1:33" ht="16.5" customHeight="1">
      <c r="A22" s="526" t="s">
        <v>52</v>
      </c>
      <c r="B22" s="317" t="s">
        <v>103</v>
      </c>
      <c r="C22" s="313" t="s">
        <v>134</v>
      </c>
      <c r="D22" s="314"/>
      <c r="E22" s="42">
        <v>57.3</v>
      </c>
      <c r="F22" s="317">
        <v>1398</v>
      </c>
      <c r="G22" s="306">
        <f t="shared" si="15"/>
        <v>80105.399999999994</v>
      </c>
      <c r="H22" s="319" t="s">
        <v>79</v>
      </c>
      <c r="I22" s="315">
        <v>13</v>
      </c>
      <c r="J22" s="37">
        <v>2000</v>
      </c>
      <c r="K22" s="17">
        <f t="shared" si="1"/>
        <v>153.84615384615384</v>
      </c>
      <c r="L22" s="315">
        <v>13</v>
      </c>
      <c r="M22" s="18">
        <f t="shared" si="16"/>
        <v>1906.3636363636365</v>
      </c>
      <c r="N22" s="17">
        <f t="shared" si="3"/>
        <v>146.64335664335664</v>
      </c>
      <c r="O22" s="19">
        <f t="shared" si="4"/>
        <v>0</v>
      </c>
      <c r="P22" s="20">
        <f t="shared" si="5"/>
        <v>-7.2027972027971998</v>
      </c>
      <c r="Q22" s="309">
        <f t="shared" si="6"/>
        <v>0.95318181818181824</v>
      </c>
      <c r="R22" s="489"/>
      <c r="S22" s="40">
        <v>0.87569444444444444</v>
      </c>
      <c r="T22" s="40">
        <v>0.90625</v>
      </c>
      <c r="U22" s="306">
        <f t="shared" si="18"/>
        <v>56.999999999999957</v>
      </c>
      <c r="V22" s="316">
        <f t="shared" si="17"/>
        <v>44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-93.636363636363512</v>
      </c>
      <c r="AF22" s="309">
        <f t="shared" si="9"/>
        <v>0.95318181818181824</v>
      </c>
      <c r="AG22" s="489"/>
    </row>
    <row r="23" spans="1:33" ht="16.5" customHeight="1">
      <c r="A23" s="526" t="s">
        <v>52</v>
      </c>
      <c r="B23" s="317" t="s">
        <v>103</v>
      </c>
      <c r="C23" s="521" t="s">
        <v>133</v>
      </c>
      <c r="D23" s="522"/>
      <c r="E23" s="42">
        <v>50.67</v>
      </c>
      <c r="F23" s="317">
        <v>1247</v>
      </c>
      <c r="G23" s="306">
        <f t="shared" si="15"/>
        <v>63185.490000000005</v>
      </c>
      <c r="H23" s="319" t="s">
        <v>79</v>
      </c>
      <c r="I23" s="315">
        <v>15</v>
      </c>
      <c r="J23" s="37">
        <v>2000</v>
      </c>
      <c r="K23" s="17">
        <f t="shared" si="1"/>
        <v>133.33333333333334</v>
      </c>
      <c r="L23" s="315">
        <v>15</v>
      </c>
      <c r="M23" s="18">
        <f t="shared" si="16"/>
        <v>1918.4615384615374</v>
      </c>
      <c r="N23" s="17">
        <f t="shared" si="3"/>
        <v>127.89743589743583</v>
      </c>
      <c r="O23" s="19">
        <f t="shared" si="4"/>
        <v>0</v>
      </c>
      <c r="P23" s="20">
        <f t="shared" si="5"/>
        <v>-5.4358974358975161</v>
      </c>
      <c r="Q23" s="309">
        <f t="shared" si="6"/>
        <v>0.95923076923076867</v>
      </c>
      <c r="R23" s="489"/>
      <c r="S23" s="40">
        <v>0.90972222222222221</v>
      </c>
      <c r="T23" s="40">
        <v>0.93680555555555556</v>
      </c>
      <c r="U23" s="306">
        <f t="shared" si="18"/>
        <v>4.9999999999999822</v>
      </c>
      <c r="V23" s="316">
        <f t="shared" si="17"/>
        <v>39.000000000000021</v>
      </c>
      <c r="W23" s="23"/>
      <c r="X23" s="23"/>
      <c r="Y23" s="26"/>
      <c r="Z23" s="26"/>
      <c r="AA23" s="503"/>
      <c r="AB23" s="504"/>
      <c r="AC23" s="154"/>
      <c r="AD23" s="25"/>
      <c r="AE23" s="19">
        <f t="shared" si="8"/>
        <v>-81.53846153846257</v>
      </c>
      <c r="AF23" s="309">
        <f t="shared" si="9"/>
        <v>0.95923076923076867</v>
      </c>
      <c r="AG23" s="489"/>
    </row>
    <row r="24" spans="1:33" ht="16.5" customHeight="1">
      <c r="A24" s="526" t="s">
        <v>52</v>
      </c>
      <c r="B24" s="42" t="s">
        <v>299</v>
      </c>
      <c r="C24" s="494"/>
      <c r="D24" s="494"/>
      <c r="E24" s="310"/>
      <c r="F24" s="44"/>
      <c r="G24" s="17"/>
      <c r="H24" s="317"/>
      <c r="I24" s="30">
        <v>16.222222222222221</v>
      </c>
      <c r="J24" s="37">
        <v>1888.8888888888889</v>
      </c>
      <c r="K24" s="17">
        <f t="shared" si="1"/>
        <v>116.43835616438356</v>
      </c>
      <c r="L24" s="30">
        <v>16.222222222222221</v>
      </c>
      <c r="M24" s="18">
        <f>AVERAGE(M15:M23)</f>
        <v>1805.7221574721575</v>
      </c>
      <c r="N24" s="17">
        <f t="shared" si="3"/>
        <v>111.3116398441741</v>
      </c>
      <c r="O24" s="19">
        <f t="shared" si="4"/>
        <v>0</v>
      </c>
      <c r="P24" s="20">
        <f t="shared" si="5"/>
        <v>-5.1267163202094679</v>
      </c>
      <c r="Q24" s="309">
        <f t="shared" si="6"/>
        <v>0.95597055395584807</v>
      </c>
      <c r="R24" s="489"/>
      <c r="S24" s="40"/>
      <c r="T24" s="40"/>
      <c r="U24" s="306"/>
      <c r="V24" s="316"/>
      <c r="W24" s="17"/>
      <c r="X24" s="17"/>
      <c r="Y24" s="31">
        <f>SUM(Y15:Y23)</f>
        <v>0</v>
      </c>
      <c r="Z24" s="31">
        <f>SUM(Z15:Z23)</f>
        <v>0</v>
      </c>
      <c r="AA24" s="495"/>
      <c r="AB24" s="495"/>
      <c r="AC24" s="31">
        <v>3</v>
      </c>
      <c r="AD24" s="31">
        <f>SUM(AD15:AD23)</f>
        <v>0</v>
      </c>
      <c r="AE24" s="19">
        <f t="shared" si="8"/>
        <v>-83.166731416731409</v>
      </c>
      <c r="AF24" s="309">
        <f t="shared" si="9"/>
        <v>0.95597055395584807</v>
      </c>
      <c r="AG24" s="489"/>
    </row>
    <row r="25" spans="1:33" ht="15.75" customHeight="1">
      <c r="A25" s="519" t="s">
        <v>56</v>
      </c>
      <c r="B25" s="42" t="s">
        <v>126</v>
      </c>
      <c r="C25" s="515" t="s">
        <v>135</v>
      </c>
      <c r="D25" s="515"/>
      <c r="E25" s="42">
        <v>43.14</v>
      </c>
      <c r="F25" s="317">
        <v>1028</v>
      </c>
      <c r="G25" s="306">
        <f t="shared" ref="G25:G33" si="19">E25*F25</f>
        <v>44347.92</v>
      </c>
      <c r="H25" s="319" t="s">
        <v>79</v>
      </c>
      <c r="I25" s="315">
        <v>17</v>
      </c>
      <c r="J25" s="37">
        <v>2000</v>
      </c>
      <c r="K25" s="17">
        <f t="shared" si="1"/>
        <v>117.64705882352941</v>
      </c>
      <c r="L25" s="315">
        <v>17</v>
      </c>
      <c r="M25" s="18">
        <f t="shared" ref="M25:M33" si="20">F25/V25*60</f>
        <v>1927.4999999999995</v>
      </c>
      <c r="N25" s="17">
        <f t="shared" si="3"/>
        <v>113.38235294117645</v>
      </c>
      <c r="O25" s="19">
        <f t="shared" si="4"/>
        <v>0</v>
      </c>
      <c r="P25" s="20">
        <f t="shared" si="5"/>
        <v>-4.2647058823529562</v>
      </c>
      <c r="Q25" s="309">
        <f t="shared" si="6"/>
        <v>0.96374999999999988</v>
      </c>
      <c r="R25" s="489">
        <f>Q34</f>
        <v>0.96127376393223474</v>
      </c>
      <c r="S25" s="40">
        <v>0.20833333333333334</v>
      </c>
      <c r="T25" s="40">
        <v>0.23055555555555557</v>
      </c>
      <c r="U25" s="306"/>
      <c r="V25" s="316">
        <f t="shared" ref="V25:V33" si="21">(T25-S25)*24*60</f>
        <v>32.000000000000007</v>
      </c>
      <c r="W25" s="28"/>
      <c r="X25" s="28"/>
      <c r="Y25" s="28"/>
      <c r="Z25" s="28"/>
      <c r="AA25" s="491"/>
      <c r="AB25" s="491"/>
      <c r="AC25" s="154">
        <v>3</v>
      </c>
      <c r="AD25" s="25"/>
      <c r="AE25" s="19">
        <f t="shared" si="8"/>
        <v>-72.500000000000455</v>
      </c>
      <c r="AF25" s="309">
        <f t="shared" si="9"/>
        <v>0.96374999999999977</v>
      </c>
      <c r="AG25" s="489">
        <f>AF34</f>
        <v>0.96127376393223474</v>
      </c>
    </row>
    <row r="26" spans="1:33" ht="15.75" customHeight="1">
      <c r="A26" s="520" t="s">
        <v>56</v>
      </c>
      <c r="B26" s="42" t="s">
        <v>103</v>
      </c>
      <c r="C26" s="515" t="s">
        <v>137</v>
      </c>
      <c r="D26" s="515"/>
      <c r="E26" s="42">
        <v>57.73</v>
      </c>
      <c r="F26" s="317">
        <v>2410</v>
      </c>
      <c r="G26" s="306">
        <f t="shared" si="19"/>
        <v>139129.29999999999</v>
      </c>
      <c r="H26" s="319" t="s">
        <v>79</v>
      </c>
      <c r="I26" s="315">
        <v>14</v>
      </c>
      <c r="J26" s="37">
        <v>2000</v>
      </c>
      <c r="K26" s="17">
        <f t="shared" si="1"/>
        <v>142.85714285714286</v>
      </c>
      <c r="L26" s="315">
        <v>14</v>
      </c>
      <c r="M26" s="18">
        <f t="shared" si="20"/>
        <v>1902.6315789473681</v>
      </c>
      <c r="N26" s="17">
        <f t="shared" si="3"/>
        <v>135.90225563909772</v>
      </c>
      <c r="O26" s="19">
        <f t="shared" si="4"/>
        <v>0</v>
      </c>
      <c r="P26" s="20">
        <f t="shared" si="5"/>
        <v>-6.954887218045144</v>
      </c>
      <c r="Q26" s="309">
        <f t="shared" si="6"/>
        <v>0.951315789473684</v>
      </c>
      <c r="R26" s="489"/>
      <c r="S26" s="40">
        <v>0.23611111111111113</v>
      </c>
      <c r="T26" s="40">
        <v>0.28888888888888892</v>
      </c>
      <c r="U26" s="306">
        <f t="shared" ref="U26:U33" si="22">IF(S26=TIME(17,0,0),"",(S26-T25)*24*60)</f>
        <v>8.0000000000000107</v>
      </c>
      <c r="V26" s="316">
        <f t="shared" si="21"/>
        <v>76.000000000000014</v>
      </c>
      <c r="W26" s="23"/>
      <c r="X26" s="306"/>
      <c r="Y26" s="306"/>
      <c r="Z26" s="306"/>
      <c r="AA26" s="491"/>
      <c r="AB26" s="491"/>
      <c r="AC26" s="154"/>
      <c r="AD26" s="25"/>
      <c r="AE26" s="19">
        <f t="shared" si="8"/>
        <v>-97.368421052631902</v>
      </c>
      <c r="AF26" s="309">
        <f t="shared" si="9"/>
        <v>0.951315789473684</v>
      </c>
      <c r="AG26" s="489"/>
    </row>
    <row r="27" spans="1:33" ht="15.75" customHeight="1">
      <c r="A27" s="520" t="s">
        <v>56</v>
      </c>
      <c r="B27" s="42" t="s">
        <v>103</v>
      </c>
      <c r="C27" s="515" t="s">
        <v>138</v>
      </c>
      <c r="D27" s="515"/>
      <c r="E27" s="42">
        <v>53.68</v>
      </c>
      <c r="F27" s="317">
        <v>1525</v>
      </c>
      <c r="G27" s="306">
        <f t="shared" si="19"/>
        <v>81862</v>
      </c>
      <c r="H27" s="319" t="s">
        <v>79</v>
      </c>
      <c r="I27" s="315">
        <v>16</v>
      </c>
      <c r="J27" s="37">
        <v>2000</v>
      </c>
      <c r="K27" s="17">
        <f t="shared" si="1"/>
        <v>125</v>
      </c>
      <c r="L27" s="315">
        <v>16</v>
      </c>
      <c r="M27" s="18">
        <f t="shared" si="20"/>
        <v>1906.2500000000005</v>
      </c>
      <c r="N27" s="17">
        <f t="shared" si="3"/>
        <v>119.14062500000003</v>
      </c>
      <c r="O27" s="19">
        <f t="shared" si="4"/>
        <v>0</v>
      </c>
      <c r="P27" s="20">
        <f t="shared" si="5"/>
        <v>-5.8593749999999716</v>
      </c>
      <c r="Q27" s="309">
        <f t="shared" si="6"/>
        <v>0.95312500000000022</v>
      </c>
      <c r="R27" s="489"/>
      <c r="S27" s="40">
        <v>0.29236111111111113</v>
      </c>
      <c r="T27" s="40">
        <v>0.32569444444444445</v>
      </c>
      <c r="U27" s="306">
        <f t="shared" si="22"/>
        <v>4.9999999999999822</v>
      </c>
      <c r="V27" s="316">
        <f t="shared" si="21"/>
        <v>47.999999999999986</v>
      </c>
      <c r="W27" s="23"/>
      <c r="X27" s="306"/>
      <c r="Y27" s="306"/>
      <c r="Z27" s="306"/>
      <c r="AA27" s="491"/>
      <c r="AB27" s="491"/>
      <c r="AC27" s="154"/>
      <c r="AD27" s="25"/>
      <c r="AE27" s="19">
        <f t="shared" si="8"/>
        <v>-93.749999999999545</v>
      </c>
      <c r="AF27" s="309">
        <f t="shared" si="9"/>
        <v>0.95312500000000022</v>
      </c>
      <c r="AG27" s="489"/>
    </row>
    <row r="28" spans="1:33" ht="15.75" customHeight="1">
      <c r="A28" s="520" t="s">
        <v>56</v>
      </c>
      <c r="B28" s="42" t="s">
        <v>103</v>
      </c>
      <c r="C28" s="515" t="s">
        <v>140</v>
      </c>
      <c r="D28" s="515"/>
      <c r="E28" s="42">
        <v>50.49</v>
      </c>
      <c r="F28" s="317">
        <v>1100</v>
      </c>
      <c r="G28" s="306">
        <f t="shared" si="19"/>
        <v>55539</v>
      </c>
      <c r="H28" s="319">
        <v>2</v>
      </c>
      <c r="I28" s="315">
        <v>15</v>
      </c>
      <c r="J28" s="37">
        <v>2000</v>
      </c>
      <c r="K28" s="17">
        <f t="shared" si="1"/>
        <v>133.33333333333334</v>
      </c>
      <c r="L28" s="315">
        <v>15</v>
      </c>
      <c r="M28" s="18">
        <f t="shared" si="20"/>
        <v>1941.1764705882326</v>
      </c>
      <c r="N28" s="17">
        <f t="shared" si="3"/>
        <v>129.41176470588218</v>
      </c>
      <c r="O28" s="19">
        <f t="shared" si="4"/>
        <v>0</v>
      </c>
      <c r="P28" s="20">
        <f t="shared" si="5"/>
        <v>-3.9215686274511654</v>
      </c>
      <c r="Q28" s="309">
        <f t="shared" si="6"/>
        <v>0.97058823529411631</v>
      </c>
      <c r="R28" s="489"/>
      <c r="S28" s="40">
        <v>0.70833333333333337</v>
      </c>
      <c r="T28" s="40">
        <v>0.73194444444444451</v>
      </c>
      <c r="U28" s="306" t="str">
        <f t="shared" si="22"/>
        <v/>
      </c>
      <c r="V28" s="316">
        <f t="shared" si="21"/>
        <v>34.000000000000043</v>
      </c>
      <c r="W28" s="23"/>
      <c r="X28" s="306"/>
      <c r="Y28" s="306"/>
      <c r="Z28" s="306"/>
      <c r="AA28" s="491"/>
      <c r="AB28" s="491"/>
      <c r="AC28" s="154"/>
      <c r="AD28" s="25"/>
      <c r="AE28" s="19">
        <f t="shared" si="8"/>
        <v>-58.823529411767367</v>
      </c>
      <c r="AF28" s="309">
        <f t="shared" si="9"/>
        <v>0.97058823529411631</v>
      </c>
      <c r="AG28" s="489"/>
    </row>
    <row r="29" spans="1:33" ht="15.75" customHeight="1">
      <c r="A29" s="520" t="s">
        <v>56</v>
      </c>
      <c r="B29" s="42" t="s">
        <v>103</v>
      </c>
      <c r="C29" s="515" t="s">
        <v>516</v>
      </c>
      <c r="D29" s="515"/>
      <c r="E29" s="42">
        <v>50.67</v>
      </c>
      <c r="F29" s="317">
        <v>1596</v>
      </c>
      <c r="G29" s="306">
        <f t="shared" si="19"/>
        <v>80869.320000000007</v>
      </c>
      <c r="H29" s="319" t="s">
        <v>79</v>
      </c>
      <c r="I29" s="315">
        <v>16</v>
      </c>
      <c r="J29" s="37">
        <v>2000</v>
      </c>
      <c r="K29" s="17">
        <f t="shared" si="1"/>
        <v>125</v>
      </c>
      <c r="L29" s="315">
        <v>16</v>
      </c>
      <c r="M29" s="18">
        <f t="shared" si="20"/>
        <v>1915.2000000000005</v>
      </c>
      <c r="N29" s="17">
        <f t="shared" si="3"/>
        <v>119.70000000000003</v>
      </c>
      <c r="O29" s="19">
        <f t="shared" si="4"/>
        <v>0</v>
      </c>
      <c r="P29" s="20">
        <f t="shared" si="5"/>
        <v>-5.2999999999999687</v>
      </c>
      <c r="Q29" s="309">
        <f t="shared" si="6"/>
        <v>0.95760000000000023</v>
      </c>
      <c r="R29" s="489"/>
      <c r="S29" s="40">
        <v>0.73611111111111116</v>
      </c>
      <c r="T29" s="40">
        <v>0.77083333333333337</v>
      </c>
      <c r="U29" s="306">
        <f t="shared" si="22"/>
        <v>5.9999999999999787</v>
      </c>
      <c r="V29" s="316">
        <f t="shared" si="21"/>
        <v>49.999999999999986</v>
      </c>
      <c r="W29" s="23"/>
      <c r="X29" s="306"/>
      <c r="Y29" s="306"/>
      <c r="Z29" s="306"/>
      <c r="AA29" s="491"/>
      <c r="AB29" s="491"/>
      <c r="AC29" s="154"/>
      <c r="AD29" s="25"/>
      <c r="AE29" s="19">
        <f t="shared" si="8"/>
        <v>-84.7999999999995</v>
      </c>
      <c r="AF29" s="309">
        <f t="shared" si="9"/>
        <v>0.95760000000000023</v>
      </c>
      <c r="AG29" s="489"/>
    </row>
    <row r="30" spans="1:33" ht="15.75" customHeight="1">
      <c r="A30" s="520" t="s">
        <v>56</v>
      </c>
      <c r="B30" s="42" t="s">
        <v>103</v>
      </c>
      <c r="C30" s="515" t="s">
        <v>141</v>
      </c>
      <c r="D30" s="515"/>
      <c r="E30" s="42">
        <v>57.73</v>
      </c>
      <c r="F30" s="317">
        <v>1215</v>
      </c>
      <c r="G30" s="306">
        <f t="shared" si="19"/>
        <v>70141.95</v>
      </c>
      <c r="H30" s="319" t="s">
        <v>79</v>
      </c>
      <c r="I30" s="315">
        <v>16</v>
      </c>
      <c r="J30" s="37">
        <v>1500</v>
      </c>
      <c r="K30" s="17">
        <f t="shared" si="1"/>
        <v>93.75</v>
      </c>
      <c r="L30" s="315">
        <v>16</v>
      </c>
      <c r="M30" s="18">
        <f t="shared" si="20"/>
        <v>1429.4117647058831</v>
      </c>
      <c r="N30" s="17">
        <f t="shared" si="3"/>
        <v>89.338235294117695</v>
      </c>
      <c r="O30" s="19">
        <f t="shared" si="4"/>
        <v>0</v>
      </c>
      <c r="P30" s="20">
        <f t="shared" si="5"/>
        <v>-4.4117647058823053</v>
      </c>
      <c r="Q30" s="309">
        <f t="shared" si="6"/>
        <v>0.95294117647058874</v>
      </c>
      <c r="R30" s="489"/>
      <c r="S30" s="40">
        <v>0.77569444444444446</v>
      </c>
      <c r="T30" s="40">
        <v>0.81111111111111112</v>
      </c>
      <c r="U30" s="306">
        <f t="shared" si="22"/>
        <v>6.9999999999999751</v>
      </c>
      <c r="V30" s="316">
        <f t="shared" si="21"/>
        <v>50.999999999999979</v>
      </c>
      <c r="W30" s="23"/>
      <c r="X30" s="28"/>
      <c r="Y30" s="28"/>
      <c r="Z30" s="28"/>
      <c r="AA30" s="491"/>
      <c r="AB30" s="491"/>
      <c r="AC30" s="154"/>
      <c r="AD30" s="25"/>
      <c r="AE30" s="19">
        <f t="shared" si="8"/>
        <v>-70.588235294116885</v>
      </c>
      <c r="AF30" s="309">
        <f t="shared" si="9"/>
        <v>0.95294117647058874</v>
      </c>
      <c r="AG30" s="489"/>
    </row>
    <row r="31" spans="1:33" ht="15.75" customHeight="1">
      <c r="A31" s="520" t="s">
        <v>56</v>
      </c>
      <c r="B31" s="42" t="s">
        <v>103</v>
      </c>
      <c r="C31" s="515" t="s">
        <v>142</v>
      </c>
      <c r="D31" s="515"/>
      <c r="E31" s="42">
        <v>53.68</v>
      </c>
      <c r="F31" s="317">
        <v>700</v>
      </c>
      <c r="G31" s="306">
        <f t="shared" si="19"/>
        <v>37576</v>
      </c>
      <c r="H31" s="319">
        <v>2</v>
      </c>
      <c r="I31" s="315">
        <v>16</v>
      </c>
      <c r="J31" s="37">
        <v>1500</v>
      </c>
      <c r="K31" s="17">
        <f t="shared" si="1"/>
        <v>93.75</v>
      </c>
      <c r="L31" s="315">
        <v>16</v>
      </c>
      <c r="M31" s="18">
        <f t="shared" si="20"/>
        <v>1448.2758620689626</v>
      </c>
      <c r="N31" s="17">
        <f t="shared" si="3"/>
        <v>90.517241379310164</v>
      </c>
      <c r="O31" s="19">
        <f t="shared" si="4"/>
        <v>0</v>
      </c>
      <c r="P31" s="20">
        <f t="shared" si="5"/>
        <v>-3.232758620689836</v>
      </c>
      <c r="Q31" s="309">
        <f t="shared" si="6"/>
        <v>0.96551724137930839</v>
      </c>
      <c r="R31" s="489"/>
      <c r="S31" s="40">
        <v>0.81597222222222221</v>
      </c>
      <c r="T31" s="40">
        <v>0.83611111111111114</v>
      </c>
      <c r="U31" s="306">
        <f t="shared" si="22"/>
        <v>6.9999999999999751</v>
      </c>
      <c r="V31" s="316">
        <f t="shared" si="21"/>
        <v>29.000000000000057</v>
      </c>
      <c r="W31" s="23">
        <f>T31</f>
        <v>0.83611111111111114</v>
      </c>
      <c r="X31" s="23">
        <f>S32</f>
        <v>0.87569444444444444</v>
      </c>
      <c r="Y31" s="29"/>
      <c r="Z31" s="29"/>
      <c r="AA31" s="503"/>
      <c r="AB31" s="504"/>
      <c r="AC31" s="154"/>
      <c r="AD31" s="25"/>
      <c r="AE31" s="19">
        <f t="shared" si="8"/>
        <v>-51.724137931037376</v>
      </c>
      <c r="AF31" s="309">
        <f t="shared" si="9"/>
        <v>0.96551724137930839</v>
      </c>
      <c r="AG31" s="489"/>
    </row>
    <row r="32" spans="1:33" ht="15.75" customHeight="1">
      <c r="A32" s="520" t="s">
        <v>56</v>
      </c>
      <c r="B32" s="42" t="s">
        <v>103</v>
      </c>
      <c r="C32" s="521" t="s">
        <v>142</v>
      </c>
      <c r="D32" s="522"/>
      <c r="E32" s="42">
        <v>53.68</v>
      </c>
      <c r="F32" s="317">
        <v>1352</v>
      </c>
      <c r="G32" s="306">
        <f t="shared" si="19"/>
        <v>72575.360000000001</v>
      </c>
      <c r="H32" s="319" t="s">
        <v>79</v>
      </c>
      <c r="I32" s="315">
        <v>16</v>
      </c>
      <c r="J32" s="37">
        <v>1500</v>
      </c>
      <c r="K32" s="17">
        <f t="shared" si="1"/>
        <v>93.75</v>
      </c>
      <c r="L32" s="315">
        <v>16</v>
      </c>
      <c r="M32" s="18">
        <f t="shared" si="20"/>
        <v>1448.5714285714296</v>
      </c>
      <c r="N32" s="17">
        <f t="shared" si="3"/>
        <v>90.535714285714349</v>
      </c>
      <c r="O32" s="19">
        <f t="shared" si="4"/>
        <v>0</v>
      </c>
      <c r="P32" s="20">
        <f t="shared" si="5"/>
        <v>-3.2142857142856514</v>
      </c>
      <c r="Q32" s="309">
        <f t="shared" si="6"/>
        <v>0.96571428571428641</v>
      </c>
      <c r="R32" s="489"/>
      <c r="S32" s="40">
        <v>0.87569444444444444</v>
      </c>
      <c r="T32" s="40">
        <v>0.9145833333333333</v>
      </c>
      <c r="U32" s="306">
        <f t="shared" si="22"/>
        <v>56.999999999999957</v>
      </c>
      <c r="V32" s="316">
        <f t="shared" si="21"/>
        <v>55.999999999999957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-51.428571428570422</v>
      </c>
      <c r="AF32" s="309">
        <f t="shared" si="9"/>
        <v>0.96571428571428641</v>
      </c>
      <c r="AG32" s="489"/>
    </row>
    <row r="33" spans="1:33" ht="15.75" customHeight="1">
      <c r="A33" s="520" t="s">
        <v>56</v>
      </c>
      <c r="B33" s="42" t="s">
        <v>103</v>
      </c>
      <c r="C33" s="521" t="s">
        <v>140</v>
      </c>
      <c r="D33" s="522"/>
      <c r="E33" s="42">
        <v>50.49</v>
      </c>
      <c r="F33" s="317">
        <v>971</v>
      </c>
      <c r="G33" s="306">
        <f t="shared" si="19"/>
        <v>49025.79</v>
      </c>
      <c r="H33" s="319" t="s">
        <v>79</v>
      </c>
      <c r="I33" s="315">
        <v>15</v>
      </c>
      <c r="J33" s="37">
        <v>2000</v>
      </c>
      <c r="K33" s="17">
        <f t="shared" si="1"/>
        <v>133.33333333333334</v>
      </c>
      <c r="L33" s="315">
        <v>15</v>
      </c>
      <c r="M33" s="18">
        <f t="shared" si="20"/>
        <v>1941.9999999999966</v>
      </c>
      <c r="N33" s="17">
        <f t="shared" si="3"/>
        <v>129.46666666666644</v>
      </c>
      <c r="O33" s="19">
        <f t="shared" si="4"/>
        <v>0</v>
      </c>
      <c r="P33" s="20">
        <f t="shared" si="5"/>
        <v>-3.8666666666669016</v>
      </c>
      <c r="Q33" s="309">
        <f t="shared" si="6"/>
        <v>0.9709999999999982</v>
      </c>
      <c r="R33" s="489"/>
      <c r="S33" s="40">
        <v>0.91805555555555551</v>
      </c>
      <c r="T33" s="40">
        <v>0.93888888888888888</v>
      </c>
      <c r="U33" s="306">
        <f t="shared" si="22"/>
        <v>4.9999999999999822</v>
      </c>
      <c r="V33" s="316">
        <f t="shared" si="21"/>
        <v>30.000000000000053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-58.000000000003411</v>
      </c>
      <c r="AF33" s="309">
        <f t="shared" si="9"/>
        <v>0.97099999999999831</v>
      </c>
      <c r="AG33" s="489"/>
    </row>
    <row r="34" spans="1:33" ht="15.75" customHeight="1">
      <c r="A34" s="520" t="s">
        <v>56</v>
      </c>
      <c r="B34" s="42" t="s">
        <v>299</v>
      </c>
      <c r="C34" s="494"/>
      <c r="D34" s="494"/>
      <c r="E34" s="310"/>
      <c r="F34" s="317"/>
      <c r="G34" s="306"/>
      <c r="H34" s="317"/>
      <c r="I34" s="30">
        <v>15.666666666666666</v>
      </c>
      <c r="J34" s="37">
        <v>1833.3333333333333</v>
      </c>
      <c r="K34" s="17">
        <f t="shared" si="1"/>
        <v>117.02127659574468</v>
      </c>
      <c r="L34" s="30">
        <v>15.666666666666666</v>
      </c>
      <c r="M34" s="18">
        <f>AVERAGE(M25:M33)</f>
        <v>1762.3352338757636</v>
      </c>
      <c r="N34" s="17">
        <f t="shared" si="3"/>
        <v>112.48948301334661</v>
      </c>
      <c r="O34" s="19">
        <f t="shared" si="4"/>
        <v>0</v>
      </c>
      <c r="P34" s="20">
        <f t="shared" si="5"/>
        <v>-4.5317935823980662</v>
      </c>
      <c r="Q34" s="309">
        <f t="shared" si="6"/>
        <v>0.96127376393223474</v>
      </c>
      <c r="R34" s="489"/>
      <c r="S34" s="40"/>
      <c r="T34" s="40"/>
      <c r="U34" s="17"/>
      <c r="V34" s="316"/>
      <c r="W34" s="17"/>
      <c r="X34" s="17"/>
      <c r="Y34" s="31">
        <f>SUM(Y25:Y33)</f>
        <v>0</v>
      </c>
      <c r="Z34" s="31">
        <f>SUM(Z25:Z33)</f>
        <v>0</v>
      </c>
      <c r="AA34" s="495"/>
      <c r="AB34" s="495"/>
      <c r="AC34" s="31">
        <v>3</v>
      </c>
      <c r="AD34" s="31">
        <f>SUM(AD25:AD33)</f>
        <v>0</v>
      </c>
      <c r="AE34" s="19">
        <f t="shared" si="8"/>
        <v>-70.998099457569651</v>
      </c>
      <c r="AF34" s="309">
        <f t="shared" si="9"/>
        <v>0.96127376393223474</v>
      </c>
      <c r="AG34" s="489"/>
    </row>
    <row r="35" spans="1:33" ht="15.75" customHeight="1">
      <c r="A35" s="518" t="s">
        <v>60</v>
      </c>
      <c r="B35" s="42" t="s">
        <v>80</v>
      </c>
      <c r="C35" s="515" t="s">
        <v>81</v>
      </c>
      <c r="D35" s="515"/>
      <c r="E35" s="42">
        <v>31.29</v>
      </c>
      <c r="F35" s="317">
        <v>5400</v>
      </c>
      <c r="G35" s="306">
        <f t="shared" ref="G35:G40" si="23">E35*F35</f>
        <v>168966</v>
      </c>
      <c r="H35" s="319">
        <v>2</v>
      </c>
      <c r="I35" s="315">
        <v>18</v>
      </c>
      <c r="J35" s="37">
        <v>2400</v>
      </c>
      <c r="K35" s="17">
        <f t="shared" si="1"/>
        <v>133.33333333333334</v>
      </c>
      <c r="L35" s="315">
        <v>18</v>
      </c>
      <c r="M35" s="18">
        <f t="shared" ref="M35:M40" si="24">F35/V35*60</f>
        <v>2297.872340425532</v>
      </c>
      <c r="N35" s="17">
        <f t="shared" si="3"/>
        <v>127.65957446808511</v>
      </c>
      <c r="O35" s="19">
        <f t="shared" si="4"/>
        <v>0</v>
      </c>
      <c r="P35" s="20">
        <f t="shared" si="5"/>
        <v>-5.6737588652482316</v>
      </c>
      <c r="Q35" s="309">
        <f t="shared" si="6"/>
        <v>0.95744680851063824</v>
      </c>
      <c r="R35" s="489">
        <f>Q41</f>
        <v>0.95514234844791301</v>
      </c>
      <c r="S35" s="40">
        <v>8.3333333333333329E-2</v>
      </c>
      <c r="T35" s="40">
        <v>0.18124999999999999</v>
      </c>
      <c r="U35" s="306"/>
      <c r="V35" s="316">
        <f t="shared" ref="V35:V40" si="25">(T35-S35)*24*60</f>
        <v>141</v>
      </c>
      <c r="W35" s="23">
        <f>T35</f>
        <v>0.18124999999999999</v>
      </c>
      <c r="X35" s="23">
        <f>S36</f>
        <v>0.20277777777777778</v>
      </c>
      <c r="Y35" s="23"/>
      <c r="Z35" s="23"/>
      <c r="AA35" s="491"/>
      <c r="AB35" s="491"/>
      <c r="AC35" s="154">
        <v>8</v>
      </c>
      <c r="AD35" s="25"/>
      <c r="AE35" s="19">
        <f t="shared" si="8"/>
        <v>-102.127659574468</v>
      </c>
      <c r="AF35" s="309">
        <f t="shared" si="9"/>
        <v>0.95744680851063835</v>
      </c>
      <c r="AG35" s="489">
        <f>AF41</f>
        <v>0.95514234844791301</v>
      </c>
    </row>
    <row r="36" spans="1:33" ht="15.75" customHeight="1">
      <c r="A36" s="518" t="s">
        <v>60</v>
      </c>
      <c r="B36" s="42" t="s">
        <v>80</v>
      </c>
      <c r="C36" s="515" t="s">
        <v>82</v>
      </c>
      <c r="D36" s="515"/>
      <c r="E36" s="42">
        <v>26.2</v>
      </c>
      <c r="F36" s="317">
        <v>4704</v>
      </c>
      <c r="G36" s="306">
        <f t="shared" si="23"/>
        <v>123244.8</v>
      </c>
      <c r="H36" s="319" t="s">
        <v>79</v>
      </c>
      <c r="I36" s="315">
        <v>20</v>
      </c>
      <c r="J36" s="37">
        <v>2400</v>
      </c>
      <c r="K36" s="17">
        <f t="shared" si="1"/>
        <v>120</v>
      </c>
      <c r="L36" s="315">
        <v>20</v>
      </c>
      <c r="M36" s="18">
        <f t="shared" si="24"/>
        <v>2294.6341463414642</v>
      </c>
      <c r="N36" s="17">
        <f t="shared" si="3"/>
        <v>114.73170731707322</v>
      </c>
      <c r="O36" s="19">
        <f t="shared" si="4"/>
        <v>0</v>
      </c>
      <c r="P36" s="20">
        <f t="shared" si="5"/>
        <v>-5.2682926829267842</v>
      </c>
      <c r="Q36" s="309">
        <f t="shared" si="6"/>
        <v>0.95609756097561016</v>
      </c>
      <c r="R36" s="489"/>
      <c r="S36" s="40">
        <v>0.20277777777777778</v>
      </c>
      <c r="T36" s="40">
        <v>0.28819444444444442</v>
      </c>
      <c r="U36" s="306">
        <f t="shared" ref="U36:U40" si="26">(S36-T35)*24*60</f>
        <v>31.000000000000011</v>
      </c>
      <c r="V36" s="316">
        <f t="shared" si="25"/>
        <v>122.99999999999996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-105.3658536585358</v>
      </c>
      <c r="AF36" s="309">
        <f t="shared" si="9"/>
        <v>0.95609756097561005</v>
      </c>
      <c r="AG36" s="489"/>
    </row>
    <row r="37" spans="1:33" ht="15.75" customHeight="1">
      <c r="A37" s="518" t="s">
        <v>60</v>
      </c>
      <c r="B37" s="42" t="s">
        <v>80</v>
      </c>
      <c r="C37" s="515" t="s">
        <v>83</v>
      </c>
      <c r="D37" s="515"/>
      <c r="E37" s="42">
        <v>25.99</v>
      </c>
      <c r="F37" s="317">
        <v>4062</v>
      </c>
      <c r="G37" s="306">
        <f t="shared" si="23"/>
        <v>105571.37999999999</v>
      </c>
      <c r="H37" s="319" t="s">
        <v>79</v>
      </c>
      <c r="I37" s="315">
        <v>14</v>
      </c>
      <c r="J37" s="37">
        <v>2400</v>
      </c>
      <c r="K37" s="17">
        <f t="shared" si="1"/>
        <v>171.42857142857142</v>
      </c>
      <c r="L37" s="315">
        <v>14</v>
      </c>
      <c r="M37" s="18">
        <f t="shared" si="24"/>
        <v>2299.2452830188672</v>
      </c>
      <c r="N37" s="17">
        <f t="shared" si="3"/>
        <v>164.23180592991909</v>
      </c>
      <c r="O37" s="19">
        <f t="shared" si="4"/>
        <v>0</v>
      </c>
      <c r="P37" s="20">
        <f t="shared" si="5"/>
        <v>-7.1967654986523257</v>
      </c>
      <c r="Q37" s="309">
        <f t="shared" si="6"/>
        <v>0.95801886792452806</v>
      </c>
      <c r="R37" s="489"/>
      <c r="S37" s="40">
        <v>0.29374999999999996</v>
      </c>
      <c r="T37" s="40">
        <v>0.36736111111111108</v>
      </c>
      <c r="U37" s="306">
        <f t="shared" si="26"/>
        <v>7.9999999999999716</v>
      </c>
      <c r="V37" s="316">
        <f t="shared" si="25"/>
        <v>106.00000000000003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-100.75471698113279</v>
      </c>
      <c r="AF37" s="309">
        <f t="shared" si="9"/>
        <v>0.95801886792452795</v>
      </c>
      <c r="AG37" s="489"/>
    </row>
    <row r="38" spans="1:33" ht="15.75" customHeight="1">
      <c r="A38" s="518" t="s">
        <v>60</v>
      </c>
      <c r="B38" s="42" t="s">
        <v>80</v>
      </c>
      <c r="C38" s="515" t="s">
        <v>84</v>
      </c>
      <c r="D38" s="515"/>
      <c r="E38" s="42">
        <v>20.52</v>
      </c>
      <c r="F38" s="317">
        <v>4049</v>
      </c>
      <c r="G38" s="306">
        <f t="shared" si="23"/>
        <v>83085.48</v>
      </c>
      <c r="H38" s="319" t="s">
        <v>79</v>
      </c>
      <c r="I38" s="315">
        <v>18</v>
      </c>
      <c r="J38" s="37">
        <v>2400</v>
      </c>
      <c r="K38" s="17">
        <f t="shared" si="1"/>
        <v>133.33333333333334</v>
      </c>
      <c r="L38" s="315">
        <v>18</v>
      </c>
      <c r="M38" s="18">
        <f t="shared" si="24"/>
        <v>2291.8867924528295</v>
      </c>
      <c r="N38" s="17">
        <f t="shared" si="3"/>
        <v>127.32704402515719</v>
      </c>
      <c r="O38" s="19">
        <f t="shared" si="4"/>
        <v>0</v>
      </c>
      <c r="P38" s="20">
        <f t="shared" si="5"/>
        <v>-6.0062893081761501</v>
      </c>
      <c r="Q38" s="309">
        <f t="shared" si="6"/>
        <v>0.95495283018867883</v>
      </c>
      <c r="R38" s="489"/>
      <c r="S38" s="40">
        <v>0.37291666666666662</v>
      </c>
      <c r="T38" s="40">
        <v>0.44652777777777775</v>
      </c>
      <c r="U38" s="306">
        <f t="shared" si="26"/>
        <v>7.9999999999999716</v>
      </c>
      <c r="V38" s="316">
        <f t="shared" si="25"/>
        <v>106.00000000000003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-108.11320754717053</v>
      </c>
      <c r="AF38" s="309">
        <f t="shared" si="9"/>
        <v>0.95495283018867894</v>
      </c>
      <c r="AG38" s="489"/>
    </row>
    <row r="39" spans="1:33" ht="15.75" customHeight="1">
      <c r="A39" s="518" t="s">
        <v>60</v>
      </c>
      <c r="B39" s="42" t="s">
        <v>80</v>
      </c>
      <c r="C39" s="515" t="s">
        <v>85</v>
      </c>
      <c r="D39" s="515"/>
      <c r="E39" s="42">
        <v>25.98</v>
      </c>
      <c r="F39" s="317">
        <v>3193</v>
      </c>
      <c r="G39" s="306">
        <f t="shared" si="23"/>
        <v>82954.14</v>
      </c>
      <c r="H39" s="319" t="s">
        <v>79</v>
      </c>
      <c r="I39" s="315">
        <v>21</v>
      </c>
      <c r="J39" s="37">
        <v>2400</v>
      </c>
      <c r="K39" s="17">
        <f t="shared" si="1"/>
        <v>114.28571428571429</v>
      </c>
      <c r="L39" s="315">
        <v>21</v>
      </c>
      <c r="M39" s="18">
        <f t="shared" si="24"/>
        <v>2280.7142857142853</v>
      </c>
      <c r="N39" s="17">
        <f t="shared" si="3"/>
        <v>108.60544217687072</v>
      </c>
      <c r="O39" s="19">
        <f t="shared" si="4"/>
        <v>0</v>
      </c>
      <c r="P39" s="20">
        <f t="shared" si="5"/>
        <v>-5.6802721088435675</v>
      </c>
      <c r="Q39" s="309">
        <f t="shared" si="6"/>
        <v>0.95029761904761878</v>
      </c>
      <c r="R39" s="489"/>
      <c r="S39" s="40">
        <v>0.44999999999999996</v>
      </c>
      <c r="T39" s="40">
        <v>0.5083333333333333</v>
      </c>
      <c r="U39" s="306">
        <f t="shared" si="26"/>
        <v>4.9999999999999822</v>
      </c>
      <c r="V39" s="316">
        <f t="shared" si="25"/>
        <v>84.000000000000028</v>
      </c>
      <c r="W39" s="23">
        <f>T39</f>
        <v>0.5083333333333333</v>
      </c>
      <c r="X39" s="23">
        <f>S40</f>
        <v>0.54722222222222217</v>
      </c>
      <c r="Y39" s="23"/>
      <c r="Z39" s="23"/>
      <c r="AA39" s="491"/>
      <c r="AB39" s="491"/>
      <c r="AC39" s="154"/>
      <c r="AD39" s="25"/>
      <c r="AE39" s="19">
        <f t="shared" si="8"/>
        <v>-119.28571428571468</v>
      </c>
      <c r="AF39" s="309">
        <f t="shared" si="9"/>
        <v>0.95029761904761889</v>
      </c>
      <c r="AG39" s="489"/>
    </row>
    <row r="40" spans="1:33" ht="15.75" customHeight="1">
      <c r="A40" s="518" t="s">
        <v>60</v>
      </c>
      <c r="B40" s="42" t="s">
        <v>80</v>
      </c>
      <c r="C40" s="515" t="s">
        <v>81</v>
      </c>
      <c r="D40" s="515"/>
      <c r="E40" s="42">
        <v>31.29</v>
      </c>
      <c r="F40" s="317">
        <v>3778</v>
      </c>
      <c r="G40" s="306">
        <f t="shared" si="23"/>
        <v>118213.62</v>
      </c>
      <c r="H40" s="319" t="s">
        <v>79</v>
      </c>
      <c r="I40" s="315">
        <v>18</v>
      </c>
      <c r="J40" s="37">
        <v>2400</v>
      </c>
      <c r="K40" s="17">
        <f t="shared" si="1"/>
        <v>133.33333333333334</v>
      </c>
      <c r="L40" s="315">
        <v>18</v>
      </c>
      <c r="M40" s="18">
        <f t="shared" si="24"/>
        <v>2289.6969696969704</v>
      </c>
      <c r="N40" s="17">
        <f t="shared" si="3"/>
        <v>127.20538720538724</v>
      </c>
      <c r="O40" s="19">
        <f t="shared" si="4"/>
        <v>0</v>
      </c>
      <c r="P40" s="20">
        <f t="shared" si="5"/>
        <v>-6.1279461279461032</v>
      </c>
      <c r="Q40" s="309">
        <f t="shared" si="6"/>
        <v>0.95404040404040424</v>
      </c>
      <c r="R40" s="489"/>
      <c r="S40" s="40">
        <v>0.54722222222222217</v>
      </c>
      <c r="T40" s="40">
        <v>0.61597222222222214</v>
      </c>
      <c r="U40" s="306">
        <f t="shared" si="26"/>
        <v>55.999999999999957</v>
      </c>
      <c r="V40" s="316">
        <f t="shared" si="25"/>
        <v>98.999999999999972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-110.30303030302957</v>
      </c>
      <c r="AF40" s="309">
        <f t="shared" si="9"/>
        <v>0.95404040404040436</v>
      </c>
      <c r="AG40" s="489"/>
    </row>
    <row r="41" spans="1:33" ht="15.75" customHeight="1">
      <c r="A41" s="518" t="s">
        <v>60</v>
      </c>
      <c r="B41" s="42" t="s">
        <v>299</v>
      </c>
      <c r="C41" s="494"/>
      <c r="D41" s="494"/>
      <c r="E41" s="310"/>
      <c r="F41" s="317"/>
      <c r="G41" s="306"/>
      <c r="H41" s="317"/>
      <c r="I41" s="30">
        <v>18.166666666666668</v>
      </c>
      <c r="J41" s="37">
        <v>2400</v>
      </c>
      <c r="K41" s="17">
        <f t="shared" si="1"/>
        <v>132.11009174311926</v>
      </c>
      <c r="L41" s="30">
        <v>18.166666666666668</v>
      </c>
      <c r="M41" s="18">
        <f>AVERAGE(M35:M40)</f>
        <v>2292.3416362749913</v>
      </c>
      <c r="N41" s="17">
        <f t="shared" si="3"/>
        <v>126.18394328119217</v>
      </c>
      <c r="O41" s="19">
        <f t="shared" si="4"/>
        <v>0</v>
      </c>
      <c r="P41" s="20">
        <f t="shared" si="5"/>
        <v>-5.9261484619270846</v>
      </c>
      <c r="Q41" s="309">
        <f t="shared" si="6"/>
        <v>0.95514234844791301</v>
      </c>
      <c r="R41" s="489"/>
      <c r="S41" s="40"/>
      <c r="T41" s="40"/>
      <c r="U41" s="306"/>
      <c r="V41" s="316"/>
      <c r="W41" s="306"/>
      <c r="X41" s="306"/>
      <c r="Y41" s="31">
        <f>SUM(Y35:Y40)</f>
        <v>0</v>
      </c>
      <c r="Z41" s="31">
        <f>SUM(Z35:Z40)</f>
        <v>0</v>
      </c>
      <c r="AA41" s="495"/>
      <c r="AB41" s="495"/>
      <c r="AC41" s="31">
        <v>8</v>
      </c>
      <c r="AD41" s="31">
        <f>SUM(AD35:AD40)</f>
        <v>0</v>
      </c>
      <c r="AE41" s="19">
        <f t="shared" si="8"/>
        <v>-107.65836372500871</v>
      </c>
      <c r="AF41" s="309">
        <f t="shared" si="9"/>
        <v>0.95514234844791301</v>
      </c>
      <c r="AG41" s="489"/>
    </row>
    <row r="42" spans="1:33" ht="15.75" customHeight="1">
      <c r="A42" s="516" t="s">
        <v>62</v>
      </c>
      <c r="B42" s="42" t="s">
        <v>80</v>
      </c>
      <c r="C42" s="490" t="s">
        <v>87</v>
      </c>
      <c r="D42" s="490"/>
      <c r="E42" s="42">
        <v>26.2</v>
      </c>
      <c r="F42" s="317">
        <v>3400</v>
      </c>
      <c r="G42" s="306">
        <f t="shared" ref="G42:G49" si="27">E42*F42</f>
        <v>89080</v>
      </c>
      <c r="H42" s="319">
        <v>2</v>
      </c>
      <c r="I42" s="315">
        <v>18</v>
      </c>
      <c r="J42" s="37">
        <v>2400</v>
      </c>
      <c r="K42" s="17">
        <f t="shared" si="1"/>
        <v>133.33333333333334</v>
      </c>
      <c r="L42" s="315">
        <v>18</v>
      </c>
      <c r="M42" s="18">
        <f t="shared" ref="M42:M49" si="28">F42/V42*60</f>
        <v>2292.1348314606748</v>
      </c>
      <c r="N42" s="17">
        <f t="shared" si="3"/>
        <v>127.34082397003749</v>
      </c>
      <c r="O42" s="19">
        <f t="shared" si="4"/>
        <v>0</v>
      </c>
      <c r="P42" s="20">
        <f t="shared" si="5"/>
        <v>-5.9925093632958522</v>
      </c>
      <c r="Q42" s="309">
        <f t="shared" si="6"/>
        <v>0.95505617977528112</v>
      </c>
      <c r="R42" s="489">
        <f>Q50</f>
        <v>0.95916266142066586</v>
      </c>
      <c r="S42" s="40">
        <v>8.3333333333333329E-2</v>
      </c>
      <c r="T42" s="40">
        <v>0.14513888888888887</v>
      </c>
      <c r="U42" s="306"/>
      <c r="V42" s="316">
        <f t="shared" ref="V42:V49" si="29">(T42-S42)*24*60</f>
        <v>88.999999999999972</v>
      </c>
      <c r="W42" s="28">
        <f>T42</f>
        <v>0.14513888888888887</v>
      </c>
      <c r="X42" s="28">
        <f>S43</f>
        <v>0.16388888888888886</v>
      </c>
      <c r="Y42" s="28"/>
      <c r="Z42" s="28"/>
      <c r="AA42" s="491"/>
      <c r="AB42" s="491"/>
      <c r="AC42" s="154">
        <v>9</v>
      </c>
      <c r="AD42" s="25"/>
      <c r="AE42" s="19">
        <f t="shared" si="8"/>
        <v>-107.86516853932517</v>
      </c>
      <c r="AF42" s="309">
        <f t="shared" si="9"/>
        <v>0.95505617977528123</v>
      </c>
      <c r="AG42" s="489">
        <f>AF50</f>
        <v>0.95916266142066586</v>
      </c>
    </row>
    <row r="43" spans="1:33" ht="15.75" customHeight="1">
      <c r="A43" s="516" t="s">
        <v>62</v>
      </c>
      <c r="B43" s="42" t="s">
        <v>80</v>
      </c>
      <c r="C43" s="490" t="s">
        <v>88</v>
      </c>
      <c r="D43" s="490"/>
      <c r="E43" s="42">
        <v>26.18</v>
      </c>
      <c r="F43" s="317">
        <v>2396</v>
      </c>
      <c r="G43" s="306">
        <f t="shared" si="27"/>
        <v>62727.28</v>
      </c>
      <c r="H43" s="319" t="s">
        <v>79</v>
      </c>
      <c r="I43" s="315">
        <v>19</v>
      </c>
      <c r="J43" s="37">
        <v>2400</v>
      </c>
      <c r="K43" s="17">
        <f t="shared" si="1"/>
        <v>126.31578947368421</v>
      </c>
      <c r="L43" s="315">
        <v>19</v>
      </c>
      <c r="M43" s="18">
        <f t="shared" si="28"/>
        <v>2318.7096774193542</v>
      </c>
      <c r="N43" s="17">
        <f t="shared" si="3"/>
        <v>122.03735144312391</v>
      </c>
      <c r="O43" s="19">
        <f t="shared" si="4"/>
        <v>0</v>
      </c>
      <c r="P43" s="20">
        <f t="shared" si="5"/>
        <v>-4.2784380305602951</v>
      </c>
      <c r="Q43" s="309">
        <f t="shared" si="6"/>
        <v>0.96612903225806435</v>
      </c>
      <c r="R43" s="489"/>
      <c r="S43" s="40">
        <v>0.16388888888888886</v>
      </c>
      <c r="T43" s="40">
        <v>0.20694444444444443</v>
      </c>
      <c r="U43" s="306">
        <f t="shared" ref="U43:U49" si="30">(S43-T42)*24*60</f>
        <v>26.999999999999986</v>
      </c>
      <c r="V43" s="316">
        <f t="shared" si="29"/>
        <v>62.000000000000021</v>
      </c>
      <c r="W43" s="306"/>
      <c r="X43" s="306"/>
      <c r="Y43" s="306"/>
      <c r="Z43" s="306"/>
      <c r="AA43" s="491"/>
      <c r="AB43" s="491"/>
      <c r="AC43" s="154"/>
      <c r="AD43" s="25"/>
      <c r="AE43" s="19">
        <f t="shared" si="8"/>
        <v>-81.290322580645807</v>
      </c>
      <c r="AF43" s="309">
        <f t="shared" si="9"/>
        <v>0.96612903225806424</v>
      </c>
      <c r="AG43" s="489"/>
    </row>
    <row r="44" spans="1:33">
      <c r="A44" s="517" t="s">
        <v>62</v>
      </c>
      <c r="B44" s="42" t="s">
        <v>80</v>
      </c>
      <c r="C44" s="490" t="s">
        <v>89</v>
      </c>
      <c r="D44" s="490"/>
      <c r="E44" s="42">
        <v>26.39</v>
      </c>
      <c r="F44" s="317">
        <v>5906</v>
      </c>
      <c r="G44" s="306">
        <f t="shared" si="27"/>
        <v>155859.34</v>
      </c>
      <c r="H44" s="319" t="s">
        <v>79</v>
      </c>
      <c r="I44" s="315">
        <v>19</v>
      </c>
      <c r="J44" s="37">
        <v>2400</v>
      </c>
      <c r="K44" s="17">
        <f t="shared" si="1"/>
        <v>126.31578947368421</v>
      </c>
      <c r="L44" s="315">
        <v>19</v>
      </c>
      <c r="M44" s="18">
        <f t="shared" si="28"/>
        <v>2286.1935483870971</v>
      </c>
      <c r="N44" s="17">
        <f t="shared" si="3"/>
        <v>120.32597623089984</v>
      </c>
      <c r="O44" s="19">
        <f t="shared" si="4"/>
        <v>0</v>
      </c>
      <c r="P44" s="20">
        <f t="shared" si="5"/>
        <v>-5.9898132427843649</v>
      </c>
      <c r="Q44" s="309">
        <f t="shared" si="6"/>
        <v>0.95258064516129048</v>
      </c>
      <c r="R44" s="489"/>
      <c r="S44" s="40">
        <v>0.21180555555555555</v>
      </c>
      <c r="T44" s="40">
        <v>0.31944444444444442</v>
      </c>
      <c r="U44" s="306">
        <f t="shared" si="30"/>
        <v>7.0000000000000151</v>
      </c>
      <c r="V44" s="316">
        <f t="shared" si="29"/>
        <v>154.99999999999997</v>
      </c>
      <c r="W44" s="306"/>
      <c r="X44" s="306"/>
      <c r="Y44" s="306"/>
      <c r="Z44" s="306"/>
      <c r="AA44" s="491"/>
      <c r="AB44" s="491"/>
      <c r="AC44" s="154"/>
      <c r="AD44" s="25"/>
      <c r="AE44" s="19">
        <f t="shared" si="8"/>
        <v>-113.80645161290295</v>
      </c>
      <c r="AF44" s="309">
        <f t="shared" si="9"/>
        <v>0.95258064516129048</v>
      </c>
      <c r="AG44" s="489"/>
    </row>
    <row r="45" spans="1:33">
      <c r="A45" s="517" t="s">
        <v>62</v>
      </c>
      <c r="B45" s="42" t="s">
        <v>80</v>
      </c>
      <c r="C45" s="490" t="s">
        <v>90</v>
      </c>
      <c r="D45" s="490"/>
      <c r="E45" s="42">
        <v>22.69</v>
      </c>
      <c r="F45" s="317">
        <v>1702</v>
      </c>
      <c r="G45" s="306">
        <f t="shared" si="27"/>
        <v>38618.380000000005</v>
      </c>
      <c r="H45" s="319" t="s">
        <v>79</v>
      </c>
      <c r="I45" s="315">
        <v>15</v>
      </c>
      <c r="J45" s="37">
        <v>2400</v>
      </c>
      <c r="K45" s="17">
        <f t="shared" si="1"/>
        <v>160</v>
      </c>
      <c r="L45" s="315">
        <v>15</v>
      </c>
      <c r="M45" s="18">
        <f t="shared" si="28"/>
        <v>2320.909090909091</v>
      </c>
      <c r="N45" s="17">
        <f t="shared" si="3"/>
        <v>154.72727272727272</v>
      </c>
      <c r="O45" s="19">
        <f t="shared" si="4"/>
        <v>0</v>
      </c>
      <c r="P45" s="20">
        <f t="shared" si="5"/>
        <v>-5.2727272727272805</v>
      </c>
      <c r="Q45" s="309">
        <f t="shared" si="6"/>
        <v>0.96704545454545454</v>
      </c>
      <c r="R45" s="489"/>
      <c r="S45" s="40">
        <v>0.32361111111111107</v>
      </c>
      <c r="T45" s="40">
        <v>0.35416666666666663</v>
      </c>
      <c r="U45" s="306">
        <f t="shared" si="30"/>
        <v>5.9999999999999787</v>
      </c>
      <c r="V45" s="316">
        <f t="shared" si="29"/>
        <v>44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-79.090909090909008</v>
      </c>
      <c r="AF45" s="309">
        <f t="shared" si="9"/>
        <v>0.96704545454545454</v>
      </c>
      <c r="AG45" s="489"/>
    </row>
    <row r="46" spans="1:33">
      <c r="A46" s="517" t="s">
        <v>62</v>
      </c>
      <c r="B46" s="42" t="s">
        <v>80</v>
      </c>
      <c r="C46" s="490" t="s">
        <v>91</v>
      </c>
      <c r="D46" s="490"/>
      <c r="E46" s="42">
        <v>24.45</v>
      </c>
      <c r="F46" s="317">
        <v>2492</v>
      </c>
      <c r="G46" s="306">
        <f t="shared" si="27"/>
        <v>60929.4</v>
      </c>
      <c r="H46" s="319" t="s">
        <v>79</v>
      </c>
      <c r="I46" s="315">
        <v>20</v>
      </c>
      <c r="J46" s="37">
        <v>2400</v>
      </c>
      <c r="K46" s="17">
        <f t="shared" si="1"/>
        <v>120</v>
      </c>
      <c r="L46" s="315">
        <v>20</v>
      </c>
      <c r="M46" s="18">
        <f t="shared" si="28"/>
        <v>2300.3076923076919</v>
      </c>
      <c r="N46" s="17">
        <f t="shared" si="3"/>
        <v>115.01538461538459</v>
      </c>
      <c r="O46" s="19">
        <f t="shared" si="4"/>
        <v>0</v>
      </c>
      <c r="P46" s="20">
        <f t="shared" si="5"/>
        <v>-4.9846153846154095</v>
      </c>
      <c r="Q46" s="309">
        <f t="shared" si="6"/>
        <v>0.95846153846153825</v>
      </c>
      <c r="R46" s="489"/>
      <c r="S46" s="40">
        <v>0.35763888888888884</v>
      </c>
      <c r="T46" s="40">
        <v>0.40277777777777773</v>
      </c>
      <c r="U46" s="306">
        <f t="shared" si="30"/>
        <v>4.9999999999999822</v>
      </c>
      <c r="V46" s="316">
        <f t="shared" si="29"/>
        <v>65.000000000000014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-99.692307692308077</v>
      </c>
      <c r="AF46" s="309">
        <f t="shared" si="9"/>
        <v>0.95846153846153825</v>
      </c>
      <c r="AG46" s="489"/>
    </row>
    <row r="47" spans="1:33">
      <c r="A47" s="517" t="s">
        <v>62</v>
      </c>
      <c r="B47" s="42" t="s">
        <v>80</v>
      </c>
      <c r="C47" s="490" t="s">
        <v>1224</v>
      </c>
      <c r="D47" s="490"/>
      <c r="E47" s="42">
        <v>22.69</v>
      </c>
      <c r="F47" s="317">
        <v>5400</v>
      </c>
      <c r="G47" s="306">
        <f t="shared" si="27"/>
        <v>122526</v>
      </c>
      <c r="H47" s="319">
        <v>2</v>
      </c>
      <c r="I47" s="315">
        <v>16</v>
      </c>
      <c r="J47" s="37">
        <v>2400</v>
      </c>
      <c r="K47" s="17">
        <f t="shared" si="1"/>
        <v>150</v>
      </c>
      <c r="L47" s="315">
        <v>16</v>
      </c>
      <c r="M47" s="18">
        <f t="shared" si="28"/>
        <v>2297.8723404255306</v>
      </c>
      <c r="N47" s="17">
        <f t="shared" si="3"/>
        <v>143.61702127659566</v>
      </c>
      <c r="O47" s="19">
        <f t="shared" si="4"/>
        <v>0</v>
      </c>
      <c r="P47" s="20">
        <f t="shared" si="5"/>
        <v>-6.3829787234043351</v>
      </c>
      <c r="Q47" s="309">
        <f t="shared" si="6"/>
        <v>0.95744680851063779</v>
      </c>
      <c r="R47" s="489"/>
      <c r="S47" s="40">
        <v>0.40624999999999994</v>
      </c>
      <c r="T47" s="40">
        <v>0.50416666666666665</v>
      </c>
      <c r="U47" s="306">
        <f t="shared" si="30"/>
        <v>4.9999999999999822</v>
      </c>
      <c r="V47" s="316">
        <f t="shared" si="29"/>
        <v>141.00000000000006</v>
      </c>
      <c r="W47" s="23">
        <f>T47</f>
        <v>0.50416666666666665</v>
      </c>
      <c r="X47" s="23">
        <f>S48</f>
        <v>0.5444444444444444</v>
      </c>
      <c r="Y47" s="23"/>
      <c r="Z47" s="23"/>
      <c r="AA47" s="491"/>
      <c r="AB47" s="491"/>
      <c r="AC47" s="154"/>
      <c r="AD47" s="25"/>
      <c r="AE47" s="19">
        <f t="shared" si="8"/>
        <v>-102.12765957446936</v>
      </c>
      <c r="AF47" s="309">
        <f t="shared" si="9"/>
        <v>0.95744680851063779</v>
      </c>
      <c r="AG47" s="489"/>
    </row>
    <row r="48" spans="1:33">
      <c r="A48" s="517" t="s">
        <v>62</v>
      </c>
      <c r="B48" s="42" t="s">
        <v>80</v>
      </c>
      <c r="C48" s="490" t="s">
        <v>1224</v>
      </c>
      <c r="D48" s="490"/>
      <c r="E48" s="42">
        <v>22.69</v>
      </c>
      <c r="F48" s="317">
        <v>3747</v>
      </c>
      <c r="G48" s="306">
        <f t="shared" si="27"/>
        <v>85019.430000000008</v>
      </c>
      <c r="H48" s="319" t="s">
        <v>79</v>
      </c>
      <c r="I48" s="315">
        <v>16</v>
      </c>
      <c r="J48" s="37">
        <v>2400</v>
      </c>
      <c r="K48" s="17">
        <f t="shared" si="1"/>
        <v>150</v>
      </c>
      <c r="L48" s="315">
        <v>16</v>
      </c>
      <c r="M48" s="18">
        <f t="shared" si="28"/>
        <v>2294.0816326530617</v>
      </c>
      <c r="N48" s="17">
        <f t="shared" si="3"/>
        <v>143.38010204081635</v>
      </c>
      <c r="O48" s="19">
        <f t="shared" si="4"/>
        <v>0</v>
      </c>
      <c r="P48" s="20">
        <f t="shared" si="5"/>
        <v>-6.6198979591836462</v>
      </c>
      <c r="Q48" s="309">
        <f t="shared" si="6"/>
        <v>0.95586734693877573</v>
      </c>
      <c r="R48" s="489"/>
      <c r="S48" s="40">
        <v>0.5444444444444444</v>
      </c>
      <c r="T48" s="40">
        <v>0.61249999999999993</v>
      </c>
      <c r="U48" s="306">
        <f t="shared" si="30"/>
        <v>57.999999999999957</v>
      </c>
      <c r="V48" s="316">
        <f t="shared" si="29"/>
        <v>97.999999999999972</v>
      </c>
      <c r="W48" s="23"/>
      <c r="X48" s="23"/>
      <c r="Y48" s="26"/>
      <c r="Z48" s="26"/>
      <c r="AA48" s="503"/>
      <c r="AB48" s="504"/>
      <c r="AC48" s="154"/>
      <c r="AD48" s="25"/>
      <c r="AE48" s="19">
        <f t="shared" si="8"/>
        <v>-105.91836734693834</v>
      </c>
      <c r="AF48" s="309">
        <f t="shared" si="9"/>
        <v>0.95586734693877573</v>
      </c>
      <c r="AG48" s="489"/>
    </row>
    <row r="49" spans="1:33">
      <c r="A49" s="517" t="s">
        <v>62</v>
      </c>
      <c r="B49" s="42" t="s">
        <v>80</v>
      </c>
      <c r="C49" s="490" t="s">
        <v>87</v>
      </c>
      <c r="D49" s="490"/>
      <c r="E49" s="42">
        <v>26.2</v>
      </c>
      <c r="F49" s="317">
        <v>2690</v>
      </c>
      <c r="G49" s="306">
        <f t="shared" si="27"/>
        <v>70478</v>
      </c>
      <c r="H49" s="319" t="s">
        <v>79</v>
      </c>
      <c r="I49" s="315">
        <v>18</v>
      </c>
      <c r="J49" s="37">
        <v>2400</v>
      </c>
      <c r="K49" s="17">
        <f t="shared" si="1"/>
        <v>133.33333333333334</v>
      </c>
      <c r="L49" s="315">
        <v>18</v>
      </c>
      <c r="M49" s="18">
        <f t="shared" si="28"/>
        <v>2305.7142857142835</v>
      </c>
      <c r="N49" s="17">
        <f t="shared" si="3"/>
        <v>128.09523809523796</v>
      </c>
      <c r="O49" s="19">
        <f t="shared" si="4"/>
        <v>0</v>
      </c>
      <c r="P49" s="20">
        <f t="shared" si="5"/>
        <v>-5.2380952380953829</v>
      </c>
      <c r="Q49" s="309">
        <f t="shared" si="6"/>
        <v>0.96071428571428463</v>
      </c>
      <c r="R49" s="489"/>
      <c r="S49" s="40">
        <v>0.61805555555555547</v>
      </c>
      <c r="T49" s="40">
        <v>0.66666666666666663</v>
      </c>
      <c r="U49" s="306">
        <f t="shared" si="30"/>
        <v>7.9999999999999716</v>
      </c>
      <c r="V49" s="316">
        <f t="shared" si="29"/>
        <v>70.000000000000071</v>
      </c>
      <c r="W49" s="23"/>
      <c r="X49" s="23"/>
      <c r="Y49" s="26"/>
      <c r="Z49" s="26"/>
      <c r="AA49" s="503"/>
      <c r="AB49" s="504"/>
      <c r="AC49" s="154"/>
      <c r="AD49" s="25"/>
      <c r="AE49" s="19">
        <f t="shared" si="8"/>
        <v>-94.285714285716494</v>
      </c>
      <c r="AF49" s="309">
        <f t="shared" si="9"/>
        <v>0.96071428571428474</v>
      </c>
      <c r="AG49" s="489"/>
    </row>
    <row r="50" spans="1:33">
      <c r="A50" s="517" t="s">
        <v>62</v>
      </c>
      <c r="B50" s="44" t="s">
        <v>299</v>
      </c>
      <c r="C50" s="494"/>
      <c r="D50" s="494"/>
      <c r="E50" s="310"/>
      <c r="F50" s="44"/>
      <c r="G50" s="17"/>
      <c r="H50" s="317"/>
      <c r="I50" s="30">
        <v>17.625</v>
      </c>
      <c r="J50" s="37">
        <v>2400</v>
      </c>
      <c r="K50" s="17">
        <f t="shared" si="1"/>
        <v>136.17021276595744</v>
      </c>
      <c r="L50" s="30">
        <v>17.625</v>
      </c>
      <c r="M50" s="18">
        <f>AVERAGE(M42:M49)</f>
        <v>2301.990387409598</v>
      </c>
      <c r="N50" s="17">
        <f t="shared" si="3"/>
        <v>130.60938368281407</v>
      </c>
      <c r="O50" s="19">
        <f t="shared" si="4"/>
        <v>0</v>
      </c>
      <c r="P50" s="20">
        <f t="shared" si="5"/>
        <v>-5.5608290831433749</v>
      </c>
      <c r="Q50" s="309">
        <f t="shared" si="6"/>
        <v>0.95916266142066586</v>
      </c>
      <c r="R50" s="489"/>
      <c r="S50" s="40"/>
      <c r="T50" s="40"/>
      <c r="U50" s="17"/>
      <c r="V50" s="316"/>
      <c r="W50" s="17"/>
      <c r="X50" s="17"/>
      <c r="Y50" s="31">
        <f>SUM(Y42:Y49)</f>
        <v>0</v>
      </c>
      <c r="Z50" s="31">
        <f>SUM(Z42:Z49)</f>
        <v>0</v>
      </c>
      <c r="AA50" s="495"/>
      <c r="AB50" s="495"/>
      <c r="AC50" s="31">
        <v>9</v>
      </c>
      <c r="AD50" s="31">
        <f>SUM(AD42:AD49)</f>
        <v>0</v>
      </c>
      <c r="AE50" s="19">
        <f t="shared" si="8"/>
        <v>-98.009612590401957</v>
      </c>
      <c r="AF50" s="309">
        <f t="shared" si="9"/>
        <v>0.95916266142066586</v>
      </c>
      <c r="AG50" s="489"/>
    </row>
    <row r="51" spans="1:33" ht="15.75" customHeight="1">
      <c r="A51" s="512" t="s">
        <v>65</v>
      </c>
      <c r="B51" s="42" t="s">
        <v>93</v>
      </c>
      <c r="C51" s="501" t="s">
        <v>94</v>
      </c>
      <c r="D51" s="502"/>
      <c r="E51" s="42">
        <v>21.13</v>
      </c>
      <c r="F51" s="317">
        <v>5078</v>
      </c>
      <c r="G51" s="306">
        <f t="shared" ref="G51:G59" si="31">E51*F51</f>
        <v>107298.14</v>
      </c>
      <c r="H51" s="319" t="s">
        <v>79</v>
      </c>
      <c r="I51" s="315">
        <v>10</v>
      </c>
      <c r="J51" s="37">
        <v>3000</v>
      </c>
      <c r="K51" s="17">
        <f t="shared" si="1"/>
        <v>300</v>
      </c>
      <c r="L51" s="315">
        <v>10</v>
      </c>
      <c r="M51" s="18">
        <f t="shared" ref="M51:M59" si="32">F51/V51*60</f>
        <v>2874.3396226415098</v>
      </c>
      <c r="N51" s="18">
        <f t="shared" si="3"/>
        <v>287.43396226415098</v>
      </c>
      <c r="O51" s="19">
        <f t="shared" si="4"/>
        <v>0</v>
      </c>
      <c r="P51" s="20">
        <f t="shared" si="5"/>
        <v>-12.566037735849022</v>
      </c>
      <c r="Q51" s="309">
        <f t="shared" si="6"/>
        <v>0.95811320754716989</v>
      </c>
      <c r="R51" s="509">
        <f>Q60</f>
        <v>0.95600200289431392</v>
      </c>
      <c r="S51" s="40">
        <v>8.3333333333333329E-2</v>
      </c>
      <c r="T51" s="40">
        <v>0.15694444444444444</v>
      </c>
      <c r="U51" s="28"/>
      <c r="V51" s="316">
        <f t="shared" ref="V51:V59" si="33">(T51-S51)*24*60</f>
        <v>106</v>
      </c>
      <c r="W51" s="23">
        <f>T51</f>
        <v>0.15694444444444444</v>
      </c>
      <c r="X51" s="23">
        <f>S52</f>
        <v>0.17569444444444443</v>
      </c>
      <c r="Y51" s="26"/>
      <c r="Z51" s="26"/>
      <c r="AA51" s="503"/>
      <c r="AB51" s="504"/>
      <c r="AC51" s="154" t="s">
        <v>79</v>
      </c>
      <c r="AD51" s="25"/>
      <c r="AE51" s="19">
        <f t="shared" si="8"/>
        <v>-125.66037735849022</v>
      </c>
      <c r="AF51" s="309">
        <f t="shared" si="9"/>
        <v>0.95811320754716989</v>
      </c>
      <c r="AG51" s="509">
        <f>AF60</f>
        <v>0.95600200289431392</v>
      </c>
    </row>
    <row r="52" spans="1:33" ht="15.75" customHeight="1">
      <c r="A52" s="513" t="s">
        <v>65</v>
      </c>
      <c r="B52" s="42" t="s">
        <v>93</v>
      </c>
      <c r="C52" s="501" t="s">
        <v>95</v>
      </c>
      <c r="D52" s="502"/>
      <c r="E52" s="42">
        <v>27.17</v>
      </c>
      <c r="F52" s="317">
        <v>5783</v>
      </c>
      <c r="G52" s="306">
        <f t="shared" si="31"/>
        <v>157124.11000000002</v>
      </c>
      <c r="H52" s="319" t="s">
        <v>79</v>
      </c>
      <c r="I52" s="315">
        <v>10</v>
      </c>
      <c r="J52" s="37">
        <v>3000</v>
      </c>
      <c r="K52" s="17">
        <f t="shared" si="1"/>
        <v>300</v>
      </c>
      <c r="L52" s="315">
        <v>10</v>
      </c>
      <c r="M52" s="18">
        <f t="shared" si="32"/>
        <v>2867.6033057851246</v>
      </c>
      <c r="N52" s="18">
        <f t="shared" si="3"/>
        <v>286.76033057851248</v>
      </c>
      <c r="O52" s="19">
        <f t="shared" si="4"/>
        <v>0</v>
      </c>
      <c r="P52" s="20">
        <f t="shared" si="5"/>
        <v>-13.23966942148752</v>
      </c>
      <c r="Q52" s="309">
        <f t="shared" si="6"/>
        <v>0.95586776859504163</v>
      </c>
      <c r="R52" s="510"/>
      <c r="S52" s="40">
        <v>0.17569444444444443</v>
      </c>
      <c r="T52" s="40">
        <v>0.25972222222222219</v>
      </c>
      <c r="U52" s="306">
        <f t="shared" ref="U52:U59" si="34">(S52-T51)*24*60</f>
        <v>26.999999999999986</v>
      </c>
      <c r="V52" s="316">
        <f t="shared" si="33"/>
        <v>120.99999999999997</v>
      </c>
      <c r="W52" s="23"/>
      <c r="X52" s="23"/>
      <c r="Y52" s="26"/>
      <c r="Z52" s="26"/>
      <c r="AA52" s="503"/>
      <c r="AB52" s="504"/>
      <c r="AC52" s="154">
        <v>1</v>
      </c>
      <c r="AD52" s="25"/>
      <c r="AE52" s="19">
        <f t="shared" si="8"/>
        <v>-132.39669421487542</v>
      </c>
      <c r="AF52" s="309">
        <f t="shared" si="9"/>
        <v>0.95586776859504152</v>
      </c>
      <c r="AG52" s="510"/>
    </row>
    <row r="53" spans="1:33" ht="15.75" customHeight="1">
      <c r="A53" s="513" t="s">
        <v>65</v>
      </c>
      <c r="B53" s="42" t="s">
        <v>93</v>
      </c>
      <c r="C53" s="501" t="s">
        <v>96</v>
      </c>
      <c r="D53" s="502"/>
      <c r="E53" s="42">
        <v>35.119999999999997</v>
      </c>
      <c r="F53" s="317">
        <v>3300</v>
      </c>
      <c r="G53" s="306">
        <f t="shared" si="31"/>
        <v>115895.99999999999</v>
      </c>
      <c r="H53" s="319">
        <v>2</v>
      </c>
      <c r="I53" s="315">
        <v>10</v>
      </c>
      <c r="J53" s="37">
        <v>3000</v>
      </c>
      <c r="K53" s="17">
        <f t="shared" si="1"/>
        <v>300</v>
      </c>
      <c r="L53" s="315">
        <v>10</v>
      </c>
      <c r="M53" s="18">
        <f t="shared" si="32"/>
        <v>2869.5652173913045</v>
      </c>
      <c r="N53" s="18">
        <f t="shared" si="3"/>
        <v>286.95652173913044</v>
      </c>
      <c r="O53" s="19">
        <f t="shared" si="4"/>
        <v>0</v>
      </c>
      <c r="P53" s="20">
        <f t="shared" si="5"/>
        <v>-13.043478260869563</v>
      </c>
      <c r="Q53" s="309">
        <f t="shared" si="6"/>
        <v>0.95652173913043481</v>
      </c>
      <c r="R53" s="510"/>
      <c r="S53" s="40">
        <v>0.26388888888888884</v>
      </c>
      <c r="T53" s="40">
        <v>0.3118055555555555</v>
      </c>
      <c r="U53" s="306">
        <f t="shared" si="34"/>
        <v>5.9999999999999787</v>
      </c>
      <c r="V53" s="316">
        <f t="shared" si="33"/>
        <v>69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-130.43478260869551</v>
      </c>
      <c r="AF53" s="309">
        <f t="shared" si="9"/>
        <v>0.95652173913043481</v>
      </c>
      <c r="AG53" s="510"/>
    </row>
    <row r="54" spans="1:33" ht="15.75" customHeight="1">
      <c r="A54" s="513" t="s">
        <v>1777</v>
      </c>
      <c r="B54" s="42" t="s">
        <v>93</v>
      </c>
      <c r="C54" s="501" t="s">
        <v>110</v>
      </c>
      <c r="D54" s="502"/>
      <c r="E54" s="42">
        <v>26.78</v>
      </c>
      <c r="F54" s="317">
        <v>2624</v>
      </c>
      <c r="G54" s="306">
        <f t="shared" si="31"/>
        <v>70270.720000000001</v>
      </c>
      <c r="H54" s="319" t="s">
        <v>79</v>
      </c>
      <c r="I54" s="315">
        <v>10</v>
      </c>
      <c r="J54" s="37">
        <v>3000</v>
      </c>
      <c r="K54" s="17">
        <f t="shared" si="1"/>
        <v>300</v>
      </c>
      <c r="L54" s="315">
        <v>10</v>
      </c>
      <c r="M54" s="18">
        <f t="shared" si="32"/>
        <v>2862.5454545454563</v>
      </c>
      <c r="N54" s="18">
        <f t="shared" si="3"/>
        <v>286.25454545454562</v>
      </c>
      <c r="O54" s="19">
        <f t="shared" si="4"/>
        <v>0</v>
      </c>
      <c r="P54" s="20">
        <f t="shared" si="5"/>
        <v>-13.745454545454379</v>
      </c>
      <c r="Q54" s="309">
        <f t="shared" si="6"/>
        <v>0.95418181818181869</v>
      </c>
      <c r="R54" s="510"/>
      <c r="S54" s="40">
        <v>0.3166666666666666</v>
      </c>
      <c r="T54" s="40">
        <v>0.35486111111111102</v>
      </c>
      <c r="U54" s="306">
        <f t="shared" si="34"/>
        <v>6.9999999999999751</v>
      </c>
      <c r="V54" s="316">
        <f t="shared" si="33"/>
        <v>54.999999999999964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-137.45454545454368</v>
      </c>
      <c r="AF54" s="309">
        <f t="shared" si="9"/>
        <v>0.9541818181818188</v>
      </c>
      <c r="AG54" s="510"/>
    </row>
    <row r="55" spans="1:33" ht="15.75" customHeight="1">
      <c r="A55" s="513" t="s">
        <v>65</v>
      </c>
      <c r="B55" s="42" t="s">
        <v>93</v>
      </c>
      <c r="C55" s="501" t="s">
        <v>99</v>
      </c>
      <c r="D55" s="502"/>
      <c r="E55" s="42">
        <v>32.020000000000003</v>
      </c>
      <c r="F55" s="317">
        <v>2195</v>
      </c>
      <c r="G55" s="306">
        <f t="shared" si="31"/>
        <v>70283.900000000009</v>
      </c>
      <c r="H55" s="319" t="s">
        <v>79</v>
      </c>
      <c r="I55" s="315">
        <v>11</v>
      </c>
      <c r="J55" s="37">
        <v>3000</v>
      </c>
      <c r="K55" s="17">
        <f t="shared" si="1"/>
        <v>272.72727272727275</v>
      </c>
      <c r="L55" s="315">
        <v>11</v>
      </c>
      <c r="M55" s="18">
        <f t="shared" si="32"/>
        <v>2863.0434782608695</v>
      </c>
      <c r="N55" s="18">
        <f t="shared" si="3"/>
        <v>260.27667984189725</v>
      </c>
      <c r="O55" s="19">
        <f t="shared" si="4"/>
        <v>0</v>
      </c>
      <c r="P55" s="20">
        <f t="shared" si="5"/>
        <v>-12.450592885375499</v>
      </c>
      <c r="Q55" s="309">
        <f t="shared" si="6"/>
        <v>0.95434782608695645</v>
      </c>
      <c r="R55" s="510"/>
      <c r="S55" s="40">
        <v>0.35902777777777767</v>
      </c>
      <c r="T55" s="40">
        <v>0.39097222222222211</v>
      </c>
      <c r="U55" s="306">
        <f t="shared" si="34"/>
        <v>5.9999999999999787</v>
      </c>
      <c r="V55" s="316">
        <f t="shared" si="33"/>
        <v>46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-136.95652173913049</v>
      </c>
      <c r="AF55" s="309">
        <f t="shared" si="9"/>
        <v>0.95434782608695645</v>
      </c>
      <c r="AG55" s="510"/>
    </row>
    <row r="56" spans="1:33" ht="15.75" customHeight="1">
      <c r="A56" s="513" t="s">
        <v>1777</v>
      </c>
      <c r="B56" s="42" t="s">
        <v>93</v>
      </c>
      <c r="C56" s="501" t="s">
        <v>112</v>
      </c>
      <c r="D56" s="502"/>
      <c r="E56" s="42">
        <v>35.869999999999997</v>
      </c>
      <c r="F56" s="317">
        <v>3328</v>
      </c>
      <c r="G56" s="306">
        <f t="shared" si="31"/>
        <v>119375.35999999999</v>
      </c>
      <c r="H56" s="319" t="s">
        <v>79</v>
      </c>
      <c r="I56" s="315">
        <v>9</v>
      </c>
      <c r="J56" s="37">
        <v>3000</v>
      </c>
      <c r="K56" s="17">
        <f t="shared" si="1"/>
        <v>333.33333333333331</v>
      </c>
      <c r="L56" s="315">
        <v>9</v>
      </c>
      <c r="M56" s="18">
        <f t="shared" si="32"/>
        <v>2893.913043478261</v>
      </c>
      <c r="N56" s="18">
        <f t="shared" si="3"/>
        <v>321.54589371980677</v>
      </c>
      <c r="O56" s="19">
        <f t="shared" si="4"/>
        <v>0</v>
      </c>
      <c r="P56" s="20">
        <f t="shared" si="5"/>
        <v>-11.787439613526544</v>
      </c>
      <c r="Q56" s="309">
        <f t="shared" si="6"/>
        <v>0.96463768115942039</v>
      </c>
      <c r="R56" s="510"/>
      <c r="S56" s="40">
        <v>0.39652777777777765</v>
      </c>
      <c r="T56" s="40">
        <v>0.44444444444444431</v>
      </c>
      <c r="U56" s="306">
        <f t="shared" si="34"/>
        <v>7.9999999999999716</v>
      </c>
      <c r="V56" s="316">
        <f t="shared" si="33"/>
        <v>69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-106.08695652173901</v>
      </c>
      <c r="AF56" s="309">
        <f t="shared" si="9"/>
        <v>0.96463768115942028</v>
      </c>
      <c r="AG56" s="510"/>
    </row>
    <row r="57" spans="1:33" ht="15.75" customHeight="1">
      <c r="A57" s="513" t="s">
        <v>1777</v>
      </c>
      <c r="B57" s="42" t="s">
        <v>93</v>
      </c>
      <c r="C57" s="501" t="s">
        <v>1778</v>
      </c>
      <c r="D57" s="502"/>
      <c r="E57" s="42">
        <v>42.09</v>
      </c>
      <c r="F57" s="317">
        <v>4000</v>
      </c>
      <c r="G57" s="306">
        <f t="shared" si="31"/>
        <v>168360</v>
      </c>
      <c r="H57" s="319">
        <v>2</v>
      </c>
      <c r="I57" s="315">
        <v>10</v>
      </c>
      <c r="J57" s="37">
        <v>3000</v>
      </c>
      <c r="K57" s="17">
        <f t="shared" si="1"/>
        <v>300</v>
      </c>
      <c r="L57" s="315">
        <v>10</v>
      </c>
      <c r="M57" s="18">
        <f t="shared" si="32"/>
        <v>2857.1428571428564</v>
      </c>
      <c r="N57" s="18">
        <f t="shared" si="3"/>
        <v>285.71428571428567</v>
      </c>
      <c r="O57" s="19">
        <f t="shared" si="4"/>
        <v>0</v>
      </c>
      <c r="P57" s="20">
        <f t="shared" si="5"/>
        <v>-14.285714285714334</v>
      </c>
      <c r="Q57" s="309">
        <f t="shared" si="6"/>
        <v>0.95238095238095222</v>
      </c>
      <c r="R57" s="510"/>
      <c r="S57" s="40">
        <v>0.44999999999999984</v>
      </c>
      <c r="T57" s="40">
        <v>0.50833333333333319</v>
      </c>
      <c r="U57" s="306">
        <f t="shared" si="34"/>
        <v>7.9999999999999716</v>
      </c>
      <c r="V57" s="316">
        <f t="shared" si="33"/>
        <v>84.000000000000028</v>
      </c>
      <c r="W57" s="23">
        <f>T57</f>
        <v>0.50833333333333319</v>
      </c>
      <c r="X57" s="23">
        <f>S58</f>
        <v>0.54652777777777761</v>
      </c>
      <c r="Y57" s="26"/>
      <c r="Z57" s="26"/>
      <c r="AA57" s="503"/>
      <c r="AB57" s="504"/>
      <c r="AC57" s="154" t="s">
        <v>79</v>
      </c>
      <c r="AD57" s="25"/>
      <c r="AE57" s="19">
        <f t="shared" si="8"/>
        <v>-142.85714285714357</v>
      </c>
      <c r="AF57" s="309">
        <f t="shared" si="9"/>
        <v>0.95238095238095211</v>
      </c>
      <c r="AG57" s="510"/>
    </row>
    <row r="58" spans="1:33" ht="15.75" customHeight="1">
      <c r="A58" s="513" t="s">
        <v>65</v>
      </c>
      <c r="B58" s="42" t="s">
        <v>93</v>
      </c>
      <c r="C58" s="501" t="s">
        <v>1778</v>
      </c>
      <c r="D58" s="502"/>
      <c r="E58" s="42">
        <v>42.09</v>
      </c>
      <c r="F58" s="317">
        <v>5328</v>
      </c>
      <c r="G58" s="306">
        <f t="shared" si="31"/>
        <v>224255.52000000002</v>
      </c>
      <c r="H58" s="319" t="s">
        <v>79</v>
      </c>
      <c r="I58" s="315">
        <v>10</v>
      </c>
      <c r="J58" s="37">
        <v>3000</v>
      </c>
      <c r="K58" s="17">
        <f t="shared" si="1"/>
        <v>300</v>
      </c>
      <c r="L58" s="315">
        <v>10</v>
      </c>
      <c r="M58" s="18">
        <f t="shared" si="32"/>
        <v>2854.2857142857119</v>
      </c>
      <c r="N58" s="18">
        <f t="shared" si="3"/>
        <v>285.42857142857122</v>
      </c>
      <c r="O58" s="19">
        <f t="shared" si="4"/>
        <v>0</v>
      </c>
      <c r="P58" s="20">
        <f t="shared" si="5"/>
        <v>-14.571428571428783</v>
      </c>
      <c r="Q58" s="309">
        <f t="shared" si="6"/>
        <v>0.95142857142857074</v>
      </c>
      <c r="R58" s="510"/>
      <c r="S58" s="40">
        <v>0.54652777777777761</v>
      </c>
      <c r="T58" s="40">
        <v>0.62430555555555545</v>
      </c>
      <c r="U58" s="306">
        <f t="shared" si="34"/>
        <v>54.999999999999964</v>
      </c>
      <c r="V58" s="316">
        <f t="shared" si="33"/>
        <v>112.00000000000009</v>
      </c>
      <c r="W58" s="23"/>
      <c r="X58" s="23"/>
      <c r="Y58" s="26"/>
      <c r="Z58" s="26"/>
      <c r="AA58" s="503"/>
      <c r="AB58" s="504"/>
      <c r="AC58" s="154">
        <v>1</v>
      </c>
      <c r="AD58" s="25"/>
      <c r="AE58" s="19">
        <f t="shared" si="8"/>
        <v>-145.71428571428805</v>
      </c>
      <c r="AF58" s="309">
        <f t="shared" si="9"/>
        <v>0.95142857142857062</v>
      </c>
      <c r="AG58" s="510"/>
    </row>
    <row r="59" spans="1:33" ht="15.75" customHeight="1">
      <c r="A59" s="513" t="s">
        <v>65</v>
      </c>
      <c r="B59" s="42" t="s">
        <v>93</v>
      </c>
      <c r="C59" s="501" t="s">
        <v>96</v>
      </c>
      <c r="D59" s="502"/>
      <c r="E59" s="42">
        <v>35.119999999999997</v>
      </c>
      <c r="F59" s="317">
        <v>2487</v>
      </c>
      <c r="G59" s="306">
        <f t="shared" si="31"/>
        <v>87343.439999999988</v>
      </c>
      <c r="H59" s="319" t="s">
        <v>79</v>
      </c>
      <c r="I59" s="315">
        <v>10</v>
      </c>
      <c r="J59" s="37">
        <v>3000</v>
      </c>
      <c r="K59" s="17">
        <f t="shared" si="1"/>
        <v>300</v>
      </c>
      <c r="L59" s="315">
        <v>10</v>
      </c>
      <c r="M59" s="18">
        <f t="shared" si="32"/>
        <v>2869.6153846153861</v>
      </c>
      <c r="N59" s="18">
        <f t="shared" si="3"/>
        <v>286.96153846153862</v>
      </c>
      <c r="O59" s="19">
        <f t="shared" si="4"/>
        <v>0</v>
      </c>
      <c r="P59" s="20">
        <f t="shared" si="5"/>
        <v>-13.038461538461377</v>
      </c>
      <c r="Q59" s="309">
        <f t="shared" si="6"/>
        <v>0.95653846153846211</v>
      </c>
      <c r="R59" s="510"/>
      <c r="S59" s="40">
        <v>0.62777777777777766</v>
      </c>
      <c r="T59" s="40">
        <v>0.66388888888888875</v>
      </c>
      <c r="U59" s="306">
        <f t="shared" si="34"/>
        <v>4.9999999999999822</v>
      </c>
      <c r="V59" s="316">
        <f t="shared" si="33"/>
        <v>51.999999999999972</v>
      </c>
      <c r="W59" s="23"/>
      <c r="X59" s="23"/>
      <c r="Y59" s="26"/>
      <c r="Z59" s="26"/>
      <c r="AA59" s="503"/>
      <c r="AB59" s="504"/>
      <c r="AC59" s="154" t="s">
        <v>79</v>
      </c>
      <c r="AD59" s="25"/>
      <c r="AE59" s="19">
        <f t="shared" si="8"/>
        <v>-130.38461538461388</v>
      </c>
      <c r="AF59" s="309">
        <f t="shared" si="9"/>
        <v>0.956538461538462</v>
      </c>
      <c r="AG59" s="510"/>
    </row>
    <row r="60" spans="1:33" ht="15.75" customHeight="1">
      <c r="A60" s="514" t="s">
        <v>1777</v>
      </c>
      <c r="B60" s="42" t="s">
        <v>1779</v>
      </c>
      <c r="C60" s="492"/>
      <c r="D60" s="493"/>
      <c r="E60" s="307"/>
      <c r="F60" s="317"/>
      <c r="G60" s="306"/>
      <c r="H60" s="317"/>
      <c r="I60" s="30">
        <v>10</v>
      </c>
      <c r="J60" s="37">
        <v>3000</v>
      </c>
      <c r="K60" s="17">
        <f t="shared" si="1"/>
        <v>300</v>
      </c>
      <c r="L60" s="30">
        <v>10</v>
      </c>
      <c r="M60" s="18">
        <f>AVERAGE(M51:M59)</f>
        <v>2868.0060086829417</v>
      </c>
      <c r="N60" s="17">
        <f t="shared" si="3"/>
        <v>286.80060086829417</v>
      </c>
      <c r="O60" s="19">
        <f t="shared" si="4"/>
        <v>0</v>
      </c>
      <c r="P60" s="20">
        <f t="shared" si="5"/>
        <v>-13.199399131705832</v>
      </c>
      <c r="Q60" s="309">
        <f t="shared" si="6"/>
        <v>0.95600200289431392</v>
      </c>
      <c r="R60" s="511"/>
      <c r="S60" s="40"/>
      <c r="T60" s="40"/>
      <c r="U60" s="306"/>
      <c r="V60" s="316"/>
      <c r="W60" s="23"/>
      <c r="X60" s="23"/>
      <c r="Y60" s="31">
        <f>SUM(Y51:Y59)</f>
        <v>0</v>
      </c>
      <c r="Z60" s="31">
        <f>SUM(Z51:Z59)</f>
        <v>0</v>
      </c>
      <c r="AA60" s="505"/>
      <c r="AB60" s="506"/>
      <c r="AC60" s="31">
        <v>2</v>
      </c>
      <c r="AD60" s="31">
        <f>SUM(AD51:AD59)</f>
        <v>0</v>
      </c>
      <c r="AE60" s="19">
        <f t="shared" si="8"/>
        <v>-131.99399131705832</v>
      </c>
      <c r="AF60" s="309">
        <f t="shared" si="9"/>
        <v>0.95600200289431392</v>
      </c>
      <c r="AG60" s="511"/>
    </row>
    <row r="61" spans="1:33" ht="15.75" customHeight="1">
      <c r="A61" s="507" t="s">
        <v>67</v>
      </c>
      <c r="B61" s="42" t="s">
        <v>100</v>
      </c>
      <c r="C61" s="490" t="s">
        <v>101</v>
      </c>
      <c r="D61" s="490"/>
      <c r="E61" s="42">
        <v>46</v>
      </c>
      <c r="F61" s="46">
        <v>1473</v>
      </c>
      <c r="G61" s="306">
        <f t="shared" ref="G61:G69" si="35">E61*F61</f>
        <v>67758</v>
      </c>
      <c r="H61" s="319" t="s">
        <v>79</v>
      </c>
      <c r="I61" s="315">
        <v>17</v>
      </c>
      <c r="J61" s="37">
        <v>2000</v>
      </c>
      <c r="K61" s="17">
        <f t="shared" si="1"/>
        <v>117.64705882352941</v>
      </c>
      <c r="L61" s="315">
        <v>17</v>
      </c>
      <c r="M61" s="18">
        <f t="shared" ref="M61:M69" si="36">F61/V61*60</f>
        <v>1921.304347826087</v>
      </c>
      <c r="N61" s="18">
        <f t="shared" si="3"/>
        <v>113.01790281329923</v>
      </c>
      <c r="O61" s="19">
        <f t="shared" si="4"/>
        <v>0</v>
      </c>
      <c r="P61" s="20">
        <f t="shared" si="5"/>
        <v>-4.6291560102301759</v>
      </c>
      <c r="Q61" s="309">
        <f t="shared" si="6"/>
        <v>0.96065217391304347</v>
      </c>
      <c r="R61" s="489">
        <f>Q70</f>
        <v>0.93801032267895845</v>
      </c>
      <c r="S61" s="40">
        <v>0.20833333333333334</v>
      </c>
      <c r="T61" s="40">
        <v>0.24027777777777778</v>
      </c>
      <c r="U61" s="28"/>
      <c r="V61" s="316">
        <f t="shared" ref="V61:V69" si="37">(T61-S61)*24*60</f>
        <v>46</v>
      </c>
      <c r="W61" s="28"/>
      <c r="X61" s="28"/>
      <c r="Y61" s="28"/>
      <c r="Z61" s="28"/>
      <c r="AA61" s="491"/>
      <c r="AB61" s="491"/>
      <c r="AC61" s="154">
        <v>6</v>
      </c>
      <c r="AD61" s="25"/>
      <c r="AE61" s="19">
        <f t="shared" si="8"/>
        <v>-78.695652173913004</v>
      </c>
      <c r="AF61" s="309">
        <f t="shared" si="9"/>
        <v>0.96065217391304347</v>
      </c>
      <c r="AG61" s="489">
        <f>AF70</f>
        <v>0.93801032267895834</v>
      </c>
    </row>
    <row r="62" spans="1:33" ht="15.75" customHeight="1">
      <c r="A62" s="507" t="s">
        <v>1780</v>
      </c>
      <c r="B62" s="42" t="s">
        <v>100</v>
      </c>
      <c r="C62" s="490" t="s">
        <v>102</v>
      </c>
      <c r="D62" s="490"/>
      <c r="E62" s="42">
        <v>46</v>
      </c>
      <c r="F62" s="46">
        <v>1596</v>
      </c>
      <c r="G62" s="306">
        <f t="shared" si="35"/>
        <v>73416</v>
      </c>
      <c r="H62" s="319" t="s">
        <v>79</v>
      </c>
      <c r="I62" s="315">
        <v>17</v>
      </c>
      <c r="J62" s="37">
        <v>2000</v>
      </c>
      <c r="K62" s="17">
        <f t="shared" si="1"/>
        <v>117.64705882352941</v>
      </c>
      <c r="L62" s="315">
        <v>17</v>
      </c>
      <c r="M62" s="18">
        <f t="shared" si="36"/>
        <v>1915.1999999999994</v>
      </c>
      <c r="N62" s="18">
        <f t="shared" si="3"/>
        <v>112.65882352941173</v>
      </c>
      <c r="O62" s="19">
        <f t="shared" si="4"/>
        <v>0</v>
      </c>
      <c r="P62" s="20">
        <f t="shared" si="5"/>
        <v>-4.988235294117672</v>
      </c>
      <c r="Q62" s="309">
        <f t="shared" si="6"/>
        <v>0.95759999999999978</v>
      </c>
      <c r="R62" s="489"/>
      <c r="S62" s="40">
        <v>0.24374999999999999</v>
      </c>
      <c r="T62" s="40">
        <v>0.27847222222222223</v>
      </c>
      <c r="U62" s="306">
        <f t="shared" ref="U62:U69" si="38">IF(S62=TIME(17,0,0),"",(S62-T61)*24*60)</f>
        <v>4.9999999999999822</v>
      </c>
      <c r="V62" s="316">
        <f t="shared" si="37"/>
        <v>50.000000000000021</v>
      </c>
      <c r="W62" s="23"/>
      <c r="X62" s="23"/>
      <c r="Y62" s="23"/>
      <c r="Z62" s="23"/>
      <c r="AA62" s="491"/>
      <c r="AB62" s="491"/>
      <c r="AC62" s="154"/>
      <c r="AD62" s="25"/>
      <c r="AE62" s="19">
        <f t="shared" si="8"/>
        <v>-84.800000000000637</v>
      </c>
      <c r="AF62" s="309">
        <f t="shared" si="9"/>
        <v>0.95759999999999967</v>
      </c>
      <c r="AG62" s="489"/>
    </row>
    <row r="63" spans="1:33" ht="15.75" customHeight="1">
      <c r="A63" s="507" t="s">
        <v>1780</v>
      </c>
      <c r="B63" s="42" t="s">
        <v>103</v>
      </c>
      <c r="C63" s="501" t="s">
        <v>105</v>
      </c>
      <c r="D63" s="502"/>
      <c r="E63" s="42">
        <v>56.43</v>
      </c>
      <c r="F63" s="46">
        <v>1968</v>
      </c>
      <c r="G63" s="306">
        <f t="shared" si="35"/>
        <v>111054.24</v>
      </c>
      <c r="H63" s="319" t="s">
        <v>79</v>
      </c>
      <c r="I63" s="315">
        <v>22</v>
      </c>
      <c r="J63" s="37">
        <v>2000</v>
      </c>
      <c r="K63" s="17">
        <f t="shared" si="1"/>
        <v>90.909090909090907</v>
      </c>
      <c r="L63" s="315">
        <v>22</v>
      </c>
      <c r="M63" s="18">
        <f t="shared" si="36"/>
        <v>1736.4705882352941</v>
      </c>
      <c r="N63" s="18">
        <f t="shared" si="3"/>
        <v>78.930481283422466</v>
      </c>
      <c r="O63" s="19">
        <f t="shared" si="4"/>
        <v>0</v>
      </c>
      <c r="P63" s="20">
        <f t="shared" si="5"/>
        <v>-11.97860962566844</v>
      </c>
      <c r="Q63" s="309">
        <f t="shared" si="6"/>
        <v>0.86823529411764711</v>
      </c>
      <c r="R63" s="489"/>
      <c r="S63" s="40">
        <v>0.28194444444444444</v>
      </c>
      <c r="T63" s="40">
        <v>0.32916666666666666</v>
      </c>
      <c r="U63" s="306">
        <f t="shared" si="38"/>
        <v>4.9999999999999822</v>
      </c>
      <c r="V63" s="316">
        <f t="shared" si="37"/>
        <v>68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-263.52941176470586</v>
      </c>
      <c r="AF63" s="309">
        <f t="shared" si="9"/>
        <v>0.86823529411764711</v>
      </c>
      <c r="AG63" s="489"/>
    </row>
    <row r="64" spans="1:33" ht="15.75" customHeight="1">
      <c r="A64" s="507" t="s">
        <v>1780</v>
      </c>
      <c r="B64" s="42" t="s">
        <v>103</v>
      </c>
      <c r="C64" s="311" t="s">
        <v>518</v>
      </c>
      <c r="D64" s="312"/>
      <c r="E64" s="42">
        <v>51.75</v>
      </c>
      <c r="F64" s="46">
        <v>1645</v>
      </c>
      <c r="G64" s="306">
        <f t="shared" si="35"/>
        <v>85128.75</v>
      </c>
      <c r="H64" s="319" t="s">
        <v>79</v>
      </c>
      <c r="I64" s="315">
        <v>25</v>
      </c>
      <c r="J64" s="37">
        <v>2000</v>
      </c>
      <c r="K64" s="17">
        <f t="shared" si="1"/>
        <v>80</v>
      </c>
      <c r="L64" s="315">
        <v>25</v>
      </c>
      <c r="M64" s="18">
        <f t="shared" si="36"/>
        <v>1731.5789473684199</v>
      </c>
      <c r="N64" s="18">
        <f t="shared" si="3"/>
        <v>69.263157894736793</v>
      </c>
      <c r="O64" s="19">
        <f t="shared" si="4"/>
        <v>0</v>
      </c>
      <c r="P64" s="20">
        <f t="shared" si="5"/>
        <v>-10.736842105263207</v>
      </c>
      <c r="Q64" s="309">
        <f t="shared" si="6"/>
        <v>0.86578947368420989</v>
      </c>
      <c r="R64" s="489"/>
      <c r="S64" s="40">
        <v>0.33263888888888887</v>
      </c>
      <c r="T64" s="40">
        <v>0.37222222222222223</v>
      </c>
      <c r="U64" s="306">
        <f t="shared" si="38"/>
        <v>4.9999999999999822</v>
      </c>
      <c r="V64" s="316">
        <f t="shared" si="37"/>
        <v>57.000000000000036</v>
      </c>
      <c r="W64" s="23"/>
      <c r="X64" s="23"/>
      <c r="Y64" s="26"/>
      <c r="Z64" s="26"/>
      <c r="AA64" s="491"/>
      <c r="AB64" s="491"/>
      <c r="AC64" s="154"/>
      <c r="AD64" s="25"/>
      <c r="AE64" s="19">
        <f t="shared" si="8"/>
        <v>-268.4210526315801</v>
      </c>
      <c r="AF64" s="309">
        <f t="shared" si="9"/>
        <v>0.86578947368421</v>
      </c>
      <c r="AG64" s="489"/>
    </row>
    <row r="65" spans="1:33" ht="15.75" customHeight="1">
      <c r="A65" s="507" t="s">
        <v>1780</v>
      </c>
      <c r="B65" s="42" t="s">
        <v>103</v>
      </c>
      <c r="C65" s="311" t="s">
        <v>1781</v>
      </c>
      <c r="D65" s="312"/>
      <c r="E65" s="42">
        <v>51.62</v>
      </c>
      <c r="F65" s="46">
        <v>5238</v>
      </c>
      <c r="G65" s="306">
        <f t="shared" si="35"/>
        <v>270385.56</v>
      </c>
      <c r="H65" s="319" t="s">
        <v>79</v>
      </c>
      <c r="I65" s="315">
        <v>19</v>
      </c>
      <c r="J65" s="37">
        <v>1700</v>
      </c>
      <c r="K65" s="17">
        <f t="shared" si="1"/>
        <v>89.473684210526315</v>
      </c>
      <c r="L65" s="315">
        <v>19</v>
      </c>
      <c r="M65" s="18">
        <f t="shared" si="36"/>
        <v>1636.8750000000005</v>
      </c>
      <c r="N65" s="18">
        <f t="shared" si="3"/>
        <v>86.151315789473713</v>
      </c>
      <c r="O65" s="19">
        <f t="shared" si="4"/>
        <v>0</v>
      </c>
      <c r="P65" s="20">
        <f t="shared" si="5"/>
        <v>-3.3223684210526017</v>
      </c>
      <c r="Q65" s="309">
        <f t="shared" si="6"/>
        <v>0.96286764705882388</v>
      </c>
      <c r="R65" s="489"/>
      <c r="S65" s="40">
        <v>0.37638888888888888</v>
      </c>
      <c r="T65" s="40">
        <v>0.50972222222222219</v>
      </c>
      <c r="U65" s="306">
        <f t="shared" si="38"/>
        <v>5.9999999999999787</v>
      </c>
      <c r="V65" s="316">
        <f t="shared" si="37"/>
        <v>191.99999999999994</v>
      </c>
      <c r="W65" s="23"/>
      <c r="X65" s="23"/>
      <c r="Y65" s="26"/>
      <c r="Z65" s="26"/>
      <c r="AA65" s="491"/>
      <c r="AB65" s="491"/>
      <c r="AC65" s="154"/>
      <c r="AD65" s="25"/>
      <c r="AE65" s="19">
        <f t="shared" si="8"/>
        <v>-63.124999999999545</v>
      </c>
      <c r="AF65" s="309">
        <f t="shared" si="9"/>
        <v>0.96286764705882377</v>
      </c>
      <c r="AG65" s="489"/>
    </row>
    <row r="66" spans="1:33" ht="15.75" customHeight="1">
      <c r="A66" s="507" t="s">
        <v>1780</v>
      </c>
      <c r="B66" s="42" t="s">
        <v>103</v>
      </c>
      <c r="C66" s="501" t="s">
        <v>106</v>
      </c>
      <c r="D66" s="502"/>
      <c r="E66" s="42">
        <v>55.56</v>
      </c>
      <c r="F66" s="46">
        <v>1971</v>
      </c>
      <c r="G66" s="306">
        <f t="shared" si="35"/>
        <v>109508.76000000001</v>
      </c>
      <c r="H66" s="319" t="s">
        <v>79</v>
      </c>
      <c r="I66" s="315">
        <v>17</v>
      </c>
      <c r="J66" s="37">
        <v>2000</v>
      </c>
      <c r="K66" s="17">
        <f t="shared" si="1"/>
        <v>117.64705882352941</v>
      </c>
      <c r="L66" s="315">
        <v>17</v>
      </c>
      <c r="M66" s="18">
        <f t="shared" si="36"/>
        <v>1907.4193548387116</v>
      </c>
      <c r="N66" s="18">
        <f t="shared" si="3"/>
        <v>112.20113851992421</v>
      </c>
      <c r="O66" s="19">
        <f t="shared" si="4"/>
        <v>0</v>
      </c>
      <c r="P66" s="20">
        <f t="shared" si="5"/>
        <v>-5.4459203036051917</v>
      </c>
      <c r="Q66" s="309">
        <f t="shared" si="6"/>
        <v>0.95370967741935586</v>
      </c>
      <c r="R66" s="489"/>
      <c r="S66" s="40">
        <v>0.70833333333333337</v>
      </c>
      <c r="T66" s="40">
        <v>0.75138888888888888</v>
      </c>
      <c r="U66" s="306" t="str">
        <f t="shared" si="38"/>
        <v/>
      </c>
      <c r="V66" s="316">
        <f t="shared" si="37"/>
        <v>61.999999999999943</v>
      </c>
      <c r="W66" s="23"/>
      <c r="X66" s="23"/>
      <c r="Y66" s="26"/>
      <c r="Z66" s="26"/>
      <c r="AA66" s="503"/>
      <c r="AB66" s="504"/>
      <c r="AC66" s="154"/>
      <c r="AD66" s="25"/>
      <c r="AE66" s="19">
        <f t="shared" si="8"/>
        <v>-92.58064516128843</v>
      </c>
      <c r="AF66" s="309">
        <f t="shared" si="9"/>
        <v>0.95370967741935575</v>
      </c>
      <c r="AG66" s="489"/>
    </row>
    <row r="67" spans="1:33" ht="15.75" customHeight="1">
      <c r="A67" s="507" t="s">
        <v>1782</v>
      </c>
      <c r="B67" s="42" t="s">
        <v>103</v>
      </c>
      <c r="C67" s="501" t="s">
        <v>107</v>
      </c>
      <c r="D67" s="502"/>
      <c r="E67" s="42">
        <v>55.32</v>
      </c>
      <c r="F67" s="46">
        <v>1420</v>
      </c>
      <c r="G67" s="306">
        <f t="shared" si="35"/>
        <v>78554.399999999994</v>
      </c>
      <c r="H67" s="319" t="s">
        <v>79</v>
      </c>
      <c r="I67" s="315">
        <v>15</v>
      </c>
      <c r="J67" s="37">
        <v>2000</v>
      </c>
      <c r="K67" s="17">
        <f t="shared" si="1"/>
        <v>133.33333333333334</v>
      </c>
      <c r="L67" s="315">
        <v>15</v>
      </c>
      <c r="M67" s="18">
        <f t="shared" si="36"/>
        <v>1936.3636363636365</v>
      </c>
      <c r="N67" s="18">
        <f t="shared" si="3"/>
        <v>129.09090909090909</v>
      </c>
      <c r="O67" s="19">
        <f t="shared" si="4"/>
        <v>0</v>
      </c>
      <c r="P67" s="20">
        <f t="shared" si="5"/>
        <v>-4.2424242424242493</v>
      </c>
      <c r="Q67" s="309">
        <f t="shared" si="6"/>
        <v>0.96818181818181814</v>
      </c>
      <c r="R67" s="489"/>
      <c r="S67" s="40">
        <v>0.75555555555555554</v>
      </c>
      <c r="T67" s="40">
        <v>0.78611111111111109</v>
      </c>
      <c r="U67" s="306">
        <f t="shared" si="38"/>
        <v>5.9999999999999787</v>
      </c>
      <c r="V67" s="316">
        <f t="shared" si="37"/>
        <v>44</v>
      </c>
      <c r="W67" s="23"/>
      <c r="X67" s="23"/>
      <c r="Y67" s="26"/>
      <c r="Z67" s="26"/>
      <c r="AA67" s="503"/>
      <c r="AB67" s="504"/>
      <c r="AC67" s="154"/>
      <c r="AD67" s="25"/>
      <c r="AE67" s="19">
        <f t="shared" si="8"/>
        <v>-63.636363636363512</v>
      </c>
      <c r="AF67" s="309">
        <f t="shared" si="9"/>
        <v>0.96818181818181825</v>
      </c>
      <c r="AG67" s="489"/>
    </row>
    <row r="68" spans="1:33" ht="15.75" customHeight="1">
      <c r="A68" s="507" t="s">
        <v>1780</v>
      </c>
      <c r="B68" s="42" t="s">
        <v>103</v>
      </c>
      <c r="C68" s="501" t="s">
        <v>108</v>
      </c>
      <c r="D68" s="502"/>
      <c r="E68" s="42">
        <v>54.29</v>
      </c>
      <c r="F68" s="46">
        <v>2263</v>
      </c>
      <c r="G68" s="306">
        <f t="shared" si="35"/>
        <v>122858.27</v>
      </c>
      <c r="H68" s="319" t="s">
        <v>79</v>
      </c>
      <c r="I68" s="315">
        <v>20</v>
      </c>
      <c r="J68" s="37">
        <v>2000</v>
      </c>
      <c r="K68" s="17">
        <f t="shared" si="1"/>
        <v>100</v>
      </c>
      <c r="L68" s="315">
        <v>20</v>
      </c>
      <c r="M68" s="18">
        <f t="shared" si="36"/>
        <v>1912.3943661971812</v>
      </c>
      <c r="N68" s="18">
        <f t="shared" si="3"/>
        <v>95.619718309859053</v>
      </c>
      <c r="O68" s="19">
        <f t="shared" si="4"/>
        <v>0</v>
      </c>
      <c r="P68" s="20">
        <f t="shared" si="5"/>
        <v>-4.3802816901409471</v>
      </c>
      <c r="Q68" s="309">
        <f t="shared" si="6"/>
        <v>0.95619718309859048</v>
      </c>
      <c r="R68" s="489"/>
      <c r="S68" s="40">
        <v>0.79027777777777775</v>
      </c>
      <c r="T68" s="40">
        <v>0.83958333333333335</v>
      </c>
      <c r="U68" s="306">
        <f t="shared" si="38"/>
        <v>5.9999999999999787</v>
      </c>
      <c r="V68" s="316">
        <f t="shared" si="37"/>
        <v>71.000000000000071</v>
      </c>
      <c r="W68" s="23">
        <f>T68</f>
        <v>0.83958333333333335</v>
      </c>
      <c r="X68" s="23">
        <f>S69</f>
        <v>0.87916666666666665</v>
      </c>
      <c r="Y68" s="26"/>
      <c r="Z68" s="26"/>
      <c r="AA68" s="503"/>
      <c r="AB68" s="504"/>
      <c r="AC68" s="154"/>
      <c r="AD68" s="25"/>
      <c r="AE68" s="19">
        <f t="shared" si="8"/>
        <v>-87.605633802818829</v>
      </c>
      <c r="AF68" s="309">
        <f t="shared" si="9"/>
        <v>0.95619718309859059</v>
      </c>
      <c r="AG68" s="489"/>
    </row>
    <row r="69" spans="1:33">
      <c r="A69" s="507" t="s">
        <v>1780</v>
      </c>
      <c r="B69" s="42" t="s">
        <v>103</v>
      </c>
      <c r="C69" s="501" t="s">
        <v>1708</v>
      </c>
      <c r="D69" s="502"/>
      <c r="E69" s="42">
        <v>54.7</v>
      </c>
      <c r="F69" s="46">
        <v>2699</v>
      </c>
      <c r="G69" s="306">
        <f t="shared" si="35"/>
        <v>147635.30000000002</v>
      </c>
      <c r="H69" s="319" t="s">
        <v>79</v>
      </c>
      <c r="I69" s="315">
        <v>15</v>
      </c>
      <c r="J69" s="37">
        <v>2000</v>
      </c>
      <c r="K69" s="17">
        <f t="shared" ref="K69:K83" si="39">J69/I69</f>
        <v>133.33333333333334</v>
      </c>
      <c r="L69" s="315">
        <v>15</v>
      </c>
      <c r="M69" s="18">
        <f t="shared" si="36"/>
        <v>1905.1764705882349</v>
      </c>
      <c r="N69" s="18">
        <f t="shared" ref="N69:N83" si="40">M69/L69</f>
        <v>127.01176470588233</v>
      </c>
      <c r="O69" s="19">
        <f t="shared" ref="O69:O83" si="41">L69-I69</f>
        <v>0</v>
      </c>
      <c r="P69" s="20">
        <f t="shared" ref="P69:P83" si="42">N69-K69</f>
        <v>-6.3215686274510148</v>
      </c>
      <c r="Q69" s="309">
        <f t="shared" ref="Q69:Q83" si="43">N69/K69</f>
        <v>0.9525882352941174</v>
      </c>
      <c r="R69" s="489"/>
      <c r="S69" s="40">
        <v>0.87916666666666665</v>
      </c>
      <c r="T69" s="40">
        <v>0.93819444444444444</v>
      </c>
      <c r="U69" s="306">
        <f t="shared" si="38"/>
        <v>56.999999999999957</v>
      </c>
      <c r="V69" s="316">
        <f t="shared" si="37"/>
        <v>85.000000000000014</v>
      </c>
      <c r="W69" s="23"/>
      <c r="X69" s="23"/>
      <c r="Y69" s="26"/>
      <c r="Z69" s="26"/>
      <c r="AA69" s="503"/>
      <c r="AB69" s="504"/>
      <c r="AC69" s="154"/>
      <c r="AD69" s="25"/>
      <c r="AE69" s="19">
        <f t="shared" ref="AE69:AE83" si="44">M69-J69</f>
        <v>-94.823529411765094</v>
      </c>
      <c r="AF69" s="309">
        <f t="shared" ref="AF69:AF83" si="45">M69/J69</f>
        <v>0.9525882352941174</v>
      </c>
      <c r="AG69" s="489"/>
    </row>
    <row r="70" spans="1:33">
      <c r="A70" s="508" t="s">
        <v>1783</v>
      </c>
      <c r="B70" s="42" t="s">
        <v>299</v>
      </c>
      <c r="C70" s="494"/>
      <c r="D70" s="494"/>
      <c r="E70" s="310"/>
      <c r="F70" s="44"/>
      <c r="G70" s="17"/>
      <c r="H70" s="317"/>
      <c r="I70" s="30">
        <v>18.555555555555557</v>
      </c>
      <c r="J70" s="37">
        <v>1966.6666666666667</v>
      </c>
      <c r="K70" s="17">
        <f t="shared" si="39"/>
        <v>105.9880239520958</v>
      </c>
      <c r="L70" s="30">
        <v>18.555555555555557</v>
      </c>
      <c r="M70" s="18">
        <f>AVERAGE(M61:M69)</f>
        <v>1844.7536346019515</v>
      </c>
      <c r="N70" s="17">
        <f t="shared" si="40"/>
        <v>99.417860547410555</v>
      </c>
      <c r="O70" s="19">
        <f t="shared" si="41"/>
        <v>0</v>
      </c>
      <c r="P70" s="20">
        <f t="shared" si="42"/>
        <v>-6.5701634046852462</v>
      </c>
      <c r="Q70" s="309">
        <f t="shared" si="43"/>
        <v>0.93801032267895845</v>
      </c>
      <c r="R70" s="489"/>
      <c r="S70" s="41"/>
      <c r="T70" s="40"/>
      <c r="U70" s="17"/>
      <c r="V70" s="316"/>
      <c r="W70" s="17"/>
      <c r="X70" s="17"/>
      <c r="Y70" s="31">
        <f>SUM(Y61:Y69)</f>
        <v>0</v>
      </c>
      <c r="Z70" s="31">
        <f>SUM(Z61:Z69)</f>
        <v>0</v>
      </c>
      <c r="AA70" s="495"/>
      <c r="AB70" s="495"/>
      <c r="AC70" s="31">
        <v>6</v>
      </c>
      <c r="AD70" s="31">
        <f>SUM(AD61:AD69)</f>
        <v>0</v>
      </c>
      <c r="AE70" s="19">
        <f t="shared" si="44"/>
        <v>-121.91303206471525</v>
      </c>
      <c r="AF70" s="309">
        <f t="shared" si="45"/>
        <v>0.93801032267895834</v>
      </c>
      <c r="AG70" s="489"/>
    </row>
    <row r="71" spans="1:33" ht="15.75" customHeight="1">
      <c r="A71" s="499" t="s">
        <v>1784</v>
      </c>
      <c r="B71" s="317" t="s">
        <v>100</v>
      </c>
      <c r="C71" s="490" t="s">
        <v>109</v>
      </c>
      <c r="D71" s="490"/>
      <c r="E71" s="42">
        <v>26.97</v>
      </c>
      <c r="F71" s="46">
        <v>2289</v>
      </c>
      <c r="G71" s="306">
        <f t="shared" ref="G71:G75" si="46">E71*F71</f>
        <v>61734.329999999994</v>
      </c>
      <c r="H71" s="319" t="s">
        <v>79</v>
      </c>
      <c r="I71" s="315">
        <v>8</v>
      </c>
      <c r="J71" s="37">
        <v>1500</v>
      </c>
      <c r="K71" s="17">
        <f t="shared" si="39"/>
        <v>187.5</v>
      </c>
      <c r="L71" s="315">
        <v>8</v>
      </c>
      <c r="M71" s="18">
        <f t="shared" ref="M71:M75" si="47">F71/V71*60</f>
        <v>1430.6249999999998</v>
      </c>
      <c r="N71" s="17">
        <f t="shared" si="40"/>
        <v>178.82812499999997</v>
      </c>
      <c r="O71" s="19">
        <f t="shared" si="41"/>
        <v>0</v>
      </c>
      <c r="P71" s="20">
        <f t="shared" si="42"/>
        <v>-8.6718750000000284</v>
      </c>
      <c r="Q71" s="309">
        <f t="shared" si="43"/>
        <v>0.95374999999999988</v>
      </c>
      <c r="R71" s="489">
        <f>Q76</f>
        <v>0.96251621900826456</v>
      </c>
      <c r="S71" s="40">
        <v>0.20833333333333334</v>
      </c>
      <c r="T71" s="40">
        <v>0.27500000000000002</v>
      </c>
      <c r="U71" s="306"/>
      <c r="V71" s="316">
        <f t="shared" ref="V71:V75" si="48">(T71-S71)*24*60</f>
        <v>96.000000000000014</v>
      </c>
      <c r="W71" s="28"/>
      <c r="X71" s="28"/>
      <c r="Y71" s="28"/>
      <c r="Z71" s="28"/>
      <c r="AA71" s="491"/>
      <c r="AB71" s="491"/>
      <c r="AC71" s="154">
        <v>1</v>
      </c>
      <c r="AD71" s="25"/>
      <c r="AE71" s="19">
        <f t="shared" si="44"/>
        <v>-69.375000000000227</v>
      </c>
      <c r="AF71" s="309">
        <f t="shared" si="45"/>
        <v>0.95374999999999988</v>
      </c>
      <c r="AG71" s="489">
        <f>AF76</f>
        <v>0.96251621900826445</v>
      </c>
    </row>
    <row r="72" spans="1:33" ht="15.75" customHeight="1">
      <c r="A72" s="499" t="s">
        <v>1785</v>
      </c>
      <c r="B72" s="317" t="s">
        <v>100</v>
      </c>
      <c r="C72" s="490" t="s">
        <v>519</v>
      </c>
      <c r="D72" s="490"/>
      <c r="E72" s="42">
        <v>27.4</v>
      </c>
      <c r="F72" s="46">
        <v>2895</v>
      </c>
      <c r="G72" s="306">
        <f t="shared" si="46"/>
        <v>79323</v>
      </c>
      <c r="H72" s="319" t="s">
        <v>79</v>
      </c>
      <c r="I72" s="315">
        <v>10</v>
      </c>
      <c r="J72" s="37">
        <v>1500</v>
      </c>
      <c r="K72" s="17">
        <f t="shared" si="39"/>
        <v>150</v>
      </c>
      <c r="L72" s="315">
        <v>10</v>
      </c>
      <c r="M72" s="18">
        <f t="shared" si="47"/>
        <v>1435.5371900826449</v>
      </c>
      <c r="N72" s="17">
        <f t="shared" si="40"/>
        <v>143.55371900826449</v>
      </c>
      <c r="O72" s="19">
        <f t="shared" si="41"/>
        <v>0</v>
      </c>
      <c r="P72" s="20">
        <f t="shared" si="42"/>
        <v>-6.4462809917355059</v>
      </c>
      <c r="Q72" s="309">
        <f t="shared" si="43"/>
        <v>0.95702479338842994</v>
      </c>
      <c r="R72" s="489"/>
      <c r="S72" s="40">
        <v>0.27986111111111112</v>
      </c>
      <c r="T72" s="40">
        <v>0.36388888888888887</v>
      </c>
      <c r="U72" s="306">
        <f t="shared" ref="U72:U75" si="49">(S72-T71)*24*60</f>
        <v>6.9999999999999751</v>
      </c>
      <c r="V72" s="316">
        <f t="shared" si="48"/>
        <v>120.99999999999997</v>
      </c>
      <c r="W72" s="306"/>
      <c r="X72" s="306"/>
      <c r="Y72" s="306"/>
      <c r="Z72" s="306"/>
      <c r="AA72" s="491"/>
      <c r="AB72" s="491"/>
      <c r="AC72" s="154"/>
      <c r="AD72" s="25"/>
      <c r="AE72" s="19">
        <f t="shared" si="44"/>
        <v>-64.462809917355116</v>
      </c>
      <c r="AF72" s="309">
        <f t="shared" si="45"/>
        <v>0.95702479338842994</v>
      </c>
      <c r="AG72" s="489"/>
    </row>
    <row r="73" spans="1:33" ht="15.75" customHeight="1">
      <c r="A73" s="499" t="s">
        <v>1784</v>
      </c>
      <c r="B73" s="317" t="s">
        <v>93</v>
      </c>
      <c r="C73" s="490" t="s">
        <v>97</v>
      </c>
      <c r="D73" s="490"/>
      <c r="E73" s="42">
        <v>31</v>
      </c>
      <c r="F73" s="46">
        <v>982</v>
      </c>
      <c r="G73" s="306">
        <f t="shared" si="46"/>
        <v>30442</v>
      </c>
      <c r="H73" s="319" t="s">
        <v>79</v>
      </c>
      <c r="I73" s="315">
        <v>13</v>
      </c>
      <c r="J73" s="37">
        <v>2000</v>
      </c>
      <c r="K73" s="17">
        <f t="shared" si="39"/>
        <v>153.84615384615384</v>
      </c>
      <c r="L73" s="315">
        <v>13</v>
      </c>
      <c r="M73" s="18">
        <f t="shared" si="47"/>
        <v>1964.0000000000018</v>
      </c>
      <c r="N73" s="17">
        <f t="shared" si="40"/>
        <v>151.07692307692321</v>
      </c>
      <c r="O73" s="19">
        <f t="shared" si="41"/>
        <v>0</v>
      </c>
      <c r="P73" s="20">
        <f t="shared" si="42"/>
        <v>-2.7692307692306315</v>
      </c>
      <c r="Q73" s="309">
        <f t="shared" si="43"/>
        <v>0.98200000000000087</v>
      </c>
      <c r="R73" s="489"/>
      <c r="S73" s="40">
        <v>0.36805555555555552</v>
      </c>
      <c r="T73" s="40">
        <v>0.38888888888888884</v>
      </c>
      <c r="U73" s="306">
        <f t="shared" si="49"/>
        <v>5.9999999999999787</v>
      </c>
      <c r="V73" s="316">
        <f t="shared" si="48"/>
        <v>29.999999999999972</v>
      </c>
      <c r="W73" s="306"/>
      <c r="X73" s="306"/>
      <c r="Y73" s="306"/>
      <c r="Z73" s="306"/>
      <c r="AA73" s="491"/>
      <c r="AB73" s="491"/>
      <c r="AC73" s="154" t="s">
        <v>79</v>
      </c>
      <c r="AD73" s="25"/>
      <c r="AE73" s="19">
        <f t="shared" si="44"/>
        <v>-35.999999999998181</v>
      </c>
      <c r="AF73" s="309">
        <f t="shared" si="45"/>
        <v>0.98200000000000087</v>
      </c>
      <c r="AG73" s="489"/>
    </row>
    <row r="74" spans="1:33" ht="15.75" customHeight="1">
      <c r="A74" s="499" t="s">
        <v>1785</v>
      </c>
      <c r="B74" s="317" t="s">
        <v>93</v>
      </c>
      <c r="C74" s="490" t="s">
        <v>1235</v>
      </c>
      <c r="D74" s="490"/>
      <c r="E74" s="42">
        <v>37.85</v>
      </c>
      <c r="F74" s="46">
        <v>2944</v>
      </c>
      <c r="G74" s="306">
        <f t="shared" si="46"/>
        <v>111430.40000000001</v>
      </c>
      <c r="H74" s="319" t="s">
        <v>79</v>
      </c>
      <c r="I74" s="315">
        <v>12</v>
      </c>
      <c r="J74" s="37">
        <v>2000</v>
      </c>
      <c r="K74" s="17">
        <f t="shared" si="39"/>
        <v>166.66666666666666</v>
      </c>
      <c r="L74" s="315">
        <v>12</v>
      </c>
      <c r="M74" s="18">
        <f t="shared" si="47"/>
        <v>1920</v>
      </c>
      <c r="N74" s="17">
        <f t="shared" si="40"/>
        <v>160</v>
      </c>
      <c r="O74" s="19">
        <f t="shared" si="41"/>
        <v>0</v>
      </c>
      <c r="P74" s="20">
        <f t="shared" si="42"/>
        <v>-6.6666666666666572</v>
      </c>
      <c r="Q74" s="309">
        <f t="shared" si="43"/>
        <v>0.96000000000000008</v>
      </c>
      <c r="R74" s="489"/>
      <c r="S74" s="40">
        <v>0.39305555555555549</v>
      </c>
      <c r="T74" s="40">
        <v>0.45694444444444438</v>
      </c>
      <c r="U74" s="306">
        <f t="shared" si="49"/>
        <v>5.9999999999999787</v>
      </c>
      <c r="V74" s="316">
        <f t="shared" si="48"/>
        <v>92</v>
      </c>
      <c r="W74" s="306"/>
      <c r="X74" s="306"/>
      <c r="Y74" s="306"/>
      <c r="Z74" s="306"/>
      <c r="AA74" s="491"/>
      <c r="AB74" s="491"/>
      <c r="AC74" s="154" t="s">
        <v>79</v>
      </c>
      <c r="AD74" s="25"/>
      <c r="AE74" s="19">
        <f t="shared" si="44"/>
        <v>-80</v>
      </c>
      <c r="AF74" s="309">
        <f t="shared" si="45"/>
        <v>0.96</v>
      </c>
      <c r="AG74" s="489"/>
    </row>
    <row r="75" spans="1:33">
      <c r="A75" s="500" t="s">
        <v>72</v>
      </c>
      <c r="B75" s="317" t="s">
        <v>93</v>
      </c>
      <c r="C75" s="490" t="s">
        <v>113</v>
      </c>
      <c r="D75" s="490"/>
      <c r="E75" s="42">
        <v>34.36</v>
      </c>
      <c r="F75" s="46">
        <v>1725</v>
      </c>
      <c r="G75" s="306">
        <f t="shared" si="46"/>
        <v>59271</v>
      </c>
      <c r="H75" s="319" t="s">
        <v>79</v>
      </c>
      <c r="I75" s="315">
        <v>10</v>
      </c>
      <c r="J75" s="37">
        <v>3000</v>
      </c>
      <c r="K75" s="17">
        <f t="shared" si="39"/>
        <v>300</v>
      </c>
      <c r="L75" s="315">
        <v>10</v>
      </c>
      <c r="M75" s="18">
        <f t="shared" si="47"/>
        <v>2874.9999999999977</v>
      </c>
      <c r="N75" s="17">
        <f t="shared" si="40"/>
        <v>287.49999999999977</v>
      </c>
      <c r="O75" s="19">
        <f t="shared" si="41"/>
        <v>0</v>
      </c>
      <c r="P75" s="20">
        <f t="shared" si="42"/>
        <v>-12.500000000000227</v>
      </c>
      <c r="Q75" s="309">
        <f t="shared" si="43"/>
        <v>0.95833333333333259</v>
      </c>
      <c r="R75" s="489"/>
      <c r="S75" s="40">
        <v>0.46180555555555547</v>
      </c>
      <c r="T75" s="40">
        <v>0.48680555555555549</v>
      </c>
      <c r="U75" s="306">
        <f t="shared" si="49"/>
        <v>6.9999999999999751</v>
      </c>
      <c r="V75" s="316">
        <f t="shared" si="48"/>
        <v>36.000000000000028</v>
      </c>
      <c r="W75" s="23"/>
      <c r="X75" s="23"/>
      <c r="Y75" s="23"/>
      <c r="Z75" s="23"/>
      <c r="AA75" s="491"/>
      <c r="AB75" s="491"/>
      <c r="AC75" s="154" t="s">
        <v>79</v>
      </c>
      <c r="AD75" s="25"/>
      <c r="AE75" s="19">
        <f t="shared" si="44"/>
        <v>-125.00000000000227</v>
      </c>
      <c r="AF75" s="309">
        <f t="shared" si="45"/>
        <v>0.95833333333333259</v>
      </c>
      <c r="AG75" s="489"/>
    </row>
    <row r="76" spans="1:33">
      <c r="A76" s="500" t="s">
        <v>1784</v>
      </c>
      <c r="B76" s="42" t="s">
        <v>1786</v>
      </c>
      <c r="C76" s="494"/>
      <c r="D76" s="494"/>
      <c r="E76" s="310"/>
      <c r="F76" s="44"/>
      <c r="G76" s="17"/>
      <c r="H76" s="317"/>
      <c r="I76" s="30">
        <v>10.6</v>
      </c>
      <c r="J76" s="37">
        <v>2000</v>
      </c>
      <c r="K76" s="17">
        <f t="shared" si="39"/>
        <v>188.67924528301887</v>
      </c>
      <c r="L76" s="30">
        <v>10.6</v>
      </c>
      <c r="M76" s="18">
        <f>AVERAGE(M71:M75)</f>
        <v>1925.0324380165289</v>
      </c>
      <c r="N76" s="17">
        <f t="shared" si="40"/>
        <v>181.60683377514425</v>
      </c>
      <c r="O76" s="19">
        <f t="shared" si="41"/>
        <v>0</v>
      </c>
      <c r="P76" s="20">
        <f t="shared" si="42"/>
        <v>-7.0724115078746195</v>
      </c>
      <c r="Q76" s="309">
        <f t="shared" si="43"/>
        <v>0.96251621900826456</v>
      </c>
      <c r="R76" s="489"/>
      <c r="S76" s="40"/>
      <c r="T76" s="40"/>
      <c r="U76" s="17"/>
      <c r="V76" s="316"/>
      <c r="W76" s="17"/>
      <c r="X76" s="17"/>
      <c r="Y76" s="31">
        <f>SUM(Y71:Y75)</f>
        <v>0</v>
      </c>
      <c r="Z76" s="31">
        <f>SUM(Z71:Z75)</f>
        <v>0</v>
      </c>
      <c r="AA76" s="495"/>
      <c r="AB76" s="495"/>
      <c r="AC76" s="31">
        <v>1</v>
      </c>
      <c r="AD76" s="31">
        <f>SUM(AD71:AD75)</f>
        <v>0</v>
      </c>
      <c r="AE76" s="19">
        <f t="shared" si="44"/>
        <v>-74.967561983471114</v>
      </c>
      <c r="AF76" s="309">
        <f t="shared" si="45"/>
        <v>0.96251621900826445</v>
      </c>
      <c r="AG76" s="489"/>
    </row>
    <row r="77" spans="1:33" ht="15.75" customHeight="1">
      <c r="A77" s="496" t="s">
        <v>1787</v>
      </c>
      <c r="B77" s="317" t="s">
        <v>80</v>
      </c>
      <c r="C77" s="490" t="s">
        <v>115</v>
      </c>
      <c r="D77" s="490"/>
      <c r="E77" s="42">
        <v>20.2</v>
      </c>
      <c r="F77" s="317">
        <v>2217</v>
      </c>
      <c r="G77" s="306">
        <f t="shared" ref="G77:G82" si="50">E77*F77</f>
        <v>44783.4</v>
      </c>
      <c r="H77" s="319" t="s">
        <v>79</v>
      </c>
      <c r="I77" s="315">
        <v>19</v>
      </c>
      <c r="J77" s="37">
        <v>2400</v>
      </c>
      <c r="K77" s="17">
        <f t="shared" si="39"/>
        <v>126.31578947368421</v>
      </c>
      <c r="L77" s="315">
        <v>19</v>
      </c>
      <c r="M77" s="18">
        <f t="shared" ref="M77:M82" si="51">F77/V77*60</f>
        <v>2293.4482758620688</v>
      </c>
      <c r="N77" s="17">
        <f t="shared" si="40"/>
        <v>120.70780399274047</v>
      </c>
      <c r="O77" s="19">
        <f t="shared" si="41"/>
        <v>0</v>
      </c>
      <c r="P77" s="20">
        <f t="shared" si="42"/>
        <v>-5.6079854809437393</v>
      </c>
      <c r="Q77" s="309">
        <f t="shared" si="43"/>
        <v>0.95560344827586208</v>
      </c>
      <c r="R77" s="489">
        <f>Q83</f>
        <v>0.95352100565635278</v>
      </c>
      <c r="S77" s="40">
        <v>8.3333333333333329E-2</v>
      </c>
      <c r="T77" s="40">
        <v>0.12361111111111112</v>
      </c>
      <c r="U77" s="28"/>
      <c r="V77" s="316">
        <f t="shared" ref="V77:V82" si="52">(T77-S77)*24*60</f>
        <v>58.000000000000014</v>
      </c>
      <c r="W77" s="23">
        <f>T77</f>
        <v>0.12361111111111112</v>
      </c>
      <c r="X77" s="23">
        <f>S78</f>
        <v>0.14375000000000002</v>
      </c>
      <c r="Y77" s="23"/>
      <c r="Z77" s="23"/>
      <c r="AA77" s="491"/>
      <c r="AB77" s="491"/>
      <c r="AC77" s="154">
        <v>8</v>
      </c>
      <c r="AD77" s="25"/>
      <c r="AE77" s="19">
        <f t="shared" si="44"/>
        <v>-106.55172413793116</v>
      </c>
      <c r="AF77" s="309">
        <f t="shared" si="45"/>
        <v>0.95560344827586197</v>
      </c>
      <c r="AG77" s="489">
        <f>AF83</f>
        <v>0.95352100565635278</v>
      </c>
    </row>
    <row r="78" spans="1:33" ht="15.75" customHeight="1">
      <c r="A78" s="497" t="s">
        <v>1787</v>
      </c>
      <c r="B78" s="317" t="s">
        <v>80</v>
      </c>
      <c r="C78" s="490" t="s">
        <v>116</v>
      </c>
      <c r="D78" s="490"/>
      <c r="E78" s="42">
        <v>20.52</v>
      </c>
      <c r="F78" s="317">
        <v>3130</v>
      </c>
      <c r="G78" s="306">
        <f t="shared" si="50"/>
        <v>64227.6</v>
      </c>
      <c r="H78" s="319" t="s">
        <v>79</v>
      </c>
      <c r="I78" s="315">
        <v>18</v>
      </c>
      <c r="J78" s="37">
        <v>2400</v>
      </c>
      <c r="K78" s="17">
        <f t="shared" si="39"/>
        <v>133.33333333333334</v>
      </c>
      <c r="L78" s="315">
        <v>18</v>
      </c>
      <c r="M78" s="18">
        <f t="shared" si="51"/>
        <v>2290.2439024390251</v>
      </c>
      <c r="N78" s="17">
        <f t="shared" si="40"/>
        <v>127.23577235772362</v>
      </c>
      <c r="O78" s="19">
        <f t="shared" si="41"/>
        <v>0</v>
      </c>
      <c r="P78" s="20">
        <f t="shared" si="42"/>
        <v>-6.0975609756097242</v>
      </c>
      <c r="Q78" s="309">
        <f t="shared" si="43"/>
        <v>0.95426829268292712</v>
      </c>
      <c r="R78" s="489"/>
      <c r="S78" s="40">
        <v>0.14375000000000002</v>
      </c>
      <c r="T78" s="40">
        <v>0.20069444444444445</v>
      </c>
      <c r="U78" s="306">
        <f t="shared" ref="U78:U82" si="53">(S78-T77)*24*60</f>
        <v>29.000000000000018</v>
      </c>
      <c r="V78" s="316">
        <f t="shared" si="52"/>
        <v>81.999999999999986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4"/>
        <v>-109.75609756097492</v>
      </c>
      <c r="AF78" s="309">
        <f t="shared" si="45"/>
        <v>0.95426829268292712</v>
      </c>
      <c r="AG78" s="489"/>
    </row>
    <row r="79" spans="1:33" ht="15.75" customHeight="1">
      <c r="A79" s="497" t="s">
        <v>1787</v>
      </c>
      <c r="B79" s="317" t="s">
        <v>80</v>
      </c>
      <c r="C79" s="490" t="s">
        <v>118</v>
      </c>
      <c r="D79" s="490"/>
      <c r="E79" s="42">
        <v>20.21</v>
      </c>
      <c r="F79" s="317">
        <v>3732</v>
      </c>
      <c r="G79" s="306">
        <f t="shared" si="50"/>
        <v>75423.72</v>
      </c>
      <c r="H79" s="319" t="s">
        <v>79</v>
      </c>
      <c r="I79" s="315">
        <v>16</v>
      </c>
      <c r="J79" s="37">
        <v>2400</v>
      </c>
      <c r="K79" s="17">
        <f t="shared" si="39"/>
        <v>150</v>
      </c>
      <c r="L79" s="315">
        <v>16</v>
      </c>
      <c r="M79" s="18">
        <f t="shared" si="51"/>
        <v>2284.8979591836733</v>
      </c>
      <c r="N79" s="17">
        <f t="shared" si="40"/>
        <v>142.80612244897958</v>
      </c>
      <c r="O79" s="19">
        <f t="shared" si="41"/>
        <v>0</v>
      </c>
      <c r="P79" s="20">
        <f t="shared" si="42"/>
        <v>-7.1938775510204209</v>
      </c>
      <c r="Q79" s="309">
        <f t="shared" si="43"/>
        <v>0.95204081632653048</v>
      </c>
      <c r="R79" s="489"/>
      <c r="S79" s="40">
        <v>0.20555555555555557</v>
      </c>
      <c r="T79" s="40">
        <v>0.27361111111111114</v>
      </c>
      <c r="U79" s="306">
        <f t="shared" si="53"/>
        <v>7.0000000000000151</v>
      </c>
      <c r="V79" s="316">
        <f t="shared" si="52"/>
        <v>98.000000000000014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-115.10204081632673</v>
      </c>
      <c r="AF79" s="309">
        <f t="shared" si="45"/>
        <v>0.95204081632653048</v>
      </c>
      <c r="AG79" s="489"/>
    </row>
    <row r="80" spans="1:33" ht="15.75" customHeight="1">
      <c r="A80" s="497" t="s">
        <v>75</v>
      </c>
      <c r="B80" s="317" t="s">
        <v>80</v>
      </c>
      <c r="C80" s="490" t="s">
        <v>117</v>
      </c>
      <c r="D80" s="490"/>
      <c r="E80" s="42">
        <v>24.43</v>
      </c>
      <c r="F80" s="317">
        <v>6088</v>
      </c>
      <c r="G80" s="306">
        <f t="shared" si="50"/>
        <v>148729.84</v>
      </c>
      <c r="H80" s="319" t="s">
        <v>79</v>
      </c>
      <c r="I80" s="315">
        <v>14</v>
      </c>
      <c r="J80" s="37">
        <v>2400</v>
      </c>
      <c r="K80" s="17">
        <f t="shared" si="39"/>
        <v>171.42857142857142</v>
      </c>
      <c r="L80" s="315">
        <v>14</v>
      </c>
      <c r="M80" s="18">
        <f t="shared" si="51"/>
        <v>2283</v>
      </c>
      <c r="N80" s="17">
        <f t="shared" si="40"/>
        <v>163.07142857142858</v>
      </c>
      <c r="O80" s="19">
        <f t="shared" si="41"/>
        <v>0</v>
      </c>
      <c r="P80" s="20">
        <f t="shared" si="42"/>
        <v>-8.3571428571428328</v>
      </c>
      <c r="Q80" s="309">
        <f t="shared" si="43"/>
        <v>0.95125000000000015</v>
      </c>
      <c r="R80" s="489"/>
      <c r="S80" s="40">
        <v>0.27916666666666667</v>
      </c>
      <c r="T80" s="40">
        <v>0.39027777777777778</v>
      </c>
      <c r="U80" s="306">
        <f t="shared" si="53"/>
        <v>7.9999999999999716</v>
      </c>
      <c r="V80" s="316">
        <f t="shared" si="52"/>
        <v>160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-117</v>
      </c>
      <c r="AF80" s="309">
        <f t="shared" si="45"/>
        <v>0.95125000000000004</v>
      </c>
      <c r="AG80" s="489"/>
    </row>
    <row r="81" spans="1:33" ht="15.75" customHeight="1">
      <c r="A81" s="497" t="s">
        <v>1787</v>
      </c>
      <c r="B81" s="317" t="s">
        <v>80</v>
      </c>
      <c r="C81" s="490" t="s">
        <v>119</v>
      </c>
      <c r="D81" s="490"/>
      <c r="E81" s="42">
        <v>19.02</v>
      </c>
      <c r="F81" s="317">
        <v>5600</v>
      </c>
      <c r="G81" s="306">
        <f t="shared" si="50"/>
        <v>106512</v>
      </c>
      <c r="H81" s="319">
        <v>2</v>
      </c>
      <c r="I81" s="315">
        <v>15</v>
      </c>
      <c r="J81" s="37">
        <v>2400</v>
      </c>
      <c r="K81" s="17">
        <f t="shared" si="39"/>
        <v>160</v>
      </c>
      <c r="L81" s="315">
        <v>15</v>
      </c>
      <c r="M81" s="18">
        <f t="shared" si="51"/>
        <v>2285.7142857142853</v>
      </c>
      <c r="N81" s="17">
        <f t="shared" si="40"/>
        <v>152.38095238095235</v>
      </c>
      <c r="O81" s="19">
        <f t="shared" si="41"/>
        <v>0</v>
      </c>
      <c r="P81" s="20">
        <f t="shared" si="42"/>
        <v>-7.6190476190476488</v>
      </c>
      <c r="Q81" s="309">
        <f t="shared" si="43"/>
        <v>0.95238095238095222</v>
      </c>
      <c r="R81" s="489"/>
      <c r="S81" s="40">
        <v>0.39374999999999999</v>
      </c>
      <c r="T81" s="40">
        <v>0.49583333333333335</v>
      </c>
      <c r="U81" s="306">
        <f t="shared" si="53"/>
        <v>4.9999999999999822</v>
      </c>
      <c r="V81" s="316">
        <f t="shared" si="52"/>
        <v>147.00000000000003</v>
      </c>
      <c r="W81" s="23">
        <f>T81</f>
        <v>0.49583333333333335</v>
      </c>
      <c r="X81" s="23">
        <f>S82</f>
        <v>0.53680555555555554</v>
      </c>
      <c r="Y81" s="23"/>
      <c r="Z81" s="23"/>
      <c r="AA81" s="491"/>
      <c r="AB81" s="491"/>
      <c r="AC81" s="154"/>
      <c r="AD81" s="25"/>
      <c r="AE81" s="19">
        <f t="shared" si="44"/>
        <v>-114.28571428571468</v>
      </c>
      <c r="AF81" s="309">
        <f t="shared" si="45"/>
        <v>0.95238095238095222</v>
      </c>
      <c r="AG81" s="489"/>
    </row>
    <row r="82" spans="1:33" ht="15.75" customHeight="1">
      <c r="A82" s="497" t="s">
        <v>1787</v>
      </c>
      <c r="B82" s="317" t="s">
        <v>80</v>
      </c>
      <c r="C82" s="490" t="s">
        <v>119</v>
      </c>
      <c r="D82" s="490"/>
      <c r="E82" s="42">
        <v>19.02</v>
      </c>
      <c r="F82" s="317">
        <v>3937</v>
      </c>
      <c r="G82" s="306">
        <f t="shared" si="50"/>
        <v>74881.740000000005</v>
      </c>
      <c r="H82" s="319" t="s">
        <v>79</v>
      </c>
      <c r="I82" s="315">
        <v>15</v>
      </c>
      <c r="J82" s="37">
        <v>2400</v>
      </c>
      <c r="K82" s="17">
        <f t="shared" si="39"/>
        <v>160</v>
      </c>
      <c r="L82" s="315">
        <v>15</v>
      </c>
      <c r="M82" s="18">
        <f t="shared" si="51"/>
        <v>2293.3980582524282</v>
      </c>
      <c r="N82" s="17">
        <f t="shared" si="40"/>
        <v>152.8932038834952</v>
      </c>
      <c r="O82" s="19">
        <f t="shared" si="41"/>
        <v>0</v>
      </c>
      <c r="P82" s="20">
        <f t="shared" si="42"/>
        <v>-7.1067961165047961</v>
      </c>
      <c r="Q82" s="309">
        <f t="shared" si="43"/>
        <v>0.95558252427184498</v>
      </c>
      <c r="R82" s="489"/>
      <c r="S82" s="40">
        <v>0.53680555555555554</v>
      </c>
      <c r="T82" s="40">
        <v>0.60833333333333328</v>
      </c>
      <c r="U82" s="306">
        <f t="shared" si="53"/>
        <v>58.99999999999995</v>
      </c>
      <c r="V82" s="316">
        <f t="shared" si="52"/>
        <v>102.99999999999996</v>
      </c>
      <c r="W82" s="23"/>
      <c r="X82" s="23"/>
      <c r="Y82" s="23"/>
      <c r="Z82" s="23"/>
      <c r="AA82" s="491"/>
      <c r="AB82" s="491"/>
      <c r="AC82" s="154"/>
      <c r="AD82" s="25"/>
      <c r="AE82" s="19">
        <f t="shared" si="44"/>
        <v>-106.6019417475718</v>
      </c>
      <c r="AF82" s="309">
        <f t="shared" si="45"/>
        <v>0.95558252427184509</v>
      </c>
      <c r="AG82" s="489"/>
    </row>
    <row r="83" spans="1:33" ht="16.5" customHeight="1">
      <c r="A83" s="498" t="s">
        <v>1787</v>
      </c>
      <c r="B83" s="42" t="s">
        <v>1786</v>
      </c>
      <c r="C83" s="492"/>
      <c r="D83" s="493"/>
      <c r="E83" s="310"/>
      <c r="F83" s="44"/>
      <c r="G83" s="17"/>
      <c r="H83" s="317"/>
      <c r="I83" s="30">
        <v>16.166666666666668</v>
      </c>
      <c r="J83" s="37">
        <v>2400</v>
      </c>
      <c r="K83" s="17">
        <f t="shared" si="39"/>
        <v>148.45360824742266</v>
      </c>
      <c r="L83" s="30">
        <v>16.166666666666668</v>
      </c>
      <c r="M83" s="18">
        <f>AVERAGE(M77:M82)</f>
        <v>2288.4504135752468</v>
      </c>
      <c r="N83" s="17">
        <f t="shared" si="40"/>
        <v>141.55363382939669</v>
      </c>
      <c r="O83" s="19">
        <f t="shared" si="41"/>
        <v>0</v>
      </c>
      <c r="P83" s="20">
        <f t="shared" si="42"/>
        <v>-6.8999744180259768</v>
      </c>
      <c r="Q83" s="309">
        <f t="shared" si="43"/>
        <v>0.95352100565635278</v>
      </c>
      <c r="R83" s="489"/>
      <c r="S83" s="40"/>
      <c r="T83" s="40"/>
      <c r="U83" s="17"/>
      <c r="V83" s="316"/>
      <c r="W83" s="17"/>
      <c r="X83" s="17"/>
      <c r="Y83" s="31">
        <f>SUM(Y77:Y82)</f>
        <v>0</v>
      </c>
      <c r="Z83" s="31">
        <f>SUM(Z77:Z82)</f>
        <v>0</v>
      </c>
      <c r="AA83" s="495"/>
      <c r="AB83" s="495"/>
      <c r="AC83" s="31">
        <v>8</v>
      </c>
      <c r="AD83" s="31">
        <f>SUM(AD77:AD82)</f>
        <v>0</v>
      </c>
      <c r="AE83" s="19">
        <f t="shared" si="44"/>
        <v>-111.54958642475322</v>
      </c>
      <c r="AF83" s="309">
        <f t="shared" si="45"/>
        <v>0.95352100565635278</v>
      </c>
      <c r="AG83" s="489"/>
    </row>
    <row r="84" spans="1:33">
      <c r="B84" s="38"/>
      <c r="C84" s="38"/>
      <c r="D84" s="250"/>
      <c r="E84" s="250"/>
      <c r="F84" s="38"/>
      <c r="J84" s="38"/>
    </row>
    <row r="85" spans="1:33">
      <c r="B85" s="38"/>
      <c r="C85" s="38"/>
      <c r="D85" s="38"/>
      <c r="E85" s="38"/>
      <c r="F85" s="38"/>
    </row>
    <row r="86" spans="1:33">
      <c r="B86" s="38"/>
      <c r="C86" s="38"/>
      <c r="D86" s="38"/>
      <c r="E86" s="38"/>
      <c r="F86" s="38"/>
    </row>
  </sheetData>
  <mergeCells count="21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12:A14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12:AG14"/>
    <mergeCell ref="C13:D13"/>
    <mergeCell ref="AA13:AB13"/>
    <mergeCell ref="C14:D14"/>
    <mergeCell ref="AA14:AB14"/>
    <mergeCell ref="A15:A24"/>
    <mergeCell ref="C15:D15"/>
    <mergeCell ref="R15:R24"/>
    <mergeCell ref="AA15:AB15"/>
    <mergeCell ref="AG15:AG24"/>
    <mergeCell ref="C19:D19"/>
    <mergeCell ref="AA19:AB19"/>
    <mergeCell ref="C20:D20"/>
    <mergeCell ref="AA20:AB20"/>
    <mergeCell ref="AA21:AB21"/>
    <mergeCell ref="AA22:AB22"/>
    <mergeCell ref="C16:D16"/>
    <mergeCell ref="AA16:AB16"/>
    <mergeCell ref="C17:D17"/>
    <mergeCell ref="AA17:AB17"/>
    <mergeCell ref="C18:D18"/>
    <mergeCell ref="AA18:AB18"/>
    <mergeCell ref="C23:D23"/>
    <mergeCell ref="AA23:AB23"/>
    <mergeCell ref="C24:D24"/>
    <mergeCell ref="AA24:AB24"/>
    <mergeCell ref="A25:A34"/>
    <mergeCell ref="C25:D25"/>
    <mergeCell ref="R25:R34"/>
    <mergeCell ref="AA25:AB25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AG25:AG34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G42:AG50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C47:D47"/>
    <mergeCell ref="AA47:AB47"/>
    <mergeCell ref="C48:D48"/>
    <mergeCell ref="AA48:AB48"/>
    <mergeCell ref="A42:A50"/>
    <mergeCell ref="C42:D42"/>
    <mergeCell ref="R42:R50"/>
    <mergeCell ref="AA42:AB42"/>
    <mergeCell ref="C49:D49"/>
    <mergeCell ref="AA49:AB49"/>
    <mergeCell ref="C50:D50"/>
    <mergeCell ref="AA50:AB50"/>
    <mergeCell ref="A51:A60"/>
    <mergeCell ref="C51:D51"/>
    <mergeCell ref="R51:R60"/>
    <mergeCell ref="AA51:AB51"/>
    <mergeCell ref="AA56:AB56"/>
    <mergeCell ref="C57:D57"/>
    <mergeCell ref="AG61:AG70"/>
    <mergeCell ref="C62:D62"/>
    <mergeCell ref="AA62:AB62"/>
    <mergeCell ref="C63:D63"/>
    <mergeCell ref="AA63:AB63"/>
    <mergeCell ref="AA64:AB64"/>
    <mergeCell ref="AA57:AB57"/>
    <mergeCell ref="C58:D58"/>
    <mergeCell ref="AA58:AB58"/>
    <mergeCell ref="C59:D59"/>
    <mergeCell ref="AA59:AB59"/>
    <mergeCell ref="C60:D60"/>
    <mergeCell ref="AA60:AB60"/>
    <mergeCell ref="AG51:AG60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65:AB65"/>
    <mergeCell ref="C66:D66"/>
    <mergeCell ref="AA66:AB66"/>
    <mergeCell ref="C67:D67"/>
    <mergeCell ref="AA67:AB67"/>
    <mergeCell ref="C68:D68"/>
    <mergeCell ref="AA68:AB68"/>
    <mergeCell ref="A61:A70"/>
    <mergeCell ref="C61:D61"/>
    <mergeCell ref="R61:R70"/>
    <mergeCell ref="AA61:AB61"/>
    <mergeCell ref="C69:D69"/>
    <mergeCell ref="AA69:AB69"/>
    <mergeCell ref="C70:D70"/>
    <mergeCell ref="AA70:AB70"/>
    <mergeCell ref="AG77:AG83"/>
    <mergeCell ref="C78:D78"/>
    <mergeCell ref="AA78:AB78"/>
    <mergeCell ref="C79:D79"/>
    <mergeCell ref="AA79:AB79"/>
    <mergeCell ref="C80:D80"/>
    <mergeCell ref="AG71:AG76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C76:D76"/>
    <mergeCell ref="AA80:AB80"/>
    <mergeCell ref="C81:D81"/>
    <mergeCell ref="AA81:AB81"/>
    <mergeCell ref="C82:D82"/>
    <mergeCell ref="AA82:AB82"/>
    <mergeCell ref="C83:D83"/>
    <mergeCell ref="AA83:AB83"/>
    <mergeCell ref="A77:A83"/>
    <mergeCell ref="C77:D77"/>
    <mergeCell ref="R77:R83"/>
    <mergeCell ref="AA77:AB77"/>
    <mergeCell ref="A71:A76"/>
    <mergeCell ref="C71:D71"/>
    <mergeCell ref="R71:R76"/>
    <mergeCell ref="AA71:AB71"/>
    <mergeCell ref="AA76:AB76"/>
  </mergeCells>
  <phoneticPr fontId="3" type="noConversion"/>
  <conditionalFormatting sqref="O70:O71 O74:O83 O5:O12 O14:O16 O60:O66 O24:O56">
    <cfRule type="cellIs" dxfId="1673" priority="84" operator="greaterThan">
      <formula>0</formula>
    </cfRule>
  </conditionalFormatting>
  <conditionalFormatting sqref="P5:P10 P74:P75 AE74:AE75 P77:P82 P35:P40 P71 P12 P14:P16 P25:P33 P61:P66 P42:P56 AE5:AE71 AE77:AE83">
    <cfRule type="cellIs" dxfId="1672" priority="88" operator="lessThan">
      <formula>0</formula>
    </cfRule>
  </conditionalFormatting>
  <conditionalFormatting sqref="AF74:AF75 Q70:Q71 Q74:Q83 Q5:Q12 Q14:Q16 Q60:Q66 Q24:Q56 AF5:AF71 AF77:AF83">
    <cfRule type="cellIs" dxfId="1671" priority="85" operator="greaterThan">
      <formula>1</formula>
    </cfRule>
    <cfRule type="cellIs" dxfId="1670" priority="86" operator="lessThan">
      <formula>0.8</formula>
    </cfRule>
  </conditionalFormatting>
  <conditionalFormatting sqref="AG15:AG16 R15:R16 AG74 R24:R30 AG24:AG30 AG70:AG71 R70:R71 R74:R83 AG5:AG12 R5:R12 R34:R56 AG34:AG56 AG60:AG66 R60:R66">
    <cfRule type="cellIs" dxfId="1669" priority="90" operator="lessThan">
      <formula>0.8</formula>
    </cfRule>
  </conditionalFormatting>
  <conditionalFormatting sqref="AG51">
    <cfRule type="cellIs" dxfId="1668" priority="92" operator="lessThan">
      <formula>0.8</formula>
    </cfRule>
  </conditionalFormatting>
  <conditionalFormatting sqref="AG25:AG30">
    <cfRule type="cellIs" dxfId="1667" priority="89" operator="lessThan">
      <formula>0.8</formula>
    </cfRule>
  </conditionalFormatting>
  <conditionalFormatting sqref="AG35">
    <cfRule type="cellIs" dxfId="1666" priority="91" operator="lessThan">
      <formula>0.8</formula>
    </cfRule>
  </conditionalFormatting>
  <conditionalFormatting sqref="AG42:AG49">
    <cfRule type="cellIs" dxfId="1665" priority="87" operator="lessThan">
      <formula>0.8</formula>
    </cfRule>
  </conditionalFormatting>
  <conditionalFormatting sqref="AE76">
    <cfRule type="cellIs" dxfId="1664" priority="83" operator="lessThan">
      <formula>0</formula>
    </cfRule>
  </conditionalFormatting>
  <conditionalFormatting sqref="AF76">
    <cfRule type="cellIs" dxfId="1663" priority="81" operator="greaterThan">
      <formula>1</formula>
    </cfRule>
    <cfRule type="cellIs" dxfId="1662" priority="82" operator="lessThan">
      <formula>0.8</formula>
    </cfRule>
  </conditionalFormatting>
  <conditionalFormatting sqref="O17:O18">
    <cfRule type="cellIs" dxfId="1661" priority="76" operator="greaterThan">
      <formula>0</formula>
    </cfRule>
  </conditionalFormatting>
  <conditionalFormatting sqref="P17:P18">
    <cfRule type="cellIs" dxfId="1660" priority="79" operator="lessThan">
      <formula>0</formula>
    </cfRule>
  </conditionalFormatting>
  <conditionalFormatting sqref="Q17:Q18">
    <cfRule type="cellIs" dxfId="1659" priority="77" operator="greaterThan">
      <formula>1</formula>
    </cfRule>
    <cfRule type="cellIs" dxfId="1658" priority="78" operator="lessThan">
      <formula>0.8</formula>
    </cfRule>
  </conditionalFormatting>
  <conditionalFormatting sqref="R17:R18 AG17:AG18">
    <cfRule type="cellIs" dxfId="1657" priority="80" operator="lessThan">
      <formula>0.8</formula>
    </cfRule>
  </conditionalFormatting>
  <conditionalFormatting sqref="O13">
    <cfRule type="cellIs" dxfId="1656" priority="72" operator="greaterThan">
      <formula>0</formula>
    </cfRule>
  </conditionalFormatting>
  <conditionalFormatting sqref="P13">
    <cfRule type="cellIs" dxfId="1655" priority="75" operator="lessThan">
      <formula>0</formula>
    </cfRule>
  </conditionalFormatting>
  <conditionalFormatting sqref="Q13">
    <cfRule type="cellIs" dxfId="1654" priority="73" operator="greaterThan">
      <formula>1</formula>
    </cfRule>
    <cfRule type="cellIs" dxfId="1653" priority="74" operator="lessThan">
      <formula>0.8</formula>
    </cfRule>
  </conditionalFormatting>
  <conditionalFormatting sqref="O67">
    <cfRule type="cellIs" dxfId="1652" priority="67" operator="greaterThan">
      <formula>0</formula>
    </cfRule>
  </conditionalFormatting>
  <conditionalFormatting sqref="P67">
    <cfRule type="cellIs" dxfId="1651" priority="70" operator="lessThan">
      <formula>0</formula>
    </cfRule>
  </conditionalFormatting>
  <conditionalFormatting sqref="Q67">
    <cfRule type="cellIs" dxfId="1650" priority="68" operator="greaterThan">
      <formula>1</formula>
    </cfRule>
    <cfRule type="cellIs" dxfId="1649" priority="69" operator="lessThan">
      <formula>0.8</formula>
    </cfRule>
  </conditionalFormatting>
  <conditionalFormatting sqref="R67 AG67">
    <cfRule type="cellIs" dxfId="1648" priority="71" operator="lessThan">
      <formula>0.8</formula>
    </cfRule>
  </conditionalFormatting>
  <conditionalFormatting sqref="AG32 R32">
    <cfRule type="cellIs" dxfId="1647" priority="66" operator="lessThan">
      <formula>0.8</formula>
    </cfRule>
  </conditionalFormatting>
  <conditionalFormatting sqref="O73">
    <cfRule type="cellIs" dxfId="1646" priority="61" operator="greaterThan">
      <formula>0</formula>
    </cfRule>
  </conditionalFormatting>
  <conditionalFormatting sqref="P73 AE73">
    <cfRule type="cellIs" dxfId="1645" priority="64" operator="lessThan">
      <formula>0</formula>
    </cfRule>
  </conditionalFormatting>
  <conditionalFormatting sqref="Q73 AF73">
    <cfRule type="cellIs" dxfId="1644" priority="62" operator="greaterThan">
      <formula>1</formula>
    </cfRule>
    <cfRule type="cellIs" dxfId="1643" priority="63" operator="lessThan">
      <formula>0.8</formula>
    </cfRule>
  </conditionalFormatting>
  <conditionalFormatting sqref="R73 AG73">
    <cfRule type="cellIs" dxfId="1642" priority="65" operator="lessThan">
      <formula>0.8</formula>
    </cfRule>
  </conditionalFormatting>
  <conditionalFormatting sqref="O19:O20">
    <cfRule type="cellIs" dxfId="1641" priority="56" operator="greaterThan">
      <formula>0</formula>
    </cfRule>
  </conditionalFormatting>
  <conditionalFormatting sqref="P19:P20">
    <cfRule type="cellIs" dxfId="1640" priority="59" operator="lessThan">
      <formula>0</formula>
    </cfRule>
  </conditionalFormatting>
  <conditionalFormatting sqref="Q19:Q20">
    <cfRule type="cellIs" dxfId="1639" priority="57" operator="greaterThan">
      <formula>1</formula>
    </cfRule>
    <cfRule type="cellIs" dxfId="1638" priority="58" operator="lessThan">
      <formula>0.8</formula>
    </cfRule>
  </conditionalFormatting>
  <conditionalFormatting sqref="R19:R20 AG19:AG20">
    <cfRule type="cellIs" dxfId="1637" priority="60" operator="lessThan">
      <formula>0.8</formula>
    </cfRule>
  </conditionalFormatting>
  <conditionalFormatting sqref="O57">
    <cfRule type="cellIs" dxfId="1636" priority="50" operator="greaterThan">
      <formula>0</formula>
    </cfRule>
  </conditionalFormatting>
  <conditionalFormatting sqref="P57">
    <cfRule type="cellIs" dxfId="1635" priority="54" operator="lessThan">
      <formula>0</formula>
    </cfRule>
  </conditionalFormatting>
  <conditionalFormatting sqref="Q57">
    <cfRule type="cellIs" dxfId="1634" priority="51" operator="greaterThan">
      <formula>1</formula>
    </cfRule>
    <cfRule type="cellIs" dxfId="1633" priority="52" operator="lessThan">
      <formula>0.8</formula>
    </cfRule>
  </conditionalFormatting>
  <conditionalFormatting sqref="R57 AG57">
    <cfRule type="cellIs" dxfId="1632" priority="55" operator="lessThan">
      <formula>0.8</formula>
    </cfRule>
  </conditionalFormatting>
  <conditionalFormatting sqref="AG57">
    <cfRule type="cellIs" dxfId="1631" priority="53" operator="lessThan">
      <formula>0.8</formula>
    </cfRule>
  </conditionalFormatting>
  <conditionalFormatting sqref="O58">
    <cfRule type="cellIs" dxfId="1630" priority="44" operator="greaterThan">
      <formula>0</formula>
    </cfRule>
  </conditionalFormatting>
  <conditionalFormatting sqref="P58">
    <cfRule type="cellIs" dxfId="1629" priority="48" operator="lessThan">
      <formula>0</formula>
    </cfRule>
  </conditionalFormatting>
  <conditionalFormatting sqref="Q58">
    <cfRule type="cellIs" dxfId="1628" priority="45" operator="greaterThan">
      <formula>1</formula>
    </cfRule>
    <cfRule type="cellIs" dxfId="1627" priority="46" operator="lessThan">
      <formula>0.8</formula>
    </cfRule>
  </conditionalFormatting>
  <conditionalFormatting sqref="R58 AG58">
    <cfRule type="cellIs" dxfId="1626" priority="49" operator="lessThan">
      <formula>0.8</formula>
    </cfRule>
  </conditionalFormatting>
  <conditionalFormatting sqref="AG58">
    <cfRule type="cellIs" dxfId="1625" priority="47" operator="lessThan">
      <formula>0.8</formula>
    </cfRule>
  </conditionalFormatting>
  <conditionalFormatting sqref="O68">
    <cfRule type="cellIs" dxfId="1624" priority="39" operator="greaterThan">
      <formula>0</formula>
    </cfRule>
  </conditionalFormatting>
  <conditionalFormatting sqref="P68">
    <cfRule type="cellIs" dxfId="1623" priority="42" operator="lessThan">
      <formula>0</formula>
    </cfRule>
  </conditionalFormatting>
  <conditionalFormatting sqref="Q68">
    <cfRule type="cellIs" dxfId="1622" priority="40" operator="greaterThan">
      <formula>1</formula>
    </cfRule>
    <cfRule type="cellIs" dxfId="1621" priority="41" operator="lessThan">
      <formula>0.8</formula>
    </cfRule>
  </conditionalFormatting>
  <conditionalFormatting sqref="AG68 R68">
    <cfRule type="cellIs" dxfId="1620" priority="43" operator="lessThan">
      <formula>0.8</formula>
    </cfRule>
  </conditionalFormatting>
  <conditionalFormatting sqref="AG33 R33">
    <cfRule type="cellIs" dxfId="1619" priority="38" operator="lessThan">
      <formula>0.8</formula>
    </cfRule>
  </conditionalFormatting>
  <conditionalFormatting sqref="R31 AG31">
    <cfRule type="cellIs" dxfId="1618" priority="37" operator="lessThan">
      <formula>0.8</formula>
    </cfRule>
  </conditionalFormatting>
  <conditionalFormatting sqref="AG31">
    <cfRule type="cellIs" dxfId="1617" priority="36" operator="lessThan">
      <formula>0.8</formula>
    </cfRule>
  </conditionalFormatting>
  <conditionalFormatting sqref="O59">
    <cfRule type="cellIs" dxfId="1616" priority="30" operator="greaterThan">
      <formula>0</formula>
    </cfRule>
  </conditionalFormatting>
  <conditionalFormatting sqref="P59">
    <cfRule type="cellIs" dxfId="1615" priority="34" operator="lessThan">
      <formula>0</formula>
    </cfRule>
  </conditionalFormatting>
  <conditionalFormatting sqref="Q59">
    <cfRule type="cellIs" dxfId="1614" priority="31" operator="greaterThan">
      <formula>1</formula>
    </cfRule>
    <cfRule type="cellIs" dxfId="1613" priority="32" operator="lessThan">
      <formula>0.8</formula>
    </cfRule>
  </conditionalFormatting>
  <conditionalFormatting sqref="R59 AG59">
    <cfRule type="cellIs" dxfId="1612" priority="35" operator="lessThan">
      <formula>0.8</formula>
    </cfRule>
  </conditionalFormatting>
  <conditionalFormatting sqref="AG59">
    <cfRule type="cellIs" dxfId="1611" priority="33" operator="lessThan">
      <formula>0.8</formula>
    </cfRule>
  </conditionalFormatting>
  <conditionalFormatting sqref="O72">
    <cfRule type="cellIs" dxfId="1610" priority="25" operator="greaterThan">
      <formula>0</formula>
    </cfRule>
  </conditionalFormatting>
  <conditionalFormatting sqref="P72 AE72">
    <cfRule type="cellIs" dxfId="1609" priority="28" operator="lessThan">
      <formula>0</formula>
    </cfRule>
  </conditionalFormatting>
  <conditionalFormatting sqref="Q72 AF72">
    <cfRule type="cellIs" dxfId="1608" priority="26" operator="greaterThan">
      <formula>1</formula>
    </cfRule>
    <cfRule type="cellIs" dxfId="1607" priority="27" operator="lessThan">
      <formula>0.8</formula>
    </cfRule>
  </conditionalFormatting>
  <conditionalFormatting sqref="R72 AG72">
    <cfRule type="cellIs" dxfId="1606" priority="29" operator="lessThan">
      <formula>0.8</formula>
    </cfRule>
  </conditionalFormatting>
  <conditionalFormatting sqref="O21">
    <cfRule type="cellIs" dxfId="1605" priority="20" operator="greaterThan">
      <formula>0</formula>
    </cfRule>
  </conditionalFormatting>
  <conditionalFormatting sqref="P21">
    <cfRule type="cellIs" dxfId="1604" priority="23" operator="lessThan">
      <formula>0</formula>
    </cfRule>
  </conditionalFormatting>
  <conditionalFormatting sqref="Q21">
    <cfRule type="cellIs" dxfId="1603" priority="21" operator="greaterThan">
      <formula>1</formula>
    </cfRule>
    <cfRule type="cellIs" dxfId="1602" priority="22" operator="lessThan">
      <formula>0.8</formula>
    </cfRule>
  </conditionalFormatting>
  <conditionalFormatting sqref="AG21 R21">
    <cfRule type="cellIs" dxfId="1601" priority="24" operator="lessThan">
      <formula>0.8</formula>
    </cfRule>
  </conditionalFormatting>
  <conditionalFormatting sqref="O22:O23">
    <cfRule type="cellIs" dxfId="1600" priority="15" operator="greaterThan">
      <formula>0</formula>
    </cfRule>
  </conditionalFormatting>
  <conditionalFormatting sqref="P22:P23">
    <cfRule type="cellIs" dxfId="1599" priority="18" operator="lessThan">
      <formula>0</formula>
    </cfRule>
  </conditionalFormatting>
  <conditionalFormatting sqref="Q22:Q23">
    <cfRule type="cellIs" dxfId="1598" priority="16" operator="greaterThan">
      <formula>1</formula>
    </cfRule>
    <cfRule type="cellIs" dxfId="1597" priority="17" operator="lessThan">
      <formula>0.8</formula>
    </cfRule>
  </conditionalFormatting>
  <conditionalFormatting sqref="AG22 R22">
    <cfRule type="cellIs" dxfId="1596" priority="19" operator="lessThan">
      <formula>0.8</formula>
    </cfRule>
  </conditionalFormatting>
  <conditionalFormatting sqref="P11">
    <cfRule type="cellIs" dxfId="1595" priority="14" operator="lessThan">
      <formula>0</formula>
    </cfRule>
  </conditionalFormatting>
  <conditionalFormatting sqref="P24">
    <cfRule type="cellIs" dxfId="1594" priority="13" operator="lessThan">
      <formula>0</formula>
    </cfRule>
  </conditionalFormatting>
  <conditionalFormatting sqref="P34">
    <cfRule type="cellIs" dxfId="1593" priority="12" operator="lessThan">
      <formula>0</formula>
    </cfRule>
  </conditionalFormatting>
  <conditionalFormatting sqref="P41">
    <cfRule type="cellIs" dxfId="1592" priority="11" operator="lessThan">
      <formula>0</formula>
    </cfRule>
  </conditionalFormatting>
  <conditionalFormatting sqref="P60">
    <cfRule type="cellIs" dxfId="1591" priority="10" operator="lessThan">
      <formula>0</formula>
    </cfRule>
  </conditionalFormatting>
  <conditionalFormatting sqref="P70">
    <cfRule type="cellIs" dxfId="1590" priority="9" operator="lessThan">
      <formula>0</formula>
    </cfRule>
  </conditionalFormatting>
  <conditionalFormatting sqref="P76">
    <cfRule type="cellIs" dxfId="1589" priority="8" operator="lessThan">
      <formula>0</formula>
    </cfRule>
  </conditionalFormatting>
  <conditionalFormatting sqref="P83">
    <cfRule type="cellIs" dxfId="1588" priority="7" operator="lessThan">
      <formula>0</formula>
    </cfRule>
  </conditionalFormatting>
  <conditionalFormatting sqref="AG23 R23">
    <cfRule type="cellIs" dxfId="1587" priority="6" operator="lessThan">
      <formula>0.8</formula>
    </cfRule>
  </conditionalFormatting>
  <conditionalFormatting sqref="O69">
    <cfRule type="cellIs" dxfId="1586" priority="1" operator="greaterThan">
      <formula>0</formula>
    </cfRule>
  </conditionalFormatting>
  <conditionalFormatting sqref="P69">
    <cfRule type="cellIs" dxfId="1585" priority="4" operator="lessThan">
      <formula>0</formula>
    </cfRule>
  </conditionalFormatting>
  <conditionalFormatting sqref="Q69">
    <cfRule type="cellIs" dxfId="1584" priority="2" operator="greaterThan">
      <formula>1</formula>
    </cfRule>
    <cfRule type="cellIs" dxfId="1583" priority="3" operator="lessThan">
      <formula>0.8</formula>
    </cfRule>
  </conditionalFormatting>
  <conditionalFormatting sqref="AG69 R69">
    <cfRule type="cellIs" dxfId="1582" priority="5" operator="lessThan">
      <formula>0.8</formula>
    </cfRule>
  </conditionalFormatting>
  <dataValidations count="1">
    <dataValidation type="list" allowBlank="1" showInputMessage="1" showErrorMessage="1" sqref="AA5:AB9 AB10:AB11 AB75 AA10:AA75 AB13:AB71 AA76:AB8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161</v>
      </c>
      <c r="C3" s="478" t="str">
        <f>TEXT('0119 4度C'!A2,"yyyy.mm.ddaaaa")</f>
        <v>2026.01.19星期一</v>
      </c>
      <c r="D3" s="479"/>
      <c r="E3" s="56" t="s">
        <v>1646</v>
      </c>
      <c r="F3" s="480">
        <f>'0119 4度C'!D1</f>
        <v>174326</v>
      </c>
      <c r="G3" s="481"/>
      <c r="H3" s="56" t="s">
        <v>1647</v>
      </c>
      <c r="I3" s="482">
        <f>'0119 4度C'!F1</f>
        <v>6044694.1900000013</v>
      </c>
      <c r="J3" s="483"/>
      <c r="K3" s="57"/>
      <c r="L3" s="58"/>
      <c r="M3" s="59"/>
      <c r="N3" s="59"/>
    </row>
    <row r="4" spans="2:17" ht="28.5" customHeight="1">
      <c r="B4" s="484" t="s">
        <v>1648</v>
      </c>
      <c r="C4" s="470" t="s">
        <v>1649</v>
      </c>
      <c r="D4" s="471"/>
      <c r="E4" s="487" t="s">
        <v>1650</v>
      </c>
      <c r="F4" s="488"/>
      <c r="G4" s="487" t="s">
        <v>1651</v>
      </c>
      <c r="H4" s="488"/>
      <c r="I4" s="487" t="s">
        <v>1652</v>
      </c>
      <c r="J4" s="488"/>
      <c r="K4" s="468" t="s">
        <v>1653</v>
      </c>
      <c r="L4" s="469"/>
      <c r="M4" s="469" t="s">
        <v>1654</v>
      </c>
      <c r="N4" s="469"/>
    </row>
    <row r="5" spans="2:17" ht="28.5" customHeight="1">
      <c r="B5" s="485"/>
      <c r="C5" s="470" t="s">
        <v>1655</v>
      </c>
      <c r="D5" s="471"/>
      <c r="E5" s="470" t="s">
        <v>1656</v>
      </c>
      <c r="F5" s="471"/>
      <c r="G5" s="472" t="s">
        <v>1657</v>
      </c>
      <c r="H5" s="473"/>
      <c r="I5" s="474" t="s">
        <v>1658</v>
      </c>
      <c r="J5" s="475"/>
      <c r="K5" s="60" t="s">
        <v>1659</v>
      </c>
      <c r="L5" s="61" t="s">
        <v>1660</v>
      </c>
      <c r="M5" s="60" t="s">
        <v>1659</v>
      </c>
      <c r="N5" s="61" t="s">
        <v>1661</v>
      </c>
    </row>
    <row r="6" spans="2:17" ht="28.5" customHeight="1">
      <c r="B6" s="485"/>
      <c r="C6" s="470" t="s">
        <v>144</v>
      </c>
      <c r="D6" s="471"/>
      <c r="E6" s="462">
        <f>AVERAGE(D13:M13)</f>
        <v>141.57992619509596</v>
      </c>
      <c r="F6" s="463">
        <f>AVERAGE(D31:O31,D13:J13)</f>
        <v>142.97650885148823</v>
      </c>
      <c r="G6" s="464">
        <f>AVERAGE(D13:J13)</f>
        <v>142.97650885148823</v>
      </c>
      <c r="H6" s="465"/>
      <c r="I6" s="464">
        <f>AVERAGE(K13:M13)</f>
        <v>138.32123333018063</v>
      </c>
      <c r="J6" s="465"/>
      <c r="K6" s="466">
        <f>'0119 4度C'!Y2</f>
        <v>0</v>
      </c>
      <c r="L6" s="451">
        <f>'0119 4度C'!Z2</f>
        <v>0</v>
      </c>
      <c r="M6" s="467">
        <f>'0119 4度C'!AC2</f>
        <v>45</v>
      </c>
      <c r="N6" s="451">
        <f>'0119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135.29949427772215</v>
      </c>
      <c r="F7" s="455">
        <f>AVERAGE(D32:O32,D14:J14)</f>
        <v>136.62746471845728</v>
      </c>
      <c r="G7" s="456">
        <f>AVERAGE(D14:J14)</f>
        <v>136.62746471845728</v>
      </c>
      <c r="H7" s="457"/>
      <c r="I7" s="456">
        <f>AVERAGE(K14:M14)</f>
        <v>132.20089658267344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0.95532474256058764</v>
      </c>
      <c r="F8" s="459">
        <f>AVERAGE(D15:J15,D33:O33)</f>
        <v>0.95511091506913159</v>
      </c>
      <c r="G8" s="460">
        <f>AVERAGE(D15:J15)</f>
        <v>0.95511091506913159</v>
      </c>
      <c r="H8" s="461"/>
      <c r="I8" s="460">
        <f>AVERAGE(K15:M15)</f>
        <v>0.95582367337398544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1662</v>
      </c>
      <c r="N9" s="59"/>
      <c r="O9" s="59"/>
      <c r="P9" s="59"/>
      <c r="Q9" s="59"/>
    </row>
    <row r="10" spans="2:17" ht="30" customHeight="1">
      <c r="B10" s="434" t="s">
        <v>1663</v>
      </c>
      <c r="C10" s="435"/>
      <c r="D10" s="436" t="s">
        <v>180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182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1664</v>
      </c>
      <c r="C13" s="72" t="s">
        <v>1665</v>
      </c>
      <c r="D13" s="73">
        <f>SUMIFS('0119 4度C'!$K:$K,'0119 4度C'!$A:$A,"新豐6線",'0119 4度C'!$B:$B,"平均")</f>
        <v>115.38461538461539</v>
      </c>
      <c r="E13" s="74">
        <f>SUMIFS('0119 4度C'!$K:$K,'0119 4度C'!$A:$A,"新豐2線",'0119 4度C'!$B:$B,"平均")</f>
        <v>83.333333333333329</v>
      </c>
      <c r="F13" s="75">
        <f>SUMIFS('0119 4度C'!$K:$K,'0119 4度C'!$A:$A,"新豐5線",'0119 4度C'!$B:$B,"平均")</f>
        <v>114.19753086419753</v>
      </c>
      <c r="G13" s="75">
        <f>SUMIFS('0119 4度C'!$K:$K,'0119 4度C'!$A:$A,"新豐7線",'0119 4度C'!$B:$B,"平均")</f>
        <v>117.02127659574468</v>
      </c>
      <c r="H13" s="75">
        <f>SUMIFS('0119 4度C'!$K:$K,'0119 4度C'!$A:$A,"新豐3線",'0119 4度C'!$B:$B,"平均")</f>
        <v>300</v>
      </c>
      <c r="I13" s="75">
        <f>SUMIFS('0119 4度C'!$K:$K,'0119 4度C'!$A:$A,"新豐1線",'0119 4度C'!$B:$B,"平均")</f>
        <v>108.10810810810811</v>
      </c>
      <c r="J13" s="76">
        <f>SUMIFS('0119 4度C'!$K:$K,'0119 4度C'!$A:$A,"新豐10線",'0119 4度C'!$B:$B,"平均")</f>
        <v>162.7906976744186</v>
      </c>
      <c r="K13" s="77">
        <f>SUMIFS('0119 4度C'!$K:$K,'0119 4度C'!$A:$A,"新豐8線",'0119 4度C'!$B:$B,"平均")</f>
        <v>132.11009174311926</v>
      </c>
      <c r="L13" s="78">
        <f>SUMIFS('0119 4度C'!$K:$K,'0119 4度C'!$A:$A,"新豐9線",'0119 4度C'!$B:$B,"平均")</f>
        <v>134.4</v>
      </c>
      <c r="M13" s="76">
        <f>SUMIFS('0119 4度C'!$K:$K,'0119 4度C'!$A:$A,"新豐4線",'0119 4度C'!$B:$B,"平均")</f>
        <v>148.45360824742266</v>
      </c>
    </row>
    <row r="14" spans="2:17" ht="39.6" customHeight="1">
      <c r="B14" s="447"/>
      <c r="C14" s="79" t="s">
        <v>1666</v>
      </c>
      <c r="D14" s="80">
        <f>SUMIFS('0119 4度C'!$N:$N,'0119 4度C'!$A:$A,"新豐6線",'0119 4度C'!$B:$B,"平均")</f>
        <v>111.22733180790767</v>
      </c>
      <c r="E14" s="81">
        <f>SUMIFS('0119 4度C'!$N:$N,'0119 4度C'!$A:$A,"新豐2線",'0119 4度C'!$B:$B,"平均")</f>
        <v>79.316160372194872</v>
      </c>
      <c r="F14" s="81">
        <f>SUMIFS('0119 4度C'!$N:$N,'0119 4度C'!$A:$A,"新豐5線",'0119 4度C'!$B:$B,"平均")</f>
        <v>110.29641258489717</v>
      </c>
      <c r="G14" s="81">
        <f>SUMIFS('0119 4度C'!$N:$N,'0119 4度C'!$A:$A,"新豐7線",'0119 4度C'!$B:$B,"平均")</f>
        <v>112.69279832176771</v>
      </c>
      <c r="H14" s="81">
        <f>SUMIFS('0119 4度C'!$N:$N,'0119 4度C'!$A:$A,"新豐3線",'0119 4度C'!$B:$B,"平均")</f>
        <v>286.65330752026568</v>
      </c>
      <c r="I14" s="81">
        <f>SUMIFS('0119 4度C'!$N:$N,'0119 4度C'!$A:$A,"新豐1線",'0119 4度C'!$B:$B,"平均")</f>
        <v>100.3535637623413</v>
      </c>
      <c r="J14" s="82">
        <f>SUMIFS('0119 4度C'!$N:$N,'0119 4度C'!$A:$A,"新豐10線",'0119 4度C'!$B:$B,"平均")</f>
        <v>155.85267865982667</v>
      </c>
      <c r="K14" s="83">
        <f>SUMIFS('0119 4度C'!$N:$N,'0119 4度C'!$A:$A,"新豐8線",'0119 4度C'!$B:$B,"平均")</f>
        <v>126.29929334300286</v>
      </c>
      <c r="L14" s="84">
        <f>SUMIFS('0119 4度C'!$N:$N,'0119 4度C'!$A:$A,"新豐9線",'0119 4度C'!$B:$B,"平均")</f>
        <v>128.71425138838185</v>
      </c>
      <c r="M14" s="82">
        <f>SUMIFS('0119 4度C'!$N:$N,'0119 4度C'!$A:$A,"新豐4線",'0119 4度C'!$B:$B,"平均")</f>
        <v>141.58914501663563</v>
      </c>
    </row>
    <row r="15" spans="2:17" ht="40.15" customHeight="1">
      <c r="B15" s="448"/>
      <c r="C15" s="85" t="s">
        <v>1667</v>
      </c>
      <c r="D15" s="86">
        <f t="shared" ref="D15:M15" si="0">D14/D13</f>
        <v>0.96397020900186647</v>
      </c>
      <c r="E15" s="87">
        <f t="shared" si="0"/>
        <v>0.95179392446633848</v>
      </c>
      <c r="F15" s="87">
        <f t="shared" si="0"/>
        <v>0.96583885614882925</v>
      </c>
      <c r="G15" s="87">
        <f t="shared" si="0"/>
        <v>0.96301118565874222</v>
      </c>
      <c r="H15" s="87">
        <f t="shared" si="0"/>
        <v>0.95551102506755226</v>
      </c>
      <c r="I15" s="87">
        <f t="shared" si="0"/>
        <v>0.92827046480165698</v>
      </c>
      <c r="J15" s="88">
        <f t="shared" si="0"/>
        <v>0.95738074033893528</v>
      </c>
      <c r="K15" s="86">
        <f t="shared" si="0"/>
        <v>0.95601548433245231</v>
      </c>
      <c r="L15" s="87">
        <f t="shared" si="0"/>
        <v>0.95769532283022207</v>
      </c>
      <c r="M15" s="88">
        <f t="shared" si="0"/>
        <v>0.95376021295928171</v>
      </c>
    </row>
    <row r="16" spans="2:17" ht="17.25" customHeight="1">
      <c r="B16" s="449" t="s">
        <v>187</v>
      </c>
      <c r="C16" s="89" t="s">
        <v>188</v>
      </c>
      <c r="D16" s="90">
        <f>VLOOKUP("新豐6線",'0119 4度C'!$A:$T,19,0)</f>
        <v>0.70833333333333337</v>
      </c>
      <c r="E16" s="91">
        <f>VLOOKUP("新豐2線",'0119 4度C'!$A:$T,19,0)</f>
        <v>0.16666666666666666</v>
      </c>
      <c r="F16" s="91">
        <f>VLOOKUP("新豐5線",'0119 4度C'!$A:$T,19,0)</f>
        <v>0.20833333333333334</v>
      </c>
      <c r="G16" s="91">
        <f>VLOOKUP("新豐7線",'0119 4度C'!$A:$T,19,0)</f>
        <v>0.20833333333333334</v>
      </c>
      <c r="H16" s="91">
        <f>VLOOKUP("新豐3線",'0119 4度C'!$A:$T,19,0)</f>
        <v>8.3333333333333329E-2</v>
      </c>
      <c r="I16" s="91">
        <f>VLOOKUP("新豐1線",'0119 4度C'!$A:$T,19,0)</f>
        <v>0.20833333333333334</v>
      </c>
      <c r="J16" s="92">
        <f>VLOOKUP("新豐10線",'0119 4度C'!$A:$T,19,0)</f>
        <v>0.20833333333333334</v>
      </c>
      <c r="K16" s="93">
        <f>VLOOKUP("新豐8線",'0119 4度C'!$A:$T,19,0)</f>
        <v>8.3333333333333329E-2</v>
      </c>
      <c r="L16" s="94">
        <f>VLOOKUP("新豐9線",'0119 4度C'!$A:$T,19,0)</f>
        <v>8.3333333333333329E-2</v>
      </c>
      <c r="M16" s="95">
        <f>VLOOKUP("新豐4線",'0119 4度C'!$A:$T,19,0)</f>
        <v>8.3333333333333329E-2</v>
      </c>
    </row>
    <row r="17" spans="2:13" ht="17.25" customHeight="1">
      <c r="B17" s="450"/>
      <c r="C17" s="89" t="s">
        <v>1668</v>
      </c>
      <c r="D17" s="93">
        <f>LOOKUP(2,1/(('0119 4度C'!$A:$A="新豐6線")*('0119 4度C'!$T:$T&lt;&gt;"")),'0119 4度C'!$T:$T)</f>
        <v>0.96249999999999991</v>
      </c>
      <c r="E17" s="91">
        <f>LOOKUP(2,1/(('0119 4度C'!$A:$A="新豐2線")*('0119 4度C'!$T:$T&lt;&gt;"")),'0119 4度C'!$T:$T)</f>
        <v>0.44722222222222219</v>
      </c>
      <c r="F17" s="91">
        <f>LOOKUP(2,1/(('0119 4度C'!$A:$A="新豐5線")*('0119 4度C'!$T:$T&lt;&gt;"")),'0119 4度C'!$T:$T)</f>
        <v>0.93680555555555556</v>
      </c>
      <c r="G17" s="91">
        <f>LOOKUP(2,1/(('0119 4度C'!$A:$A="新豐7線")*('0119 4度C'!$T:$T&lt;&gt;"")),'0119 4度C'!$T:$T)</f>
        <v>0.93958333333333333</v>
      </c>
      <c r="H17" s="91">
        <f>LOOKUP(2,1/(('0119 4度C'!$A:$A="新豐3線")*('0119 4度C'!$T:$T&lt;&gt;"")),'0119 4度C'!$T:$T)</f>
        <v>0.59791666666666643</v>
      </c>
      <c r="I17" s="91">
        <f>LOOKUP(2,1/(('0119 4度C'!$A:$A="新豐1線")*('0119 4度C'!$T:$T&lt;&gt;"")),'0119 4度C'!$T:$T)</f>
        <v>0.95694444444444438</v>
      </c>
      <c r="J17" s="92">
        <f>LOOKUP(2,1/(('0119 4度C'!$A:$A="新豐10線")*('0119 4度C'!$T:$T&lt;&gt;"")),'0119 4度C'!$T:$T)</f>
        <v>0.47916666666666663</v>
      </c>
      <c r="K17" s="90">
        <f>LOOKUP(2,1/(('0119 4度C'!$A:$A="新豐8線")*('0119 4度C'!$T:$T&lt;&gt;"")),'0119 4度C'!$T:$T)</f>
        <v>0.61111111111111105</v>
      </c>
      <c r="L17" s="91">
        <f>LOOKUP(2,1/(('0119 4度C'!$A:$A="新豐9線")*('0119 4度C'!$T:$T&lt;&gt;"")),'0119 4度C'!$T:$T)</f>
        <v>0.60624999999999996</v>
      </c>
      <c r="M17" s="92">
        <f>LOOKUP(2,1/(('0119 4度C'!$A:$A="新豐4線")*('0119 4度C'!$T:$T&lt;&gt;"")),'0119 4度C'!$T:$T)</f>
        <v>0.61458333333333326</v>
      </c>
    </row>
    <row r="18" spans="2:13" ht="17.25" customHeight="1">
      <c r="B18" s="428" t="s">
        <v>190</v>
      </c>
      <c r="C18" s="96" t="s">
        <v>191</v>
      </c>
      <c r="D18" s="97">
        <f>SUMIFS('0119 4度C'!$Y:$Y,'0119 4度C'!$A:$A,"新豐6線",'0119 4度C'!$B:$B,"平均")</f>
        <v>0</v>
      </c>
      <c r="E18" s="98">
        <f>SUMIFS('0119 4度C'!$Y:$Y,'0119 4度C'!$A:$A,"新豐2線",'0119 4度C'!$B:$B,"平均")</f>
        <v>0</v>
      </c>
      <c r="F18" s="98">
        <f>SUMIFS('0119 4度C'!$Y:$Y,'0119 4度C'!$A:$A,"新豐5線",'0119 4度C'!$B:$B,"平均")</f>
        <v>0</v>
      </c>
      <c r="G18" s="98">
        <f>SUMIFS('0119 4度C'!$Y:$Y,'0119 4度C'!$A:$A,"新豐7線",'0119 4度C'!$B:$B,"平均")</f>
        <v>0</v>
      </c>
      <c r="H18" s="98">
        <f>SUMIFS('0119 4度C'!$Y:$Y,'0119 4度C'!$A:$A,"新豐3線",'0119 4度C'!$B:$B,"平均")</f>
        <v>0</v>
      </c>
      <c r="I18" s="98">
        <f>SUMIFS('0119 4度C'!$Y:$Y,'0119 4度C'!$A:$A,"新豐1線",'0119 4度C'!$B:$B,"平均")</f>
        <v>0</v>
      </c>
      <c r="J18" s="99">
        <f>SUMIFS('0119 4度C'!$Y:$Y,'0119 4度C'!$A:$A,"新豐10線",'0119 4度C'!$B:$B,"平均")</f>
        <v>0</v>
      </c>
      <c r="K18" s="100">
        <f>SUMIFS('0119 4度C'!$Y:$Y,'0119 4度C'!$A:$A,"新豐8線",'0119 4度C'!$B:$B,"平均")</f>
        <v>0</v>
      </c>
      <c r="L18" s="98">
        <f>SUMIFS('0119 4度C'!$Y:$Y,'0119 4度C'!$A:$A,"新豐9線",'0119 4度C'!$B:$B,"平均")</f>
        <v>0</v>
      </c>
      <c r="M18" s="99">
        <f>SUMIFS('0119 4度C'!$Y:$Y,'0119 4度C'!$A:$A,"新豐4線",'0119 4度C'!$B:$B,"平均")</f>
        <v>0</v>
      </c>
    </row>
    <row r="19" spans="2:13" ht="17.25" customHeight="1">
      <c r="B19" s="429"/>
      <c r="C19" s="96" t="s">
        <v>192</v>
      </c>
      <c r="D19" s="97">
        <f>SUMIFS('0119 4度C'!$Z:$Z,'0119 4度C'!$A:$A,"新豐6線",'0119 4度C'!$B:$B,"平均")</f>
        <v>0</v>
      </c>
      <c r="E19" s="98">
        <f>SUMIFS('0119 4度C'!$Z:$Z,'0119 4度C'!$A:$A,"新豐2線",'0119 4度C'!$B:$B,"平均")</f>
        <v>0</v>
      </c>
      <c r="F19" s="98">
        <f>SUMIFS('0119 4度C'!$Z:$Z,'0119 4度C'!$A:$A,"新豐5線",'0119 4度C'!$B:$B,"平均")</f>
        <v>0</v>
      </c>
      <c r="G19" s="98">
        <f>SUMIFS('0119 4度C'!$Z:$Z,'0119 4度C'!$A:$A,"新豐7線",'0119 4度C'!$B:$B,"平均")</f>
        <v>0</v>
      </c>
      <c r="H19" s="98">
        <f>SUMIFS('0119 4度C'!$Z:$Z,'0119 4度C'!$A:$A,"新豐3線",'0119 4度C'!$B:$B,"平均")</f>
        <v>0</v>
      </c>
      <c r="I19" s="98">
        <f>SUMIFS('0119 4度C'!$Z:$Z,'0119 4度C'!$A:$A,"新豐1線",'0119 4度C'!$B:$B,"平均")</f>
        <v>0</v>
      </c>
      <c r="J19" s="99">
        <f>SUMIFS('0119 4度C'!$Z:$Z,'0119 4度C'!$A:$A,"新豐10線",'0119 4度C'!$B:$B,"平均")</f>
        <v>0</v>
      </c>
      <c r="K19" s="100">
        <f>SUMIFS('0119 4度C'!$Z:$Z,'0119 4度C'!$A:$A,"新豐8線",'0119 4度C'!$B:$B,"平均")</f>
        <v>0</v>
      </c>
      <c r="L19" s="98">
        <f>SUMIFS('0119 4度C'!$Z:$Z,'0119 4度C'!$A:$A,"新豐9線",'0119 4度C'!$B:$B,"平均")</f>
        <v>0</v>
      </c>
      <c r="M19" s="99">
        <f>SUMIFS('0119 4度C'!$Z:$Z,'0119 4度C'!$A:$A,"新豐4線",'0119 4度C'!$B:$B,"平均")</f>
        <v>0</v>
      </c>
    </row>
    <row r="20" spans="2:13" ht="17.25" customHeight="1">
      <c r="B20" s="428" t="s">
        <v>193</v>
      </c>
      <c r="C20" s="96" t="s">
        <v>191</v>
      </c>
      <c r="D20" s="97">
        <f>SUMIFS('0119 4度C'!$AC:$AC,'0119 4度C'!$A:$A,"新豐6線",'0119 4度C'!$B:$B,"平均")</f>
        <v>2</v>
      </c>
      <c r="E20" s="98">
        <f>SUMIFS('0119 4度C'!$AC:$AC,'0119 4度C'!$A:$A,"新豐2線",'0119 4度C'!$B:$B,"平均")</f>
        <v>3</v>
      </c>
      <c r="F20" s="98">
        <f>SUMIFS('0119 4度C'!$AC:$AC,'0119 4度C'!$A:$A,"新豐5線",'0119 4度C'!$B:$B,"平均")</f>
        <v>4</v>
      </c>
      <c r="G20" s="98">
        <f>SUMIFS('0119 4度C'!$AC:$AC,'0119 4度C'!$A:$A,"新豐7線",'0119 4度C'!$B:$B,"平均")</f>
        <v>4</v>
      </c>
      <c r="H20" s="98">
        <f>SUMIFS('0119 4度C'!$AC:$AC,'0119 4度C'!$A:$A,"新豐3線",'0119 4度C'!$B:$B,"平均")</f>
        <v>2</v>
      </c>
      <c r="I20" s="98">
        <f>SUMIFS('0119 4度C'!$AC:$AC,'0119 4度C'!$A:$A,"新豐1線",'0119 4度C'!$B:$B,"平均")</f>
        <v>5</v>
      </c>
      <c r="J20" s="99">
        <f>SUMIFS('0119 4度C'!$AC:$AC,'0119 4度C'!$A:$A,"新豐10線",'0119 4度C'!$B:$B,"平均")</f>
        <v>1</v>
      </c>
      <c r="K20" s="100">
        <f>SUMIFS('0119 4度C'!$AC:$AC,'0119 4度C'!$A:$A,"新豐8線",'0119 4度C'!$B:$B,"平均")</f>
        <v>8</v>
      </c>
      <c r="L20" s="98">
        <f>SUMIFS('0119 4度C'!$AC:$AC,'0119 4度C'!$A:$A,"新豐9線",'0119 4度C'!$B:$B,"平均")</f>
        <v>8</v>
      </c>
      <c r="M20" s="99">
        <f>SUMIFS('0119 4度C'!$AC:$AC,'0119 4度C'!$A:$A,"新豐4線",'0119 4度C'!$B:$B,"平均")</f>
        <v>8</v>
      </c>
    </row>
    <row r="21" spans="2:13" ht="17.25" customHeight="1">
      <c r="B21" s="429"/>
      <c r="C21" s="96" t="s">
        <v>194</v>
      </c>
      <c r="D21" s="97">
        <f>SUMIFS('0119 4度C'!$AD:$AD,'0119 4度C'!$A:$A,"新豐6線",'0119 4度C'!$B:$B,"平均")</f>
        <v>0</v>
      </c>
      <c r="E21" s="98">
        <f>SUMIFS('0119 4度C'!$AD:$AD,'0119 4度C'!$A:$A,"新豐2線",'0119 4度C'!$B:$B,"平均")</f>
        <v>0</v>
      </c>
      <c r="F21" s="98">
        <f>SUMIFS('0119 4度C'!$AD:$AD,'0119 4度C'!$A:$A,"新豐5線",'0119 4度C'!$B:$B,"平均")</f>
        <v>0</v>
      </c>
      <c r="G21" s="98">
        <f>SUMIFS('0119 4度C'!$AD:$AD,'0119 4度C'!$A:$A,"新豐7線",'0119 4度C'!$B:$B,"平均")</f>
        <v>0</v>
      </c>
      <c r="H21" s="98">
        <f>SUMIFS('0119 4度C'!$AD:$AD,'0119 4度C'!$A:$A,"新豐3線",'0119 4度C'!$B:$B,"平均")</f>
        <v>0</v>
      </c>
      <c r="I21" s="98">
        <f>SUMIFS('0119 4度C'!$AD:$AD,'0119 4度C'!$A:$A,"新豐1線",'0119 4度C'!$B:$B,"平均")</f>
        <v>0</v>
      </c>
      <c r="J21" s="99">
        <f>SUMIFS('0119 4度C'!$AD:$AD,'0119 4度C'!$A:$A,"新豐10線",'0119 4度C'!$B:$B,"平均")</f>
        <v>0</v>
      </c>
      <c r="K21" s="100">
        <f>SUMIFS('0119 4度C'!$AD:$AD,'0119 4度C'!$A:$A,"新豐8線",'0119 4度C'!$B:$B,"平均")</f>
        <v>0</v>
      </c>
      <c r="L21" s="98">
        <f>SUMIFS('0119 4度C'!$AD:$AD,'0119 4度C'!$A:$A,"新豐9線",'0119 4度C'!$B:$B,"平均")</f>
        <v>0</v>
      </c>
      <c r="M21" s="99">
        <f>SUMIFS('0119 4度C'!$AD:$AD,'0119 4度C'!$A:$A,"新豐4線",'0119 4度C'!$B:$B,"平均")</f>
        <v>0</v>
      </c>
    </row>
    <row r="22" spans="2:13" ht="17.25" customHeight="1">
      <c r="B22" s="430" t="s">
        <v>195</v>
      </c>
      <c r="C22" s="431"/>
      <c r="D22" s="101">
        <f>SUMIFS('0119 4度C'!$I:$I,'0119 4度C'!$A:$A,"新豐6線",'0119 4度C'!$B:$B,"平均")</f>
        <v>17.333333333333332</v>
      </c>
      <c r="E22" s="102">
        <f>SUMIFS('0119 4度C'!$I:$I,'0119 4度C'!$A:$A,"新豐2線",'0119 4度C'!$B:$B,"平均")</f>
        <v>18</v>
      </c>
      <c r="F22" s="102">
        <f>SUMIFS('0119 4度C'!$I:$I,'0119 4度C'!$A:$A,"新豐5線",'0119 4度C'!$B:$B,"平均")</f>
        <v>16.2</v>
      </c>
      <c r="G22" s="102">
        <f>SUMIFS('0119 4度C'!$I:$I,'0119 4度C'!$A:$A,"新豐7線",'0119 4度C'!$B:$B,"平均")</f>
        <v>15.666666666666666</v>
      </c>
      <c r="H22" s="102">
        <f>SUMIFS('0119 4度C'!$I:$I,'0119 4度C'!$A:$A,"新豐3線",'0119 4度C'!$B:$B,"平均")</f>
        <v>10</v>
      </c>
      <c r="I22" s="102">
        <f>SUMIFS('0119 4度C'!$I:$I,'0119 4度C'!$A:$A,"新豐1線",'0119 4度C'!$B:$B,"平均")</f>
        <v>18.5</v>
      </c>
      <c r="J22" s="103">
        <f>SUMIFS('0119 4度C'!$I:$I,'0119 4度C'!$A:$A,"新豐10線",'0119 4度C'!$B:$B,"平均")</f>
        <v>10.75</v>
      </c>
      <c r="K22" s="101">
        <f>SUMIFS('0119 4度C'!$I:$I,'0119 4度C'!$A:$A,"新豐8線",'0119 4度C'!$B:$B,"平均")</f>
        <v>18.166666666666668</v>
      </c>
      <c r="L22" s="102">
        <f>SUMIFS('0119 4度C'!$I:$I,'0119 4度C'!$A:$A,"新豐9線",'0119 4度C'!$B:$B,"平均")</f>
        <v>17.857142857142858</v>
      </c>
      <c r="M22" s="103">
        <f>SUMIFS('0119 4度C'!$I:$I,'0119 4度C'!$A:$A,"新豐4線",'0119 4度C'!$B:$B,"平均")</f>
        <v>16.166666666666668</v>
      </c>
    </row>
    <row r="23" spans="2:13" ht="17.25" customHeight="1">
      <c r="B23" s="430" t="s">
        <v>1669</v>
      </c>
      <c r="C23" s="431"/>
      <c r="D23" s="104" t="s">
        <v>157</v>
      </c>
      <c r="E23" s="105" t="s">
        <v>158</v>
      </c>
      <c r="F23" s="105" t="s">
        <v>197</v>
      </c>
      <c r="G23" s="105" t="s">
        <v>197</v>
      </c>
      <c r="H23" s="105" t="s">
        <v>159</v>
      </c>
      <c r="I23" s="105" t="s">
        <v>157</v>
      </c>
      <c r="J23" s="106" t="s">
        <v>159</v>
      </c>
      <c r="K23" s="104" t="s">
        <v>199</v>
      </c>
      <c r="L23" s="105" t="s">
        <v>199</v>
      </c>
      <c r="M23" s="106" t="s">
        <v>1670</v>
      </c>
    </row>
    <row r="24" spans="2:13" ht="17.25" customHeight="1">
      <c r="B24" s="430" t="s">
        <v>200</v>
      </c>
      <c r="C24" s="431"/>
      <c r="D24" s="104"/>
      <c r="E24" s="105"/>
      <c r="F24" s="105" t="s">
        <v>201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202</v>
      </c>
      <c r="C25" s="433"/>
      <c r="D25" s="107"/>
      <c r="E25" s="108" t="s">
        <v>203</v>
      </c>
      <c r="F25" s="426" t="s">
        <v>1671</v>
      </c>
      <c r="G25" s="427"/>
      <c r="H25" s="108" t="s">
        <v>1672</v>
      </c>
      <c r="I25" s="108" t="s">
        <v>206</v>
      </c>
      <c r="J25" s="109" t="s">
        <v>1672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8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1673</v>
      </c>
      <c r="D1" s="3">
        <f>SUM(F5:F80)</f>
        <v>174326</v>
      </c>
      <c r="E1" s="292" t="s">
        <v>1674</v>
      </c>
      <c r="F1" s="1">
        <f>SUM(G5:G80)</f>
        <v>6044694.1900000013</v>
      </c>
      <c r="G1" s="1" t="s">
        <v>3</v>
      </c>
      <c r="H1" s="5">
        <f>L11+L14+L59+L68+L25+L73+L42+L50+L35+L80</f>
        <v>158.64047619047619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1675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1676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1677</v>
      </c>
      <c r="AF1" s="544"/>
      <c r="AG1" s="544"/>
    </row>
    <row r="2" spans="1:33" ht="26.25" customHeight="1">
      <c r="A2" s="49">
        <v>46041</v>
      </c>
      <c r="B2" s="50" t="s">
        <v>514</v>
      </c>
      <c r="C2" s="2" t="s">
        <v>1678</v>
      </c>
      <c r="D2" s="10">
        <f>AVERAGE(N11,N14,N59,N68,N25,N73,N35,N42,N50,N80)</f>
        <v>135.29949427772215</v>
      </c>
      <c r="E2" s="11" t="s">
        <v>14</v>
      </c>
      <c r="F2" s="12">
        <f>F1/D1</f>
        <v>34.674656620354973</v>
      </c>
      <c r="G2" s="1" t="s">
        <v>1679</v>
      </c>
      <c r="H2" s="305">
        <f>COUNT(H5:H80)</f>
        <v>11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SUM(Y11+Y14+Y25+Y35+Y42+Y50+Y59+Y68+Y73+Y80)</f>
        <v>0</v>
      </c>
      <c r="Z2" s="14">
        <f>SUM(Z11+Z14+Z25+Z35+Z42+Z50+Z59+Z68+Z73+Z80)</f>
        <v>0</v>
      </c>
      <c r="AA2" s="543"/>
      <c r="AB2" s="543"/>
      <c r="AC2" s="157">
        <v>45</v>
      </c>
      <c r="AD2" s="14">
        <f>SUM(AD11+AD14+AD25+AD35+AD42+AD50+AD59+AD68+AD73+AD80)</f>
        <v>0</v>
      </c>
      <c r="AE2" s="544"/>
      <c r="AF2" s="544"/>
      <c r="AG2" s="544"/>
    </row>
    <row r="3" spans="1:33" ht="40.5" customHeight="1">
      <c r="A3" s="491" t="s">
        <v>1680</v>
      </c>
      <c r="B3" s="491" t="s">
        <v>1681</v>
      </c>
      <c r="C3" s="491" t="s">
        <v>1682</v>
      </c>
      <c r="D3" s="491"/>
      <c r="E3" s="540" t="s">
        <v>19</v>
      </c>
      <c r="F3" s="491" t="s">
        <v>1683</v>
      </c>
      <c r="G3" s="540" t="s">
        <v>1684</v>
      </c>
      <c r="H3" s="533" t="s">
        <v>1685</v>
      </c>
      <c r="I3" s="531" t="s">
        <v>1686</v>
      </c>
      <c r="J3" s="528" t="s">
        <v>1687</v>
      </c>
      <c r="K3" s="538" t="s">
        <v>13</v>
      </c>
      <c r="L3" s="531" t="s">
        <v>23</v>
      </c>
      <c r="M3" s="528" t="s">
        <v>24</v>
      </c>
      <c r="N3" s="538" t="s">
        <v>1678</v>
      </c>
      <c r="O3" s="531" t="s">
        <v>23</v>
      </c>
      <c r="P3" s="538" t="s">
        <v>1678</v>
      </c>
      <c r="Q3" s="529" t="s">
        <v>1688</v>
      </c>
      <c r="R3" s="507" t="s">
        <v>26</v>
      </c>
      <c r="S3" s="539" t="s">
        <v>27</v>
      </c>
      <c r="T3" s="539"/>
      <c r="U3" s="533" t="s">
        <v>28</v>
      </c>
      <c r="V3" s="533" t="s">
        <v>1689</v>
      </c>
      <c r="W3" s="491" t="s">
        <v>1690</v>
      </c>
      <c r="X3" s="491"/>
      <c r="Y3" s="534" t="s">
        <v>1691</v>
      </c>
      <c r="Z3" s="495"/>
      <c r="AA3" s="535" t="s">
        <v>1692</v>
      </c>
      <c r="AB3" s="536"/>
      <c r="AC3" s="534" t="s">
        <v>1693</v>
      </c>
      <c r="AD3" s="495"/>
      <c r="AE3" s="528" t="s">
        <v>1694</v>
      </c>
      <c r="AF3" s="529" t="s">
        <v>1695</v>
      </c>
      <c r="AG3" s="507" t="s">
        <v>1696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03" t="s">
        <v>37</v>
      </c>
      <c r="T4" s="303" t="s">
        <v>38</v>
      </c>
      <c r="U4" s="533"/>
      <c r="V4" s="533"/>
      <c r="W4" s="292" t="s">
        <v>1697</v>
      </c>
      <c r="X4" s="292" t="s">
        <v>1698</v>
      </c>
      <c r="Y4" s="294" t="s">
        <v>1699</v>
      </c>
      <c r="Z4" s="294" t="s">
        <v>1700</v>
      </c>
      <c r="AA4" s="537"/>
      <c r="AB4" s="536"/>
      <c r="AC4" s="294" t="s">
        <v>1701</v>
      </c>
      <c r="AD4" s="294" t="s">
        <v>1702</v>
      </c>
      <c r="AE4" s="528"/>
      <c r="AF4" s="529"/>
      <c r="AG4" s="507"/>
    </row>
    <row r="5" spans="1:33">
      <c r="A5" s="530" t="s">
        <v>1703</v>
      </c>
      <c r="B5" s="42" t="s">
        <v>103</v>
      </c>
      <c r="C5" s="532" t="s">
        <v>120</v>
      </c>
      <c r="D5" s="532"/>
      <c r="E5" s="42">
        <v>50.67</v>
      </c>
      <c r="F5" s="303">
        <v>1404</v>
      </c>
      <c r="G5" s="292">
        <f t="shared" ref="G5:G10" si="0">E5*F5</f>
        <v>71140.680000000008</v>
      </c>
      <c r="H5" s="304" t="s">
        <v>79</v>
      </c>
      <c r="I5" s="301">
        <v>17</v>
      </c>
      <c r="J5" s="37">
        <v>2000</v>
      </c>
      <c r="K5" s="17">
        <f t="shared" ref="K5:K68" si="1">J5/I5</f>
        <v>117.64705882352941</v>
      </c>
      <c r="L5" s="301">
        <v>17</v>
      </c>
      <c r="M5" s="18">
        <f t="shared" ref="M5:M10" si="2">F5/V5*60</f>
        <v>1914.5454545454545</v>
      </c>
      <c r="N5" s="17">
        <f t="shared" ref="N5:N68" si="3">M5/L5</f>
        <v>112.62032085561498</v>
      </c>
      <c r="O5" s="19">
        <f t="shared" ref="O5:O68" si="4">L5-I5</f>
        <v>0</v>
      </c>
      <c r="P5" s="20">
        <f t="shared" ref="P5:P68" si="5">N5-K5</f>
        <v>-5.0267379679144284</v>
      </c>
      <c r="Q5" s="295">
        <f t="shared" ref="Q5:Q68" si="6">N5/K5</f>
        <v>0.95727272727272739</v>
      </c>
      <c r="R5" s="489">
        <f>Q11</f>
        <v>0.96397020900186647</v>
      </c>
      <c r="S5" s="40">
        <v>0.70833333333333337</v>
      </c>
      <c r="T5" s="40">
        <v>0.73888888888888893</v>
      </c>
      <c r="U5" s="292"/>
      <c r="V5" s="302">
        <f t="shared" ref="V5:V10" si="7">(T5-S5)*24*60</f>
        <v>44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-85.454545454545496</v>
      </c>
      <c r="AF5" s="295">
        <f t="shared" ref="AF5:AF68" si="9">M5/J5</f>
        <v>0.95727272727272728</v>
      </c>
      <c r="AG5" s="489">
        <f>AF11</f>
        <v>0.96397020900186647</v>
      </c>
    </row>
    <row r="6" spans="1:33">
      <c r="A6" s="531" t="s">
        <v>45</v>
      </c>
      <c r="B6" s="42" t="s">
        <v>103</v>
      </c>
      <c r="C6" s="532" t="s">
        <v>121</v>
      </c>
      <c r="D6" s="532"/>
      <c r="E6" s="42">
        <v>54.09</v>
      </c>
      <c r="F6" s="303">
        <v>1387</v>
      </c>
      <c r="G6" s="292">
        <f t="shared" si="0"/>
        <v>75022.83</v>
      </c>
      <c r="H6" s="304" t="s">
        <v>79</v>
      </c>
      <c r="I6" s="301">
        <v>19</v>
      </c>
      <c r="J6" s="37">
        <v>2000</v>
      </c>
      <c r="K6" s="17">
        <f t="shared" si="1"/>
        <v>105.26315789473684</v>
      </c>
      <c r="L6" s="301">
        <v>19</v>
      </c>
      <c r="M6" s="18">
        <f t="shared" si="2"/>
        <v>1935.3488372093018</v>
      </c>
      <c r="N6" s="17">
        <f t="shared" si="3"/>
        <v>101.86046511627904</v>
      </c>
      <c r="O6" s="19">
        <f t="shared" si="4"/>
        <v>0</v>
      </c>
      <c r="P6" s="20">
        <f t="shared" si="5"/>
        <v>-3.4026927784577907</v>
      </c>
      <c r="Q6" s="295">
        <f t="shared" si="6"/>
        <v>0.96767441860465098</v>
      </c>
      <c r="R6" s="489"/>
      <c r="S6" s="40">
        <v>0.74305555555555558</v>
      </c>
      <c r="T6" s="40">
        <v>0.7729166666666667</v>
      </c>
      <c r="U6" s="292">
        <f t="shared" ref="U6:U10" si="10">IF(S6=TIME(17,0,0),"",(S6-T5)*24*60)</f>
        <v>5.9999999999999787</v>
      </c>
      <c r="V6" s="302">
        <f t="shared" si="7"/>
        <v>43.000000000000007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-64.651162790698208</v>
      </c>
      <c r="AF6" s="295">
        <f t="shared" si="9"/>
        <v>0.96767441860465087</v>
      </c>
      <c r="AG6" s="489"/>
    </row>
    <row r="7" spans="1:33">
      <c r="A7" s="531" t="s">
        <v>45</v>
      </c>
      <c r="B7" s="42" t="s">
        <v>103</v>
      </c>
      <c r="C7" s="523" t="s">
        <v>122</v>
      </c>
      <c r="D7" s="524"/>
      <c r="E7" s="42">
        <v>50.29</v>
      </c>
      <c r="F7" s="303">
        <v>1129</v>
      </c>
      <c r="G7" s="292">
        <f t="shared" si="0"/>
        <v>56777.409999999996</v>
      </c>
      <c r="H7" s="304" t="s">
        <v>79</v>
      </c>
      <c r="I7" s="301">
        <v>16</v>
      </c>
      <c r="J7" s="37">
        <v>2000</v>
      </c>
      <c r="K7" s="17">
        <f t="shared" si="1"/>
        <v>125</v>
      </c>
      <c r="L7" s="301">
        <v>16</v>
      </c>
      <c r="M7" s="18">
        <f t="shared" si="2"/>
        <v>1935.4285714285695</v>
      </c>
      <c r="N7" s="17">
        <f t="shared" si="3"/>
        <v>120.96428571428559</v>
      </c>
      <c r="O7" s="19">
        <f t="shared" si="4"/>
        <v>0</v>
      </c>
      <c r="P7" s="20">
        <f t="shared" si="5"/>
        <v>-4.0357142857144055</v>
      </c>
      <c r="Q7" s="295">
        <f t="shared" si="6"/>
        <v>0.96771428571428475</v>
      </c>
      <c r="R7" s="489"/>
      <c r="S7" s="40">
        <v>0.77777777777777779</v>
      </c>
      <c r="T7" s="40">
        <v>0.80208333333333337</v>
      </c>
      <c r="U7" s="292">
        <f t="shared" si="10"/>
        <v>6.9999999999999751</v>
      </c>
      <c r="V7" s="302">
        <f t="shared" si="7"/>
        <v>35.000000000000036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-64.571428571430488</v>
      </c>
      <c r="AF7" s="295">
        <f t="shared" si="9"/>
        <v>0.96771428571428475</v>
      </c>
      <c r="AG7" s="489"/>
    </row>
    <row r="8" spans="1:33">
      <c r="A8" s="531" t="s">
        <v>45</v>
      </c>
      <c r="B8" s="42" t="s">
        <v>103</v>
      </c>
      <c r="C8" s="523" t="s">
        <v>515</v>
      </c>
      <c r="D8" s="524"/>
      <c r="E8" s="42">
        <v>50.67</v>
      </c>
      <c r="F8" s="303">
        <v>1629</v>
      </c>
      <c r="G8" s="292">
        <f t="shared" si="0"/>
        <v>82541.430000000008</v>
      </c>
      <c r="H8" s="304" t="s">
        <v>79</v>
      </c>
      <c r="I8" s="301">
        <v>21</v>
      </c>
      <c r="J8" s="37">
        <v>2000</v>
      </c>
      <c r="K8" s="17">
        <f t="shared" si="1"/>
        <v>95.238095238095241</v>
      </c>
      <c r="L8" s="301">
        <v>21</v>
      </c>
      <c r="M8" s="18">
        <f t="shared" si="2"/>
        <v>1916.4705882352951</v>
      </c>
      <c r="N8" s="17">
        <f t="shared" si="3"/>
        <v>91.260504201680718</v>
      </c>
      <c r="O8" s="19">
        <f t="shared" si="4"/>
        <v>0</v>
      </c>
      <c r="P8" s="20">
        <f t="shared" si="5"/>
        <v>-3.9775910364145233</v>
      </c>
      <c r="Q8" s="295">
        <f t="shared" si="6"/>
        <v>0.95823529411764752</v>
      </c>
      <c r="R8" s="489"/>
      <c r="S8" s="40">
        <v>0.80694444444444446</v>
      </c>
      <c r="T8" s="40">
        <v>0.84236111111111112</v>
      </c>
      <c r="U8" s="292">
        <f t="shared" si="10"/>
        <v>6.9999999999999751</v>
      </c>
      <c r="V8" s="302">
        <f t="shared" si="7"/>
        <v>50.999999999999979</v>
      </c>
      <c r="W8" s="23">
        <f>T8</f>
        <v>0.84236111111111112</v>
      </c>
      <c r="X8" s="23">
        <f>S9</f>
        <v>0.88263888888888886</v>
      </c>
      <c r="Y8" s="29"/>
      <c r="Z8" s="29"/>
      <c r="AA8" s="503"/>
      <c r="AB8" s="504"/>
      <c r="AC8" s="155"/>
      <c r="AD8" s="27"/>
      <c r="AE8" s="19">
        <f t="shared" si="8"/>
        <v>-83.529411764704946</v>
      </c>
      <c r="AF8" s="295">
        <f t="shared" si="9"/>
        <v>0.95823529411764752</v>
      </c>
      <c r="AG8" s="489"/>
    </row>
    <row r="9" spans="1:33">
      <c r="A9" s="531" t="s">
        <v>1704</v>
      </c>
      <c r="B9" s="42" t="s">
        <v>103</v>
      </c>
      <c r="C9" s="523" t="s">
        <v>123</v>
      </c>
      <c r="D9" s="524"/>
      <c r="E9" s="42">
        <v>50.98</v>
      </c>
      <c r="F9" s="303">
        <v>1737</v>
      </c>
      <c r="G9" s="292">
        <f t="shared" si="0"/>
        <v>88552.26</v>
      </c>
      <c r="H9" s="304" t="s">
        <v>79</v>
      </c>
      <c r="I9" s="301">
        <v>16</v>
      </c>
      <c r="J9" s="37">
        <v>2000</v>
      </c>
      <c r="K9" s="17">
        <f t="shared" si="1"/>
        <v>125</v>
      </c>
      <c r="L9" s="301">
        <v>16</v>
      </c>
      <c r="M9" s="18">
        <f t="shared" si="2"/>
        <v>1930.0000000000011</v>
      </c>
      <c r="N9" s="17">
        <f t="shared" si="3"/>
        <v>120.62500000000007</v>
      </c>
      <c r="O9" s="19">
        <f t="shared" si="4"/>
        <v>0</v>
      </c>
      <c r="P9" s="20">
        <f t="shared" si="5"/>
        <v>-4.3749999999999289</v>
      </c>
      <c r="Q9" s="295">
        <f t="shared" si="6"/>
        <v>0.96500000000000052</v>
      </c>
      <c r="R9" s="489"/>
      <c r="S9" s="40">
        <v>0.88263888888888886</v>
      </c>
      <c r="T9" s="40">
        <v>0.92013888888888884</v>
      </c>
      <c r="U9" s="292">
        <f t="shared" si="10"/>
        <v>57.999999999999957</v>
      </c>
      <c r="V9" s="302">
        <f t="shared" si="7"/>
        <v>53.999999999999972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-69.999999999998863</v>
      </c>
      <c r="AF9" s="295">
        <f t="shared" si="9"/>
        <v>0.96500000000000052</v>
      </c>
      <c r="AG9" s="489"/>
    </row>
    <row r="10" spans="1:33">
      <c r="A10" s="531" t="s">
        <v>1704</v>
      </c>
      <c r="B10" s="42" t="s">
        <v>103</v>
      </c>
      <c r="C10" s="523" t="s">
        <v>132</v>
      </c>
      <c r="D10" s="524"/>
      <c r="E10" s="42">
        <v>50.92</v>
      </c>
      <c r="F10" s="303">
        <v>1710</v>
      </c>
      <c r="G10" s="292">
        <f t="shared" si="0"/>
        <v>87073.2</v>
      </c>
      <c r="H10" s="304" t="s">
        <v>79</v>
      </c>
      <c r="I10" s="301">
        <v>15</v>
      </c>
      <c r="J10" s="37">
        <v>2000</v>
      </c>
      <c r="K10" s="17">
        <f t="shared" si="1"/>
        <v>133.33333333333334</v>
      </c>
      <c r="L10" s="301">
        <v>15</v>
      </c>
      <c r="M10" s="18">
        <f t="shared" si="2"/>
        <v>1935.8490566037747</v>
      </c>
      <c r="N10" s="17">
        <f t="shared" si="3"/>
        <v>129.05660377358498</v>
      </c>
      <c r="O10" s="19">
        <f t="shared" si="4"/>
        <v>0</v>
      </c>
      <c r="P10" s="20">
        <f t="shared" si="5"/>
        <v>-4.276729559748361</v>
      </c>
      <c r="Q10" s="295">
        <f t="shared" si="6"/>
        <v>0.96792452830188724</v>
      </c>
      <c r="R10" s="489"/>
      <c r="S10" s="40">
        <v>0.92569444444444438</v>
      </c>
      <c r="T10" s="40">
        <v>0.96249999999999991</v>
      </c>
      <c r="U10" s="292">
        <f t="shared" si="10"/>
        <v>7.9999999999999716</v>
      </c>
      <c r="V10" s="302">
        <f t="shared" si="7"/>
        <v>52.999999999999972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-64.15094339622533</v>
      </c>
      <c r="AF10" s="295">
        <f t="shared" si="9"/>
        <v>0.96792452830188735</v>
      </c>
      <c r="AG10" s="489"/>
    </row>
    <row r="11" spans="1:33">
      <c r="A11" s="531" t="s">
        <v>1704</v>
      </c>
      <c r="B11" s="42" t="s">
        <v>1705</v>
      </c>
      <c r="C11" s="494"/>
      <c r="D11" s="494"/>
      <c r="E11" s="296"/>
      <c r="F11" s="44"/>
      <c r="G11" s="17"/>
      <c r="H11" s="303"/>
      <c r="I11" s="30">
        <v>17.333333333333332</v>
      </c>
      <c r="J11" s="37">
        <v>2000</v>
      </c>
      <c r="K11" s="17">
        <f t="shared" si="1"/>
        <v>115.38461538461539</v>
      </c>
      <c r="L11" s="30">
        <v>17.333333333333332</v>
      </c>
      <c r="M11" s="18">
        <f>AVERAGE(M5:M10)</f>
        <v>1927.9404180037329</v>
      </c>
      <c r="N11" s="17">
        <f t="shared" si="3"/>
        <v>111.22733180790767</v>
      </c>
      <c r="O11" s="19">
        <f t="shared" si="4"/>
        <v>0</v>
      </c>
      <c r="P11" s="20">
        <f t="shared" si="5"/>
        <v>-4.1572835767077123</v>
      </c>
      <c r="Q11" s="295">
        <f t="shared" si="6"/>
        <v>0.96397020900186647</v>
      </c>
      <c r="R11" s="489"/>
      <c r="S11" s="40"/>
      <c r="T11" s="40"/>
      <c r="U11" s="292"/>
      <c r="V11" s="302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v>2</v>
      </c>
      <c r="AD11" s="31">
        <f>SUM(AD5:AD10)</f>
        <v>0</v>
      </c>
      <c r="AE11" s="19">
        <f t="shared" si="8"/>
        <v>-72.05958199626707</v>
      </c>
      <c r="AF11" s="295">
        <f t="shared" si="9"/>
        <v>0.96397020900186647</v>
      </c>
      <c r="AG11" s="489"/>
    </row>
    <row r="12" spans="1:33" ht="15.75" customHeight="1">
      <c r="A12" s="527" t="s">
        <v>50</v>
      </c>
      <c r="B12" s="42" t="s">
        <v>100</v>
      </c>
      <c r="C12" s="523" t="s">
        <v>124</v>
      </c>
      <c r="D12" s="524"/>
      <c r="E12" s="42">
        <v>39.619999999999997</v>
      </c>
      <c r="F12" s="303">
        <v>3500</v>
      </c>
      <c r="G12" s="292">
        <f t="shared" ref="G12:G13" si="11">E12*F12</f>
        <v>138670</v>
      </c>
      <c r="H12" s="304" t="s">
        <v>79</v>
      </c>
      <c r="I12" s="301">
        <v>19</v>
      </c>
      <c r="J12" s="37">
        <v>1500</v>
      </c>
      <c r="K12" s="17">
        <f t="shared" si="1"/>
        <v>78.94736842105263</v>
      </c>
      <c r="L12" s="301">
        <v>19</v>
      </c>
      <c r="M12" s="18">
        <f t="shared" ref="M12:M13" si="12">F12/V12*60</f>
        <v>1428.5714285714287</v>
      </c>
      <c r="N12" s="17">
        <f t="shared" si="3"/>
        <v>75.187969924812037</v>
      </c>
      <c r="O12" s="19">
        <f t="shared" si="4"/>
        <v>0</v>
      </c>
      <c r="P12" s="20">
        <f t="shared" si="5"/>
        <v>-3.7593984962405926</v>
      </c>
      <c r="Q12" s="295">
        <f t="shared" si="6"/>
        <v>0.95238095238095244</v>
      </c>
      <c r="R12" s="489">
        <f>Q14</f>
        <v>0.95179392446633848</v>
      </c>
      <c r="S12" s="40">
        <v>0.16666666666666666</v>
      </c>
      <c r="T12" s="40">
        <v>0.26874999999999999</v>
      </c>
      <c r="U12" s="292"/>
      <c r="V12" s="302">
        <f t="shared" ref="V12:V13" si="13">(T12-S12)*24*60</f>
        <v>147</v>
      </c>
      <c r="W12" s="23">
        <f>T12</f>
        <v>0.26874999999999999</v>
      </c>
      <c r="X12" s="23">
        <f>S13</f>
        <v>0.28611111111111109</v>
      </c>
      <c r="Y12" s="23"/>
      <c r="Z12" s="23"/>
      <c r="AA12" s="491"/>
      <c r="AB12" s="491"/>
      <c r="AC12" s="154">
        <v>3</v>
      </c>
      <c r="AD12" s="25"/>
      <c r="AE12" s="19">
        <f t="shared" si="8"/>
        <v>-71.428571428571331</v>
      </c>
      <c r="AF12" s="295">
        <f t="shared" si="9"/>
        <v>0.95238095238095244</v>
      </c>
      <c r="AG12" s="489">
        <f>AF14</f>
        <v>0.95179392446633848</v>
      </c>
    </row>
    <row r="13" spans="1:33" ht="15.75" customHeight="1">
      <c r="A13" s="527" t="s">
        <v>50</v>
      </c>
      <c r="B13" s="42" t="s">
        <v>100</v>
      </c>
      <c r="C13" s="523" t="s">
        <v>125</v>
      </c>
      <c r="D13" s="524"/>
      <c r="E13" s="42">
        <v>39.799999999999997</v>
      </c>
      <c r="F13" s="303">
        <v>5517</v>
      </c>
      <c r="G13" s="292">
        <f t="shared" si="11"/>
        <v>219576.59999999998</v>
      </c>
      <c r="H13" s="304" t="s">
        <v>79</v>
      </c>
      <c r="I13" s="301">
        <v>17</v>
      </c>
      <c r="J13" s="37">
        <v>1500</v>
      </c>
      <c r="K13" s="17">
        <f t="shared" si="1"/>
        <v>88.235294117647058</v>
      </c>
      <c r="L13" s="301">
        <v>17</v>
      </c>
      <c r="M13" s="18">
        <f t="shared" si="12"/>
        <v>1426.8103448275865</v>
      </c>
      <c r="N13" s="17">
        <f t="shared" si="3"/>
        <v>83.930020283975679</v>
      </c>
      <c r="O13" s="19">
        <f t="shared" si="4"/>
        <v>0</v>
      </c>
      <c r="P13" s="20">
        <f t="shared" si="5"/>
        <v>-4.3052738336713787</v>
      </c>
      <c r="Q13" s="295">
        <f t="shared" si="6"/>
        <v>0.95120689655172441</v>
      </c>
      <c r="R13" s="489"/>
      <c r="S13" s="40">
        <v>0.28611111111111109</v>
      </c>
      <c r="T13" s="40">
        <v>0.44722222222222219</v>
      </c>
      <c r="U13" s="292">
        <f t="shared" ref="U13" si="14">IF(S13=TIME(17,0,0),"",(S13-T12)*24*60)</f>
        <v>24.999999999999993</v>
      </c>
      <c r="V13" s="302">
        <f t="shared" si="13"/>
        <v>231.99999999999997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-73.189655172413495</v>
      </c>
      <c r="AF13" s="295">
        <f t="shared" si="9"/>
        <v>0.9512068965517243</v>
      </c>
      <c r="AG13" s="489"/>
    </row>
    <row r="14" spans="1:33" ht="16.5" customHeight="1">
      <c r="A14" s="527" t="s">
        <v>50</v>
      </c>
      <c r="B14" s="42" t="s">
        <v>299</v>
      </c>
      <c r="C14" s="494"/>
      <c r="D14" s="494"/>
      <c r="E14" s="296"/>
      <c r="F14" s="37"/>
      <c r="G14" s="18"/>
      <c r="H14" s="303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1427.6908866995077</v>
      </c>
      <c r="N14" s="17">
        <f t="shared" si="3"/>
        <v>79.316160372194872</v>
      </c>
      <c r="O14" s="19">
        <f t="shared" si="4"/>
        <v>0</v>
      </c>
      <c r="P14" s="20">
        <f t="shared" si="5"/>
        <v>-4.0171729611384563</v>
      </c>
      <c r="Q14" s="295">
        <f t="shared" si="6"/>
        <v>0.95179392446633848</v>
      </c>
      <c r="R14" s="489"/>
      <c r="S14" s="40"/>
      <c r="T14" s="40"/>
      <c r="U14" s="17"/>
      <c r="V14" s="302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v>3</v>
      </c>
      <c r="AD14" s="31">
        <f>SUM(AD12:AD13)</f>
        <v>0</v>
      </c>
      <c r="AE14" s="19">
        <f t="shared" si="8"/>
        <v>-72.309113300492299</v>
      </c>
      <c r="AF14" s="295">
        <f t="shared" si="9"/>
        <v>0.95179392446633848</v>
      </c>
      <c r="AG14" s="489"/>
    </row>
    <row r="15" spans="1:33" ht="16.5" customHeight="1">
      <c r="A15" s="525" t="s">
        <v>1706</v>
      </c>
      <c r="B15" s="303" t="s">
        <v>126</v>
      </c>
      <c r="C15" s="515" t="s">
        <v>127</v>
      </c>
      <c r="D15" s="515"/>
      <c r="E15" s="42">
        <v>41</v>
      </c>
      <c r="F15" s="303">
        <v>2292</v>
      </c>
      <c r="G15" s="292">
        <f t="shared" ref="G15:G24" si="15">E15*F15</f>
        <v>93972</v>
      </c>
      <c r="H15" s="304" t="s">
        <v>79</v>
      </c>
      <c r="I15" s="301">
        <v>26</v>
      </c>
      <c r="J15" s="37">
        <v>1500</v>
      </c>
      <c r="K15" s="17">
        <f t="shared" si="1"/>
        <v>57.692307692307693</v>
      </c>
      <c r="L15" s="301">
        <v>26</v>
      </c>
      <c r="M15" s="18">
        <f t="shared" ref="M15:M24" si="16">F15/V15*60</f>
        <v>1432.4999999999998</v>
      </c>
      <c r="N15" s="17">
        <f t="shared" si="3"/>
        <v>55.09615384615384</v>
      </c>
      <c r="O15" s="19">
        <f t="shared" si="4"/>
        <v>0</v>
      </c>
      <c r="P15" s="20">
        <f t="shared" si="5"/>
        <v>-2.5961538461538538</v>
      </c>
      <c r="Q15" s="295">
        <f t="shared" si="6"/>
        <v>0.95499999999999985</v>
      </c>
      <c r="R15" s="489">
        <f>Q25</f>
        <v>0.96583885614882925</v>
      </c>
      <c r="S15" s="40">
        <v>0.20833333333333334</v>
      </c>
      <c r="T15" s="40">
        <v>0.27500000000000002</v>
      </c>
      <c r="U15" s="292"/>
      <c r="V15" s="302">
        <f t="shared" ref="V15:V24" si="17">(T15-S15)*24*60</f>
        <v>96.000000000000014</v>
      </c>
      <c r="W15" s="28"/>
      <c r="X15" s="28"/>
      <c r="Y15" s="28"/>
      <c r="Z15" s="28"/>
      <c r="AA15" s="491"/>
      <c r="AB15" s="491"/>
      <c r="AC15" s="154">
        <v>4</v>
      </c>
      <c r="AD15" s="25"/>
      <c r="AE15" s="19">
        <f t="shared" si="8"/>
        <v>-67.500000000000227</v>
      </c>
      <c r="AF15" s="295">
        <f t="shared" si="9"/>
        <v>0.95499999999999985</v>
      </c>
      <c r="AG15" s="489">
        <f>AF25</f>
        <v>0.96583885614882925</v>
      </c>
    </row>
    <row r="16" spans="1:33" ht="16.5" customHeight="1">
      <c r="A16" s="526" t="s">
        <v>53</v>
      </c>
      <c r="B16" s="303" t="s">
        <v>128</v>
      </c>
      <c r="C16" s="515" t="s">
        <v>129</v>
      </c>
      <c r="D16" s="515"/>
      <c r="E16" s="42">
        <v>72.400000000000006</v>
      </c>
      <c r="F16" s="303">
        <v>1279</v>
      </c>
      <c r="G16" s="292">
        <f t="shared" si="15"/>
        <v>92599.6</v>
      </c>
      <c r="H16" s="304" t="s">
        <v>79</v>
      </c>
      <c r="I16" s="301">
        <v>18</v>
      </c>
      <c r="J16" s="37">
        <v>1500</v>
      </c>
      <c r="K16" s="17">
        <f t="shared" si="1"/>
        <v>83.333333333333329</v>
      </c>
      <c r="L16" s="301">
        <v>18</v>
      </c>
      <c r="M16" s="18">
        <f t="shared" si="16"/>
        <v>1447.9245283018877</v>
      </c>
      <c r="N16" s="17">
        <f t="shared" si="3"/>
        <v>80.440251572327099</v>
      </c>
      <c r="O16" s="19">
        <f t="shared" si="4"/>
        <v>0</v>
      </c>
      <c r="P16" s="20">
        <f t="shared" si="5"/>
        <v>-2.8930817610062292</v>
      </c>
      <c r="Q16" s="295">
        <f t="shared" si="6"/>
        <v>0.96528301886792522</v>
      </c>
      <c r="R16" s="489"/>
      <c r="S16" s="40">
        <v>0.27916666666666667</v>
      </c>
      <c r="T16" s="40">
        <v>0.31597222222222221</v>
      </c>
      <c r="U16" s="292">
        <f t="shared" ref="U16:U24" si="18">IF(S16=TIME(17,0,0),"",(S16-T15)*24*60)</f>
        <v>5.9999999999999787</v>
      </c>
      <c r="V16" s="302">
        <f t="shared" si="17"/>
        <v>52.999999999999972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-52.075471698112324</v>
      </c>
      <c r="AF16" s="295">
        <f t="shared" si="9"/>
        <v>0.96528301886792511</v>
      </c>
      <c r="AG16" s="489"/>
    </row>
    <row r="17" spans="1:33" ht="16.5" customHeight="1">
      <c r="A17" s="526" t="s">
        <v>1707</v>
      </c>
      <c r="B17" s="303" t="s">
        <v>130</v>
      </c>
      <c r="C17" s="515" t="s">
        <v>131</v>
      </c>
      <c r="D17" s="515"/>
      <c r="E17" s="42">
        <v>50.67</v>
      </c>
      <c r="F17" s="303">
        <v>1174</v>
      </c>
      <c r="G17" s="292">
        <f t="shared" si="15"/>
        <v>59486.58</v>
      </c>
      <c r="H17" s="304" t="s">
        <v>79</v>
      </c>
      <c r="I17" s="301">
        <v>16</v>
      </c>
      <c r="J17" s="37">
        <v>1500</v>
      </c>
      <c r="K17" s="17">
        <f t="shared" si="1"/>
        <v>93.75</v>
      </c>
      <c r="L17" s="301">
        <v>16</v>
      </c>
      <c r="M17" s="18">
        <f t="shared" si="16"/>
        <v>1437.5510204081636</v>
      </c>
      <c r="N17" s="17">
        <f t="shared" si="3"/>
        <v>89.846938775510225</v>
      </c>
      <c r="O17" s="19">
        <f t="shared" si="4"/>
        <v>0</v>
      </c>
      <c r="P17" s="20">
        <f t="shared" si="5"/>
        <v>-3.9030612244897753</v>
      </c>
      <c r="Q17" s="295">
        <f t="shared" si="6"/>
        <v>0.95836734693877568</v>
      </c>
      <c r="R17" s="489"/>
      <c r="S17" s="40">
        <v>0.3208333333333333</v>
      </c>
      <c r="T17" s="40">
        <v>0.35486111111111107</v>
      </c>
      <c r="U17" s="292">
        <f t="shared" si="18"/>
        <v>6.9999999999999751</v>
      </c>
      <c r="V17" s="302">
        <f t="shared" si="17"/>
        <v>48.999999999999986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-62.448979591836405</v>
      </c>
      <c r="AF17" s="295">
        <f t="shared" si="9"/>
        <v>0.95836734693877568</v>
      </c>
      <c r="AG17" s="489"/>
    </row>
    <row r="18" spans="1:33" ht="16.5" customHeight="1">
      <c r="A18" s="526" t="s">
        <v>1707</v>
      </c>
      <c r="B18" s="303" t="s">
        <v>103</v>
      </c>
      <c r="C18" s="515" t="s">
        <v>123</v>
      </c>
      <c r="D18" s="515"/>
      <c r="E18" s="42">
        <v>50.98</v>
      </c>
      <c r="F18" s="303">
        <v>800</v>
      </c>
      <c r="G18" s="292">
        <f t="shared" si="15"/>
        <v>40784</v>
      </c>
      <c r="H18" s="304">
        <v>2</v>
      </c>
      <c r="I18" s="301">
        <v>16</v>
      </c>
      <c r="J18" s="37">
        <v>2000</v>
      </c>
      <c r="K18" s="17">
        <f t="shared" si="1"/>
        <v>125</v>
      </c>
      <c r="L18" s="301">
        <v>16</v>
      </c>
      <c r="M18" s="18">
        <f t="shared" si="16"/>
        <v>1919.9999999999945</v>
      </c>
      <c r="N18" s="17">
        <f t="shared" si="3"/>
        <v>119.99999999999966</v>
      </c>
      <c r="O18" s="19">
        <f t="shared" si="4"/>
        <v>0</v>
      </c>
      <c r="P18" s="20">
        <f t="shared" si="5"/>
        <v>-5.0000000000003411</v>
      </c>
      <c r="Q18" s="295">
        <f t="shared" si="6"/>
        <v>0.9599999999999973</v>
      </c>
      <c r="R18" s="489"/>
      <c r="S18" s="40">
        <v>0.70833333333333337</v>
      </c>
      <c r="T18" s="40">
        <v>0.72569444444444453</v>
      </c>
      <c r="U18" s="292" t="str">
        <f t="shared" si="18"/>
        <v/>
      </c>
      <c r="V18" s="302">
        <f t="shared" si="17"/>
        <v>25.000000000000071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-80.000000000005457</v>
      </c>
      <c r="AF18" s="295">
        <f t="shared" si="9"/>
        <v>0.9599999999999973</v>
      </c>
      <c r="AG18" s="489"/>
    </row>
    <row r="19" spans="1:33" ht="16.5" customHeight="1">
      <c r="A19" s="526" t="s">
        <v>1707</v>
      </c>
      <c r="B19" s="303" t="s">
        <v>103</v>
      </c>
      <c r="C19" s="515" t="s">
        <v>132</v>
      </c>
      <c r="D19" s="515"/>
      <c r="E19" s="42">
        <v>50.92</v>
      </c>
      <c r="F19" s="303">
        <v>800</v>
      </c>
      <c r="G19" s="292">
        <f t="shared" si="15"/>
        <v>40736</v>
      </c>
      <c r="H19" s="304">
        <v>2</v>
      </c>
      <c r="I19" s="301">
        <v>15</v>
      </c>
      <c r="J19" s="37">
        <v>2000</v>
      </c>
      <c r="K19" s="17">
        <f t="shared" si="1"/>
        <v>133.33333333333334</v>
      </c>
      <c r="L19" s="301">
        <v>15</v>
      </c>
      <c r="M19" s="18">
        <f t="shared" si="16"/>
        <v>1919.9999999999945</v>
      </c>
      <c r="N19" s="17">
        <f t="shared" si="3"/>
        <v>127.99999999999963</v>
      </c>
      <c r="O19" s="19">
        <f t="shared" si="4"/>
        <v>0</v>
      </c>
      <c r="P19" s="20">
        <f t="shared" si="5"/>
        <v>-5.3333333333337123</v>
      </c>
      <c r="Q19" s="295">
        <f t="shared" si="6"/>
        <v>0.95999999999999719</v>
      </c>
      <c r="R19" s="489"/>
      <c r="S19" s="40">
        <v>0.73125000000000007</v>
      </c>
      <c r="T19" s="40">
        <v>0.74861111111111123</v>
      </c>
      <c r="U19" s="292">
        <f t="shared" si="18"/>
        <v>7.9999999999999716</v>
      </c>
      <c r="V19" s="302">
        <f t="shared" si="17"/>
        <v>25.000000000000071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-80.000000000005457</v>
      </c>
      <c r="AF19" s="295">
        <f t="shared" si="9"/>
        <v>0.9599999999999973</v>
      </c>
      <c r="AG19" s="489"/>
    </row>
    <row r="20" spans="1:33" ht="16.5" customHeight="1">
      <c r="A20" s="526" t="s">
        <v>1707</v>
      </c>
      <c r="B20" s="303" t="s">
        <v>103</v>
      </c>
      <c r="C20" s="521" t="s">
        <v>133</v>
      </c>
      <c r="D20" s="522"/>
      <c r="E20" s="42">
        <v>50.67</v>
      </c>
      <c r="F20" s="303">
        <v>500</v>
      </c>
      <c r="G20" s="292">
        <f t="shared" si="15"/>
        <v>25335</v>
      </c>
      <c r="H20" s="304">
        <v>2</v>
      </c>
      <c r="I20" s="301">
        <v>15</v>
      </c>
      <c r="J20" s="37">
        <v>2000</v>
      </c>
      <c r="K20" s="17">
        <f t="shared" si="1"/>
        <v>133.33333333333334</v>
      </c>
      <c r="L20" s="301">
        <v>15</v>
      </c>
      <c r="M20" s="18">
        <f t="shared" si="16"/>
        <v>2000.000000000007</v>
      </c>
      <c r="N20" s="17">
        <f t="shared" si="3"/>
        <v>133.3333333333338</v>
      </c>
      <c r="O20" s="19">
        <f t="shared" si="4"/>
        <v>0</v>
      </c>
      <c r="P20" s="20">
        <f t="shared" si="5"/>
        <v>4.5474735088646412E-13</v>
      </c>
      <c r="Q20" s="295">
        <f t="shared" si="6"/>
        <v>1.0000000000000033</v>
      </c>
      <c r="R20" s="489"/>
      <c r="S20" s="40">
        <v>0.75347222222222232</v>
      </c>
      <c r="T20" s="40">
        <v>0.76388888888888895</v>
      </c>
      <c r="U20" s="292">
        <f t="shared" si="18"/>
        <v>6.9999999999999751</v>
      </c>
      <c r="V20" s="302">
        <f t="shared" si="17"/>
        <v>14.999999999999947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7.0485839387401938E-12</v>
      </c>
      <c r="AF20" s="295">
        <f t="shared" si="9"/>
        <v>1.0000000000000036</v>
      </c>
      <c r="AG20" s="489"/>
    </row>
    <row r="21" spans="1:33" ht="16.5" customHeight="1">
      <c r="A21" s="526" t="s">
        <v>1707</v>
      </c>
      <c r="B21" s="303" t="s">
        <v>103</v>
      </c>
      <c r="C21" s="299" t="s">
        <v>134</v>
      </c>
      <c r="D21" s="300"/>
      <c r="E21" s="42">
        <v>57.3</v>
      </c>
      <c r="F21" s="303">
        <v>700</v>
      </c>
      <c r="G21" s="292">
        <f t="shared" si="15"/>
        <v>40110</v>
      </c>
      <c r="H21" s="304">
        <v>2</v>
      </c>
      <c r="I21" s="301">
        <v>13</v>
      </c>
      <c r="J21" s="37">
        <v>2000</v>
      </c>
      <c r="K21" s="17">
        <f t="shared" si="1"/>
        <v>153.84615384615384</v>
      </c>
      <c r="L21" s="301">
        <v>13</v>
      </c>
      <c r="M21" s="18">
        <f t="shared" si="16"/>
        <v>1909.0909090909158</v>
      </c>
      <c r="N21" s="17">
        <f t="shared" si="3"/>
        <v>146.85314685314736</v>
      </c>
      <c r="O21" s="19">
        <f t="shared" si="4"/>
        <v>0</v>
      </c>
      <c r="P21" s="20">
        <f t="shared" si="5"/>
        <v>-6.9930069930064747</v>
      </c>
      <c r="Q21" s="295">
        <f t="shared" si="6"/>
        <v>0.95454545454545792</v>
      </c>
      <c r="R21" s="489"/>
      <c r="S21" s="40">
        <v>0.7680555555555556</v>
      </c>
      <c r="T21" s="40">
        <v>0.78333333333333333</v>
      </c>
      <c r="U21" s="292">
        <f t="shared" si="18"/>
        <v>5.9999999999999787</v>
      </c>
      <c r="V21" s="302">
        <f t="shared" si="17"/>
        <v>21.999999999999922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-90.909090909084171</v>
      </c>
      <c r="AF21" s="295">
        <f t="shared" si="9"/>
        <v>0.95454545454545792</v>
      </c>
      <c r="AG21" s="489"/>
    </row>
    <row r="22" spans="1:33" ht="16.5" customHeight="1">
      <c r="A22" s="526" t="s">
        <v>1707</v>
      </c>
      <c r="B22" s="303" t="s">
        <v>103</v>
      </c>
      <c r="C22" s="299" t="s">
        <v>1708</v>
      </c>
      <c r="D22" s="300"/>
      <c r="E22" s="42">
        <v>54.7</v>
      </c>
      <c r="F22" s="303">
        <v>2300</v>
      </c>
      <c r="G22" s="292">
        <f t="shared" si="15"/>
        <v>125810</v>
      </c>
      <c r="H22" s="304">
        <v>2</v>
      </c>
      <c r="I22" s="301">
        <v>15</v>
      </c>
      <c r="J22" s="37">
        <v>2000</v>
      </c>
      <c r="K22" s="17">
        <f t="shared" si="1"/>
        <v>133.33333333333334</v>
      </c>
      <c r="L22" s="301">
        <v>15</v>
      </c>
      <c r="M22" s="18">
        <f t="shared" si="16"/>
        <v>1916.6666666666652</v>
      </c>
      <c r="N22" s="17">
        <f t="shared" si="3"/>
        <v>127.77777777777767</v>
      </c>
      <c r="O22" s="19">
        <f t="shared" si="4"/>
        <v>0</v>
      </c>
      <c r="P22" s="20">
        <f t="shared" si="5"/>
        <v>-5.5555555555556708</v>
      </c>
      <c r="Q22" s="295">
        <f t="shared" si="6"/>
        <v>0.95833333333333248</v>
      </c>
      <c r="R22" s="489"/>
      <c r="S22" s="40">
        <v>0.78680555555555554</v>
      </c>
      <c r="T22" s="40">
        <v>0.83680555555555558</v>
      </c>
      <c r="U22" s="292">
        <f t="shared" si="18"/>
        <v>4.9999999999999822</v>
      </c>
      <c r="V22" s="302">
        <f t="shared" si="17"/>
        <v>72.000000000000057</v>
      </c>
      <c r="W22" s="23">
        <f>T22</f>
        <v>0.83680555555555558</v>
      </c>
      <c r="X22" s="23">
        <f>S23</f>
        <v>0.87708333333333333</v>
      </c>
      <c r="Y22" s="26"/>
      <c r="Z22" s="26"/>
      <c r="AA22" s="503"/>
      <c r="AB22" s="504"/>
      <c r="AC22" s="154"/>
      <c r="AD22" s="25"/>
      <c r="AE22" s="19">
        <f t="shared" si="8"/>
        <v>-83.333333333334849</v>
      </c>
      <c r="AF22" s="295">
        <f t="shared" si="9"/>
        <v>0.95833333333333259</v>
      </c>
      <c r="AG22" s="489"/>
    </row>
    <row r="23" spans="1:33" ht="16.5" customHeight="1">
      <c r="A23" s="526" t="s">
        <v>1709</v>
      </c>
      <c r="B23" s="303" t="s">
        <v>103</v>
      </c>
      <c r="C23" s="521" t="s">
        <v>134</v>
      </c>
      <c r="D23" s="522"/>
      <c r="E23" s="42">
        <v>57.3</v>
      </c>
      <c r="F23" s="303">
        <v>1354</v>
      </c>
      <c r="G23" s="292">
        <f t="shared" si="15"/>
        <v>77584.2</v>
      </c>
      <c r="H23" s="304" t="s">
        <v>79</v>
      </c>
      <c r="I23" s="301">
        <v>13</v>
      </c>
      <c r="J23" s="37">
        <v>2000</v>
      </c>
      <c r="K23" s="17">
        <f t="shared" si="1"/>
        <v>153.84615384615384</v>
      </c>
      <c r="L23" s="301">
        <v>13</v>
      </c>
      <c r="M23" s="18">
        <f t="shared" si="16"/>
        <v>1934.2857142857135</v>
      </c>
      <c r="N23" s="17">
        <f t="shared" si="3"/>
        <v>148.79120879120873</v>
      </c>
      <c r="O23" s="19">
        <f t="shared" si="4"/>
        <v>0</v>
      </c>
      <c r="P23" s="20">
        <f t="shared" si="5"/>
        <v>-5.054945054945108</v>
      </c>
      <c r="Q23" s="295">
        <f t="shared" si="6"/>
        <v>0.96714285714285675</v>
      </c>
      <c r="R23" s="489"/>
      <c r="S23" s="40">
        <v>0.87708333333333333</v>
      </c>
      <c r="T23" s="40">
        <v>0.90625</v>
      </c>
      <c r="U23" s="292">
        <f t="shared" si="18"/>
        <v>57.999999999999957</v>
      </c>
      <c r="V23" s="302">
        <f t="shared" si="17"/>
        <v>42.000000000000014</v>
      </c>
      <c r="W23" s="23"/>
      <c r="X23" s="23"/>
      <c r="Y23" s="26"/>
      <c r="Z23" s="26"/>
      <c r="AA23" s="503"/>
      <c r="AB23" s="504"/>
      <c r="AC23" s="154"/>
      <c r="AD23" s="25"/>
      <c r="AE23" s="19">
        <f t="shared" si="8"/>
        <v>-65.714285714286461</v>
      </c>
      <c r="AF23" s="295">
        <f t="shared" si="9"/>
        <v>0.96714285714285675</v>
      </c>
      <c r="AG23" s="489"/>
    </row>
    <row r="24" spans="1:33" ht="16.5" customHeight="1">
      <c r="A24" s="526" t="s">
        <v>1709</v>
      </c>
      <c r="B24" s="303" t="s">
        <v>103</v>
      </c>
      <c r="C24" s="521" t="s">
        <v>133</v>
      </c>
      <c r="D24" s="522"/>
      <c r="E24" s="42">
        <v>50.67</v>
      </c>
      <c r="F24" s="303">
        <v>1235</v>
      </c>
      <c r="G24" s="292">
        <f t="shared" si="15"/>
        <v>62577.450000000004</v>
      </c>
      <c r="H24" s="304" t="s">
        <v>79</v>
      </c>
      <c r="I24" s="301">
        <v>15</v>
      </c>
      <c r="J24" s="37">
        <v>2000</v>
      </c>
      <c r="K24" s="17">
        <f t="shared" si="1"/>
        <v>133.33333333333334</v>
      </c>
      <c r="L24" s="301">
        <v>15</v>
      </c>
      <c r="M24" s="18">
        <f t="shared" si="16"/>
        <v>1949.9999999999986</v>
      </c>
      <c r="N24" s="17">
        <f t="shared" si="3"/>
        <v>129.99999999999991</v>
      </c>
      <c r="O24" s="19">
        <f t="shared" si="4"/>
        <v>0</v>
      </c>
      <c r="P24" s="20">
        <f t="shared" si="5"/>
        <v>-3.3333333333334281</v>
      </c>
      <c r="Q24" s="295">
        <f t="shared" si="6"/>
        <v>0.97499999999999931</v>
      </c>
      <c r="R24" s="489"/>
      <c r="S24" s="40">
        <v>0.91041666666666665</v>
      </c>
      <c r="T24" s="40">
        <v>0.93680555555555556</v>
      </c>
      <c r="U24" s="292">
        <f t="shared" si="18"/>
        <v>5.9999999999999787</v>
      </c>
      <c r="V24" s="302">
        <f t="shared" si="17"/>
        <v>38.000000000000028</v>
      </c>
      <c r="W24" s="23"/>
      <c r="X24" s="23"/>
      <c r="Y24" s="26"/>
      <c r="Z24" s="26"/>
      <c r="AA24" s="503"/>
      <c r="AB24" s="504"/>
      <c r="AC24" s="154"/>
      <c r="AD24" s="25"/>
      <c r="AE24" s="19">
        <f t="shared" si="8"/>
        <v>-50.000000000001364</v>
      </c>
      <c r="AF24" s="295">
        <f t="shared" si="9"/>
        <v>0.97499999999999931</v>
      </c>
      <c r="AG24" s="489"/>
    </row>
    <row r="25" spans="1:33" ht="16.5" customHeight="1">
      <c r="A25" s="526" t="s">
        <v>1709</v>
      </c>
      <c r="B25" s="42" t="s">
        <v>1710</v>
      </c>
      <c r="C25" s="494"/>
      <c r="D25" s="494"/>
      <c r="E25" s="296"/>
      <c r="F25" s="44"/>
      <c r="G25" s="17"/>
      <c r="H25" s="303"/>
      <c r="I25" s="30">
        <v>16.2</v>
      </c>
      <c r="J25" s="37">
        <v>1850</v>
      </c>
      <c r="K25" s="17">
        <f t="shared" si="1"/>
        <v>114.19753086419753</v>
      </c>
      <c r="L25" s="30">
        <v>16.2</v>
      </c>
      <c r="M25" s="18">
        <f>AVERAGE(M15:M24)</f>
        <v>1786.8018838753342</v>
      </c>
      <c r="N25" s="17">
        <f t="shared" si="3"/>
        <v>110.29641258489717</v>
      </c>
      <c r="O25" s="19">
        <f t="shared" si="4"/>
        <v>0</v>
      </c>
      <c r="P25" s="20">
        <f t="shared" si="5"/>
        <v>-3.9011182793003627</v>
      </c>
      <c r="Q25" s="295">
        <f t="shared" si="6"/>
        <v>0.96583885614882925</v>
      </c>
      <c r="R25" s="489"/>
      <c r="S25" s="40"/>
      <c r="T25" s="40"/>
      <c r="U25" s="292"/>
      <c r="V25" s="302"/>
      <c r="W25" s="17"/>
      <c r="X25" s="17"/>
      <c r="Y25" s="31">
        <f>SUM(Y15:Y24)</f>
        <v>0</v>
      </c>
      <c r="Z25" s="31">
        <f>SUM(Z15:Z24)</f>
        <v>0</v>
      </c>
      <c r="AA25" s="495"/>
      <c r="AB25" s="495"/>
      <c r="AC25" s="31">
        <v>4</v>
      </c>
      <c r="AD25" s="31">
        <f>SUM(AD15:AD24)</f>
        <v>0</v>
      </c>
      <c r="AE25" s="19">
        <f t="shared" si="8"/>
        <v>-63.19811612466583</v>
      </c>
      <c r="AF25" s="295">
        <f t="shared" si="9"/>
        <v>0.96583885614882925</v>
      </c>
      <c r="AG25" s="489"/>
    </row>
    <row r="26" spans="1:33" ht="15.75" customHeight="1">
      <c r="A26" s="519" t="s">
        <v>1711</v>
      </c>
      <c r="B26" s="42" t="s">
        <v>126</v>
      </c>
      <c r="C26" s="515" t="s">
        <v>135</v>
      </c>
      <c r="D26" s="515"/>
      <c r="E26" s="42">
        <v>43.14</v>
      </c>
      <c r="F26" s="303">
        <v>1079</v>
      </c>
      <c r="G26" s="292">
        <f t="shared" ref="G26:G34" si="19">E26*F26</f>
        <v>46548.06</v>
      </c>
      <c r="H26" s="304" t="s">
        <v>79</v>
      </c>
      <c r="I26" s="301">
        <v>17</v>
      </c>
      <c r="J26" s="37">
        <v>2000</v>
      </c>
      <c r="K26" s="17">
        <f t="shared" si="1"/>
        <v>117.64705882352941</v>
      </c>
      <c r="L26" s="301">
        <v>17</v>
      </c>
      <c r="M26" s="18">
        <f t="shared" ref="M26:M34" si="20">F26/V26*60</f>
        <v>1904.1176470588234</v>
      </c>
      <c r="N26" s="17">
        <f t="shared" si="3"/>
        <v>112.00692041522491</v>
      </c>
      <c r="O26" s="19">
        <f t="shared" si="4"/>
        <v>0</v>
      </c>
      <c r="P26" s="20">
        <f t="shared" si="5"/>
        <v>-5.6401384083044945</v>
      </c>
      <c r="Q26" s="295">
        <f t="shared" si="6"/>
        <v>0.95205882352941185</v>
      </c>
      <c r="R26" s="489">
        <f>Q35</f>
        <v>0.96301118565874222</v>
      </c>
      <c r="S26" s="40">
        <v>0.20833333333333334</v>
      </c>
      <c r="T26" s="40">
        <v>0.23194444444444445</v>
      </c>
      <c r="U26" s="292"/>
      <c r="V26" s="302">
        <f t="shared" ref="V26:V34" si="21">(T26-S26)*24*60</f>
        <v>34</v>
      </c>
      <c r="W26" s="28"/>
      <c r="X26" s="28"/>
      <c r="Y26" s="28"/>
      <c r="Z26" s="28"/>
      <c r="AA26" s="491"/>
      <c r="AB26" s="491"/>
      <c r="AC26" s="154">
        <v>4</v>
      </c>
      <c r="AD26" s="25"/>
      <c r="AE26" s="19">
        <f t="shared" si="8"/>
        <v>-95.882352941176578</v>
      </c>
      <c r="AF26" s="295">
        <f t="shared" si="9"/>
        <v>0.95205882352941174</v>
      </c>
      <c r="AG26" s="489">
        <f>AF35</f>
        <v>0.96301118565874233</v>
      </c>
    </row>
    <row r="27" spans="1:33" ht="15.75" customHeight="1">
      <c r="A27" s="520" t="s">
        <v>56</v>
      </c>
      <c r="B27" s="42" t="s">
        <v>103</v>
      </c>
      <c r="C27" s="515" t="s">
        <v>137</v>
      </c>
      <c r="D27" s="515"/>
      <c r="E27" s="42">
        <v>57.73</v>
      </c>
      <c r="F27" s="303">
        <v>2709</v>
      </c>
      <c r="G27" s="292">
        <f t="shared" si="19"/>
        <v>156390.56999999998</v>
      </c>
      <c r="H27" s="304" t="s">
        <v>79</v>
      </c>
      <c r="I27" s="301">
        <v>14</v>
      </c>
      <c r="J27" s="37">
        <v>2000</v>
      </c>
      <c r="K27" s="17">
        <f t="shared" si="1"/>
        <v>142.85714285714286</v>
      </c>
      <c r="L27" s="301">
        <v>14</v>
      </c>
      <c r="M27" s="18">
        <f t="shared" si="20"/>
        <v>1912.2352941176478</v>
      </c>
      <c r="N27" s="17">
        <f t="shared" si="3"/>
        <v>136.58823529411771</v>
      </c>
      <c r="O27" s="19">
        <f t="shared" si="4"/>
        <v>0</v>
      </c>
      <c r="P27" s="20">
        <f t="shared" si="5"/>
        <v>-6.2689075630251523</v>
      </c>
      <c r="Q27" s="295">
        <f t="shared" si="6"/>
        <v>0.95611764705882396</v>
      </c>
      <c r="R27" s="489"/>
      <c r="S27" s="40">
        <v>0.23680555555555557</v>
      </c>
      <c r="T27" s="40">
        <v>0.29583333333333334</v>
      </c>
      <c r="U27" s="292">
        <f t="shared" ref="U27:U34" si="22">IF(S27=TIME(17,0,0),"",(S27-T26)*24*60)</f>
        <v>7.0000000000000151</v>
      </c>
      <c r="V27" s="302">
        <f t="shared" si="21"/>
        <v>84.999999999999972</v>
      </c>
      <c r="W27" s="23"/>
      <c r="X27" s="292"/>
      <c r="Y27" s="292"/>
      <c r="Z27" s="292"/>
      <c r="AA27" s="491"/>
      <c r="AB27" s="491"/>
      <c r="AC27" s="154"/>
      <c r="AD27" s="25"/>
      <c r="AE27" s="19">
        <f t="shared" si="8"/>
        <v>-87.764705882352246</v>
      </c>
      <c r="AF27" s="295">
        <f t="shared" si="9"/>
        <v>0.95611764705882385</v>
      </c>
      <c r="AG27" s="489"/>
    </row>
    <row r="28" spans="1:33" ht="15.75" customHeight="1">
      <c r="A28" s="520" t="s">
        <v>56</v>
      </c>
      <c r="B28" s="42" t="s">
        <v>103</v>
      </c>
      <c r="C28" s="515" t="s">
        <v>138</v>
      </c>
      <c r="D28" s="515"/>
      <c r="E28" s="42">
        <v>53.68</v>
      </c>
      <c r="F28" s="303">
        <v>1674</v>
      </c>
      <c r="G28" s="292">
        <f t="shared" si="19"/>
        <v>89860.319999999992</v>
      </c>
      <c r="H28" s="304" t="s">
        <v>79</v>
      </c>
      <c r="I28" s="301">
        <v>16</v>
      </c>
      <c r="J28" s="37">
        <v>2000</v>
      </c>
      <c r="K28" s="17">
        <f t="shared" si="1"/>
        <v>125</v>
      </c>
      <c r="L28" s="301">
        <v>16</v>
      </c>
      <c r="M28" s="18">
        <f t="shared" si="20"/>
        <v>1931.5384615384623</v>
      </c>
      <c r="N28" s="17">
        <f t="shared" si="3"/>
        <v>120.7211538461539</v>
      </c>
      <c r="O28" s="19">
        <f t="shared" si="4"/>
        <v>0</v>
      </c>
      <c r="P28" s="20">
        <f t="shared" si="5"/>
        <v>-4.2788461538461036</v>
      </c>
      <c r="Q28" s="295">
        <f t="shared" si="6"/>
        <v>0.96576923076923116</v>
      </c>
      <c r="R28" s="489"/>
      <c r="S28" s="40">
        <v>0.30138888888888887</v>
      </c>
      <c r="T28" s="40">
        <v>0.33749999999999997</v>
      </c>
      <c r="U28" s="292">
        <f t="shared" si="22"/>
        <v>7.9999999999999716</v>
      </c>
      <c r="V28" s="302">
        <f t="shared" si="21"/>
        <v>51.999999999999972</v>
      </c>
      <c r="W28" s="23"/>
      <c r="X28" s="292"/>
      <c r="Y28" s="292"/>
      <c r="Z28" s="292"/>
      <c r="AA28" s="491"/>
      <c r="AB28" s="491"/>
      <c r="AC28" s="154"/>
      <c r="AD28" s="25"/>
      <c r="AE28" s="19">
        <f t="shared" si="8"/>
        <v>-68.461538461537657</v>
      </c>
      <c r="AF28" s="295">
        <f t="shared" si="9"/>
        <v>0.96576923076923116</v>
      </c>
      <c r="AG28" s="489"/>
    </row>
    <row r="29" spans="1:33" ht="15.75" customHeight="1">
      <c r="A29" s="520" t="s">
        <v>56</v>
      </c>
      <c r="B29" s="42" t="s">
        <v>103</v>
      </c>
      <c r="C29" s="515" t="s">
        <v>140</v>
      </c>
      <c r="D29" s="515"/>
      <c r="E29" s="42">
        <v>50.49</v>
      </c>
      <c r="F29" s="303">
        <v>1100</v>
      </c>
      <c r="G29" s="292">
        <f t="shared" si="19"/>
        <v>55539</v>
      </c>
      <c r="H29" s="304">
        <v>2</v>
      </c>
      <c r="I29" s="301">
        <v>15</v>
      </c>
      <c r="J29" s="37">
        <v>2000</v>
      </c>
      <c r="K29" s="17">
        <f t="shared" si="1"/>
        <v>133.33333333333334</v>
      </c>
      <c r="L29" s="301">
        <v>15</v>
      </c>
      <c r="M29" s="18">
        <f t="shared" si="20"/>
        <v>1941.1764705882326</v>
      </c>
      <c r="N29" s="17">
        <f t="shared" si="3"/>
        <v>129.41176470588218</v>
      </c>
      <c r="O29" s="19">
        <f t="shared" si="4"/>
        <v>0</v>
      </c>
      <c r="P29" s="20">
        <f t="shared" si="5"/>
        <v>-3.9215686274511654</v>
      </c>
      <c r="Q29" s="295">
        <f t="shared" si="6"/>
        <v>0.97058823529411631</v>
      </c>
      <c r="R29" s="489"/>
      <c r="S29" s="40">
        <v>0.70833333333333337</v>
      </c>
      <c r="T29" s="40">
        <v>0.73194444444444451</v>
      </c>
      <c r="U29" s="292" t="str">
        <f t="shared" si="22"/>
        <v/>
      </c>
      <c r="V29" s="302">
        <f t="shared" si="21"/>
        <v>34.000000000000043</v>
      </c>
      <c r="W29" s="23"/>
      <c r="X29" s="292"/>
      <c r="Y29" s="292"/>
      <c r="Z29" s="292"/>
      <c r="AA29" s="491"/>
      <c r="AB29" s="491"/>
      <c r="AC29" s="154"/>
      <c r="AD29" s="25"/>
      <c r="AE29" s="19">
        <f t="shared" si="8"/>
        <v>-58.823529411767367</v>
      </c>
      <c r="AF29" s="295">
        <f t="shared" si="9"/>
        <v>0.97058823529411631</v>
      </c>
      <c r="AG29" s="489"/>
    </row>
    <row r="30" spans="1:33" ht="15.75" customHeight="1">
      <c r="A30" s="520" t="s">
        <v>56</v>
      </c>
      <c r="B30" s="42" t="s">
        <v>103</v>
      </c>
      <c r="C30" s="515" t="s">
        <v>516</v>
      </c>
      <c r="D30" s="515"/>
      <c r="E30" s="42">
        <v>50.67</v>
      </c>
      <c r="F30" s="303">
        <v>1681</v>
      </c>
      <c r="G30" s="292">
        <f t="shared" si="19"/>
        <v>85176.27</v>
      </c>
      <c r="H30" s="304" t="s">
        <v>79</v>
      </c>
      <c r="I30" s="301">
        <v>16</v>
      </c>
      <c r="J30" s="37">
        <v>2000</v>
      </c>
      <c r="K30" s="17">
        <f t="shared" si="1"/>
        <v>125</v>
      </c>
      <c r="L30" s="301">
        <v>16</v>
      </c>
      <c r="M30" s="18">
        <f t="shared" si="20"/>
        <v>1903.0188679245293</v>
      </c>
      <c r="N30" s="17">
        <f t="shared" si="3"/>
        <v>118.93867924528308</v>
      </c>
      <c r="O30" s="19">
        <f t="shared" si="4"/>
        <v>0</v>
      </c>
      <c r="P30" s="20">
        <f t="shared" si="5"/>
        <v>-6.0613207547169168</v>
      </c>
      <c r="Q30" s="295">
        <f t="shared" si="6"/>
        <v>0.95150943396226462</v>
      </c>
      <c r="R30" s="489"/>
      <c r="S30" s="40">
        <v>0.7368055555555556</v>
      </c>
      <c r="T30" s="40">
        <v>0.77361111111111114</v>
      </c>
      <c r="U30" s="292">
        <f t="shared" si="22"/>
        <v>6.9999999999999751</v>
      </c>
      <c r="V30" s="302">
        <f t="shared" si="21"/>
        <v>52.999999999999972</v>
      </c>
      <c r="W30" s="23"/>
      <c r="X30" s="292"/>
      <c r="Y30" s="292"/>
      <c r="Z30" s="292"/>
      <c r="AA30" s="491"/>
      <c r="AB30" s="491"/>
      <c r="AC30" s="154"/>
      <c r="AD30" s="25"/>
      <c r="AE30" s="19">
        <f t="shared" si="8"/>
        <v>-96.981132075470668</v>
      </c>
      <c r="AF30" s="295">
        <f t="shared" si="9"/>
        <v>0.95150943396226462</v>
      </c>
      <c r="AG30" s="489"/>
    </row>
    <row r="31" spans="1:33" ht="15.75" customHeight="1">
      <c r="A31" s="520" t="s">
        <v>56</v>
      </c>
      <c r="B31" s="42" t="s">
        <v>103</v>
      </c>
      <c r="C31" s="515" t="s">
        <v>141</v>
      </c>
      <c r="D31" s="515"/>
      <c r="E31" s="42">
        <v>57.73</v>
      </c>
      <c r="F31" s="303">
        <v>1197</v>
      </c>
      <c r="G31" s="292">
        <f t="shared" si="19"/>
        <v>69102.81</v>
      </c>
      <c r="H31" s="304" t="s">
        <v>79</v>
      </c>
      <c r="I31" s="301">
        <v>16</v>
      </c>
      <c r="J31" s="37">
        <v>1500</v>
      </c>
      <c r="K31" s="17">
        <f t="shared" si="1"/>
        <v>93.75</v>
      </c>
      <c r="L31" s="301">
        <v>16</v>
      </c>
      <c r="M31" s="18">
        <f t="shared" si="20"/>
        <v>1436.4000000000005</v>
      </c>
      <c r="N31" s="17">
        <f t="shared" si="3"/>
        <v>89.775000000000034</v>
      </c>
      <c r="O31" s="19">
        <f t="shared" si="4"/>
        <v>0</v>
      </c>
      <c r="P31" s="20">
        <f t="shared" si="5"/>
        <v>-3.9749999999999659</v>
      </c>
      <c r="Q31" s="295">
        <f t="shared" si="6"/>
        <v>0.95760000000000034</v>
      </c>
      <c r="R31" s="489"/>
      <c r="S31" s="40">
        <v>0.77708333333333335</v>
      </c>
      <c r="T31" s="40">
        <v>0.81180555555555556</v>
      </c>
      <c r="U31" s="292">
        <f t="shared" si="22"/>
        <v>4.9999999999999822</v>
      </c>
      <c r="V31" s="302">
        <f t="shared" si="21"/>
        <v>49.999999999999986</v>
      </c>
      <c r="W31" s="23"/>
      <c r="X31" s="28"/>
      <c r="Y31" s="28"/>
      <c r="Z31" s="28"/>
      <c r="AA31" s="491"/>
      <c r="AB31" s="491"/>
      <c r="AC31" s="154"/>
      <c r="AD31" s="25"/>
      <c r="AE31" s="19">
        <f t="shared" si="8"/>
        <v>-63.599999999999454</v>
      </c>
      <c r="AF31" s="295">
        <f t="shared" si="9"/>
        <v>0.95760000000000034</v>
      </c>
      <c r="AG31" s="489"/>
    </row>
    <row r="32" spans="1:33" ht="15.75" customHeight="1">
      <c r="A32" s="520" t="s">
        <v>56</v>
      </c>
      <c r="B32" s="42" t="s">
        <v>103</v>
      </c>
      <c r="C32" s="515" t="s">
        <v>142</v>
      </c>
      <c r="D32" s="515"/>
      <c r="E32" s="42">
        <v>53.68</v>
      </c>
      <c r="F32" s="303">
        <v>700</v>
      </c>
      <c r="G32" s="292">
        <f t="shared" si="19"/>
        <v>37576</v>
      </c>
      <c r="H32" s="304">
        <v>2</v>
      </c>
      <c r="I32" s="301">
        <v>16</v>
      </c>
      <c r="J32" s="37">
        <v>1500</v>
      </c>
      <c r="K32" s="17">
        <f t="shared" si="1"/>
        <v>93.75</v>
      </c>
      <c r="L32" s="301">
        <v>16</v>
      </c>
      <c r="M32" s="18">
        <f t="shared" si="20"/>
        <v>1448.2758620689626</v>
      </c>
      <c r="N32" s="17">
        <f t="shared" si="3"/>
        <v>90.517241379310164</v>
      </c>
      <c r="O32" s="19">
        <f t="shared" si="4"/>
        <v>0</v>
      </c>
      <c r="P32" s="20">
        <f t="shared" si="5"/>
        <v>-3.232758620689836</v>
      </c>
      <c r="Q32" s="295">
        <f t="shared" si="6"/>
        <v>0.96551724137930839</v>
      </c>
      <c r="R32" s="489"/>
      <c r="S32" s="40">
        <v>0.81527777777777777</v>
      </c>
      <c r="T32" s="40">
        <v>0.8354166666666667</v>
      </c>
      <c r="U32" s="292">
        <f t="shared" si="22"/>
        <v>4.9999999999999822</v>
      </c>
      <c r="V32" s="302">
        <f t="shared" si="21"/>
        <v>29.000000000000057</v>
      </c>
      <c r="W32" s="23">
        <f>T32</f>
        <v>0.8354166666666667</v>
      </c>
      <c r="X32" s="23">
        <f>S33</f>
        <v>0.87569444444444444</v>
      </c>
      <c r="Y32" s="29"/>
      <c r="Z32" s="29"/>
      <c r="AA32" s="503"/>
      <c r="AB32" s="504"/>
      <c r="AC32" s="154"/>
      <c r="AD32" s="25"/>
      <c r="AE32" s="19">
        <f t="shared" si="8"/>
        <v>-51.724137931037376</v>
      </c>
      <c r="AF32" s="295">
        <f t="shared" si="9"/>
        <v>0.96551724137930839</v>
      </c>
      <c r="AG32" s="489"/>
    </row>
    <row r="33" spans="1:33" ht="15.75" customHeight="1">
      <c r="A33" s="520" t="s">
        <v>56</v>
      </c>
      <c r="B33" s="42" t="s">
        <v>103</v>
      </c>
      <c r="C33" s="521" t="s">
        <v>142</v>
      </c>
      <c r="D33" s="522"/>
      <c r="E33" s="42">
        <v>53.68</v>
      </c>
      <c r="F33" s="303">
        <v>1377</v>
      </c>
      <c r="G33" s="292">
        <f t="shared" si="19"/>
        <v>73917.36</v>
      </c>
      <c r="H33" s="304" t="s">
        <v>79</v>
      </c>
      <c r="I33" s="301">
        <v>16</v>
      </c>
      <c r="J33" s="37">
        <v>1500</v>
      </c>
      <c r="K33" s="17">
        <f t="shared" si="1"/>
        <v>93.75</v>
      </c>
      <c r="L33" s="301">
        <v>16</v>
      </c>
      <c r="M33" s="18">
        <f t="shared" si="20"/>
        <v>1449.4736842105274</v>
      </c>
      <c r="N33" s="17">
        <f t="shared" si="3"/>
        <v>90.592105263157961</v>
      </c>
      <c r="O33" s="19">
        <f t="shared" si="4"/>
        <v>0</v>
      </c>
      <c r="P33" s="20">
        <f t="shared" si="5"/>
        <v>-3.1578947368420387</v>
      </c>
      <c r="Q33" s="295">
        <f t="shared" si="6"/>
        <v>0.96631578947368491</v>
      </c>
      <c r="R33" s="489"/>
      <c r="S33" s="40">
        <v>0.87569444444444444</v>
      </c>
      <c r="T33" s="40">
        <v>0.91527777777777775</v>
      </c>
      <c r="U33" s="292">
        <f t="shared" si="22"/>
        <v>57.999999999999957</v>
      </c>
      <c r="V33" s="302">
        <f t="shared" si="21"/>
        <v>56.999999999999957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-50.526315789472619</v>
      </c>
      <c r="AF33" s="295">
        <f t="shared" si="9"/>
        <v>0.96631578947368491</v>
      </c>
      <c r="AG33" s="489"/>
    </row>
    <row r="34" spans="1:33" ht="15.75" customHeight="1">
      <c r="A34" s="520" t="s">
        <v>56</v>
      </c>
      <c r="B34" s="42" t="s">
        <v>103</v>
      </c>
      <c r="C34" s="521" t="s">
        <v>140</v>
      </c>
      <c r="D34" s="522"/>
      <c r="E34" s="42">
        <v>50.49</v>
      </c>
      <c r="F34" s="303">
        <v>949</v>
      </c>
      <c r="G34" s="292">
        <f t="shared" si="19"/>
        <v>47915.01</v>
      </c>
      <c r="H34" s="304" t="s">
        <v>79</v>
      </c>
      <c r="I34" s="301">
        <v>15</v>
      </c>
      <c r="J34" s="37">
        <v>2000</v>
      </c>
      <c r="K34" s="17">
        <f t="shared" si="1"/>
        <v>133.33333333333334</v>
      </c>
      <c r="L34" s="301">
        <v>15</v>
      </c>
      <c r="M34" s="18">
        <f t="shared" si="20"/>
        <v>1963.4482758620652</v>
      </c>
      <c r="N34" s="17">
        <f t="shared" si="3"/>
        <v>130.89655172413768</v>
      </c>
      <c r="O34" s="19">
        <f t="shared" si="4"/>
        <v>0</v>
      </c>
      <c r="P34" s="20">
        <f t="shared" si="5"/>
        <v>-2.4367816091956627</v>
      </c>
      <c r="Q34" s="295">
        <f t="shared" si="6"/>
        <v>0.98172413793103253</v>
      </c>
      <c r="R34" s="489"/>
      <c r="S34" s="40">
        <v>0.9194444444444444</v>
      </c>
      <c r="T34" s="40">
        <v>0.93958333333333333</v>
      </c>
      <c r="U34" s="292">
        <f t="shared" si="22"/>
        <v>5.9999999999999787</v>
      </c>
      <c r="V34" s="302">
        <f t="shared" si="21"/>
        <v>29.000000000000057</v>
      </c>
      <c r="W34" s="23"/>
      <c r="X34" s="23"/>
      <c r="Y34" s="26"/>
      <c r="Z34" s="26"/>
      <c r="AA34" s="503"/>
      <c r="AB34" s="504"/>
      <c r="AC34" s="154"/>
      <c r="AD34" s="25"/>
      <c r="AE34" s="19">
        <f t="shared" si="8"/>
        <v>-36.551724137934798</v>
      </c>
      <c r="AF34" s="295">
        <f t="shared" si="9"/>
        <v>0.98172413793103264</v>
      </c>
      <c r="AG34" s="489"/>
    </row>
    <row r="35" spans="1:33" ht="15.75" customHeight="1">
      <c r="A35" s="520" t="s">
        <v>56</v>
      </c>
      <c r="B35" s="42" t="s">
        <v>299</v>
      </c>
      <c r="C35" s="494"/>
      <c r="D35" s="494"/>
      <c r="E35" s="296"/>
      <c r="F35" s="303"/>
      <c r="G35" s="292"/>
      <c r="H35" s="303"/>
      <c r="I35" s="30">
        <v>15.666666666666666</v>
      </c>
      <c r="J35" s="37">
        <v>1833.3333333333333</v>
      </c>
      <c r="K35" s="17">
        <f t="shared" si="1"/>
        <v>117.02127659574468</v>
      </c>
      <c r="L35" s="30">
        <v>15.666666666666666</v>
      </c>
      <c r="M35" s="18">
        <f>AVERAGE(M26:M34)</f>
        <v>1765.5205070410275</v>
      </c>
      <c r="N35" s="17">
        <f t="shared" si="3"/>
        <v>112.69279832176771</v>
      </c>
      <c r="O35" s="19">
        <f t="shared" si="4"/>
        <v>0</v>
      </c>
      <c r="P35" s="20">
        <f t="shared" si="5"/>
        <v>-4.3284782739769696</v>
      </c>
      <c r="Q35" s="295">
        <f t="shared" si="6"/>
        <v>0.96301118565874222</v>
      </c>
      <c r="R35" s="489"/>
      <c r="S35" s="40"/>
      <c r="T35" s="40"/>
      <c r="U35" s="17"/>
      <c r="V35" s="302"/>
      <c r="W35" s="17"/>
      <c r="X35" s="17"/>
      <c r="Y35" s="31">
        <f>SUM(Y26:Y34)</f>
        <v>0</v>
      </c>
      <c r="Z35" s="31">
        <f>SUM(Z26:Z34)</f>
        <v>0</v>
      </c>
      <c r="AA35" s="495"/>
      <c r="AB35" s="495"/>
      <c r="AC35" s="31">
        <v>4</v>
      </c>
      <c r="AD35" s="31">
        <f>SUM(AD26:AD34)</f>
        <v>0</v>
      </c>
      <c r="AE35" s="19">
        <f t="shared" si="8"/>
        <v>-67.812826292305772</v>
      </c>
      <c r="AF35" s="295">
        <f t="shared" si="9"/>
        <v>0.96301118565874233</v>
      </c>
      <c r="AG35" s="489"/>
    </row>
    <row r="36" spans="1:33" ht="15.75" customHeight="1">
      <c r="A36" s="518" t="s">
        <v>59</v>
      </c>
      <c r="B36" s="42" t="s">
        <v>80</v>
      </c>
      <c r="C36" s="515" t="s">
        <v>81</v>
      </c>
      <c r="D36" s="515"/>
      <c r="E36" s="42">
        <v>31.29</v>
      </c>
      <c r="F36" s="303">
        <v>5400</v>
      </c>
      <c r="G36" s="292">
        <f t="shared" ref="G36:G41" si="23">E36*F36</f>
        <v>168966</v>
      </c>
      <c r="H36" s="304">
        <v>2</v>
      </c>
      <c r="I36" s="301">
        <v>18</v>
      </c>
      <c r="J36" s="37">
        <v>2400</v>
      </c>
      <c r="K36" s="17">
        <f t="shared" si="1"/>
        <v>133.33333333333334</v>
      </c>
      <c r="L36" s="301">
        <v>18</v>
      </c>
      <c r="M36" s="18">
        <f t="shared" ref="M36:M41" si="24">F36/V36*60</f>
        <v>2297.872340425532</v>
      </c>
      <c r="N36" s="17">
        <f t="shared" si="3"/>
        <v>127.65957446808511</v>
      </c>
      <c r="O36" s="19">
        <f t="shared" si="4"/>
        <v>0</v>
      </c>
      <c r="P36" s="20">
        <f t="shared" si="5"/>
        <v>-5.6737588652482316</v>
      </c>
      <c r="Q36" s="295">
        <f t="shared" si="6"/>
        <v>0.95744680851063824</v>
      </c>
      <c r="R36" s="489">
        <f>Q42</f>
        <v>0.95601548433245231</v>
      </c>
      <c r="S36" s="40">
        <v>8.3333333333333329E-2</v>
      </c>
      <c r="T36" s="40">
        <v>0.18124999999999999</v>
      </c>
      <c r="U36" s="292"/>
      <c r="V36" s="302">
        <f t="shared" ref="V36:V41" si="25">(T36-S36)*24*60</f>
        <v>141</v>
      </c>
      <c r="W36" s="23">
        <f>T36</f>
        <v>0.18124999999999999</v>
      </c>
      <c r="X36" s="23">
        <f>S37</f>
        <v>0.20277777777777778</v>
      </c>
      <c r="Y36" s="23"/>
      <c r="Z36" s="23"/>
      <c r="AA36" s="491"/>
      <c r="AB36" s="491"/>
      <c r="AC36" s="154">
        <v>8</v>
      </c>
      <c r="AD36" s="25"/>
      <c r="AE36" s="19">
        <f t="shared" si="8"/>
        <v>-102.127659574468</v>
      </c>
      <c r="AF36" s="295">
        <f t="shared" si="9"/>
        <v>0.95744680851063835</v>
      </c>
      <c r="AG36" s="489">
        <f>AF42</f>
        <v>0.95601548433245231</v>
      </c>
    </row>
    <row r="37" spans="1:33" ht="15.75" customHeight="1">
      <c r="A37" s="518" t="s">
        <v>1712</v>
      </c>
      <c r="B37" s="42" t="s">
        <v>80</v>
      </c>
      <c r="C37" s="515" t="s">
        <v>82</v>
      </c>
      <c r="D37" s="515"/>
      <c r="E37" s="42">
        <v>26.2</v>
      </c>
      <c r="F37" s="303">
        <v>4732</v>
      </c>
      <c r="G37" s="292">
        <f t="shared" si="23"/>
        <v>123978.4</v>
      </c>
      <c r="H37" s="304" t="s">
        <v>79</v>
      </c>
      <c r="I37" s="301">
        <v>20</v>
      </c>
      <c r="J37" s="37">
        <v>2400</v>
      </c>
      <c r="K37" s="17">
        <f t="shared" si="1"/>
        <v>120</v>
      </c>
      <c r="L37" s="301">
        <v>20</v>
      </c>
      <c r="M37" s="18">
        <f t="shared" si="24"/>
        <v>2289.6774193548381</v>
      </c>
      <c r="N37" s="17">
        <f t="shared" si="3"/>
        <v>114.48387096774191</v>
      </c>
      <c r="O37" s="19">
        <f t="shared" si="4"/>
        <v>0</v>
      </c>
      <c r="P37" s="20">
        <f t="shared" si="5"/>
        <v>-5.5161290322580925</v>
      </c>
      <c r="Q37" s="295">
        <f t="shared" si="6"/>
        <v>0.95403225806451586</v>
      </c>
      <c r="R37" s="489"/>
      <c r="S37" s="40">
        <v>0.20277777777777778</v>
      </c>
      <c r="T37" s="40">
        <v>0.28888888888888892</v>
      </c>
      <c r="U37" s="292">
        <f t="shared" ref="U37:U41" si="26">(S37-T36)*24*60</f>
        <v>31.000000000000011</v>
      </c>
      <c r="V37" s="302">
        <f t="shared" si="25"/>
        <v>124.00000000000004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-110.32258064516191</v>
      </c>
      <c r="AF37" s="295">
        <f t="shared" si="9"/>
        <v>0.95403225806451586</v>
      </c>
      <c r="AG37" s="489"/>
    </row>
    <row r="38" spans="1:33" ht="15.75" customHeight="1">
      <c r="A38" s="518" t="s">
        <v>1712</v>
      </c>
      <c r="B38" s="42" t="s">
        <v>80</v>
      </c>
      <c r="C38" s="515" t="s">
        <v>83</v>
      </c>
      <c r="D38" s="515"/>
      <c r="E38" s="42">
        <v>25.99</v>
      </c>
      <c r="F38" s="303">
        <v>4152</v>
      </c>
      <c r="G38" s="292">
        <f t="shared" si="23"/>
        <v>107910.48</v>
      </c>
      <c r="H38" s="304" t="s">
        <v>79</v>
      </c>
      <c r="I38" s="301">
        <v>14</v>
      </c>
      <c r="J38" s="37">
        <v>2400</v>
      </c>
      <c r="K38" s="17">
        <f t="shared" si="1"/>
        <v>171.42857142857142</v>
      </c>
      <c r="L38" s="301">
        <v>14</v>
      </c>
      <c r="M38" s="18">
        <f t="shared" si="24"/>
        <v>2285.5045871559628</v>
      </c>
      <c r="N38" s="17">
        <f t="shared" si="3"/>
        <v>163.25032765399735</v>
      </c>
      <c r="O38" s="19">
        <f t="shared" si="4"/>
        <v>0</v>
      </c>
      <c r="P38" s="20">
        <f t="shared" si="5"/>
        <v>-8.1782437745740708</v>
      </c>
      <c r="Q38" s="295">
        <f t="shared" si="6"/>
        <v>0.95229357798165126</v>
      </c>
      <c r="R38" s="489"/>
      <c r="S38" s="40">
        <v>0.29236111111111113</v>
      </c>
      <c r="T38" s="40">
        <v>0.36805555555555558</v>
      </c>
      <c r="U38" s="292">
        <f t="shared" si="26"/>
        <v>4.9999999999999822</v>
      </c>
      <c r="V38" s="302">
        <f t="shared" si="25"/>
        <v>109.00000000000001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-114.49541284403722</v>
      </c>
      <c r="AF38" s="295">
        <f t="shared" si="9"/>
        <v>0.95229357798165115</v>
      </c>
      <c r="AG38" s="489"/>
    </row>
    <row r="39" spans="1:33" ht="15.75" customHeight="1">
      <c r="A39" s="518" t="s">
        <v>1712</v>
      </c>
      <c r="B39" s="42" t="s">
        <v>80</v>
      </c>
      <c r="C39" s="515" t="s">
        <v>84</v>
      </c>
      <c r="D39" s="515"/>
      <c r="E39" s="42">
        <v>20.52</v>
      </c>
      <c r="F39" s="303">
        <v>4128</v>
      </c>
      <c r="G39" s="292">
        <f t="shared" si="23"/>
        <v>84706.559999999998</v>
      </c>
      <c r="H39" s="304" t="s">
        <v>79</v>
      </c>
      <c r="I39" s="301">
        <v>18</v>
      </c>
      <c r="J39" s="37">
        <v>2400</v>
      </c>
      <c r="K39" s="17">
        <f t="shared" si="1"/>
        <v>133.33333333333334</v>
      </c>
      <c r="L39" s="301">
        <v>18</v>
      </c>
      <c r="M39" s="18">
        <f t="shared" si="24"/>
        <v>2293.333333333333</v>
      </c>
      <c r="N39" s="17">
        <f t="shared" si="3"/>
        <v>127.40740740740739</v>
      </c>
      <c r="O39" s="19">
        <f t="shared" si="4"/>
        <v>0</v>
      </c>
      <c r="P39" s="20">
        <f t="shared" si="5"/>
        <v>-5.9259259259259522</v>
      </c>
      <c r="Q39" s="295">
        <f t="shared" si="6"/>
        <v>0.95555555555555538</v>
      </c>
      <c r="R39" s="489"/>
      <c r="S39" s="40">
        <v>0.37291666666666667</v>
      </c>
      <c r="T39" s="40">
        <v>0.44791666666666669</v>
      </c>
      <c r="U39" s="292">
        <f t="shared" si="26"/>
        <v>6.9999999999999751</v>
      </c>
      <c r="V39" s="302">
        <f t="shared" si="25"/>
        <v>108.00000000000001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-106.66666666666697</v>
      </c>
      <c r="AF39" s="295">
        <f t="shared" si="9"/>
        <v>0.95555555555555538</v>
      </c>
      <c r="AG39" s="489"/>
    </row>
    <row r="40" spans="1:33" ht="15.75" customHeight="1">
      <c r="A40" s="518" t="s">
        <v>1712</v>
      </c>
      <c r="B40" s="42" t="s">
        <v>80</v>
      </c>
      <c r="C40" s="515" t="s">
        <v>85</v>
      </c>
      <c r="D40" s="515"/>
      <c r="E40" s="42">
        <v>25.98</v>
      </c>
      <c r="F40" s="303">
        <v>3266</v>
      </c>
      <c r="G40" s="292">
        <f t="shared" si="23"/>
        <v>84850.680000000008</v>
      </c>
      <c r="H40" s="304" t="s">
        <v>79</v>
      </c>
      <c r="I40" s="301">
        <v>21</v>
      </c>
      <c r="J40" s="37">
        <v>2400</v>
      </c>
      <c r="K40" s="17">
        <f t="shared" si="1"/>
        <v>114.28571428571429</v>
      </c>
      <c r="L40" s="301">
        <v>21</v>
      </c>
      <c r="M40" s="18">
        <f t="shared" si="24"/>
        <v>2305.4117647058838</v>
      </c>
      <c r="N40" s="17">
        <f t="shared" si="3"/>
        <v>109.78151260504208</v>
      </c>
      <c r="O40" s="19">
        <f t="shared" si="4"/>
        <v>0</v>
      </c>
      <c r="P40" s="20">
        <f t="shared" si="5"/>
        <v>-4.5042016806722103</v>
      </c>
      <c r="Q40" s="295">
        <f t="shared" si="6"/>
        <v>0.96058823529411819</v>
      </c>
      <c r="R40" s="489"/>
      <c r="S40" s="40">
        <v>0.45277777777777778</v>
      </c>
      <c r="T40" s="40">
        <v>0.51180555555555551</v>
      </c>
      <c r="U40" s="292">
        <f t="shared" si="26"/>
        <v>6.9999999999999751</v>
      </c>
      <c r="V40" s="302">
        <f t="shared" si="25"/>
        <v>84.999999999999943</v>
      </c>
      <c r="W40" s="23">
        <f>T40</f>
        <v>0.51180555555555551</v>
      </c>
      <c r="X40" s="23">
        <f>S41</f>
        <v>0.55208333333333326</v>
      </c>
      <c r="Y40" s="23"/>
      <c r="Z40" s="23"/>
      <c r="AA40" s="491"/>
      <c r="AB40" s="491"/>
      <c r="AC40" s="154"/>
      <c r="AD40" s="25"/>
      <c r="AE40" s="19">
        <f t="shared" si="8"/>
        <v>-94.588235294116203</v>
      </c>
      <c r="AF40" s="295">
        <f t="shared" si="9"/>
        <v>0.9605882352941183</v>
      </c>
      <c r="AG40" s="489"/>
    </row>
    <row r="41" spans="1:33" ht="15.75" customHeight="1">
      <c r="A41" s="518" t="s">
        <v>59</v>
      </c>
      <c r="B41" s="42" t="s">
        <v>80</v>
      </c>
      <c r="C41" s="515" t="s">
        <v>81</v>
      </c>
      <c r="D41" s="515"/>
      <c r="E41" s="42">
        <v>31.29</v>
      </c>
      <c r="F41" s="303">
        <v>3251</v>
      </c>
      <c r="G41" s="292">
        <f t="shared" si="23"/>
        <v>101723.79</v>
      </c>
      <c r="H41" s="304" t="s">
        <v>79</v>
      </c>
      <c r="I41" s="301">
        <v>18</v>
      </c>
      <c r="J41" s="37">
        <v>2400</v>
      </c>
      <c r="K41" s="17">
        <f t="shared" si="1"/>
        <v>133.33333333333334</v>
      </c>
      <c r="L41" s="301">
        <v>18</v>
      </c>
      <c r="M41" s="18">
        <f t="shared" si="24"/>
        <v>2294.8235294117644</v>
      </c>
      <c r="N41" s="17">
        <f t="shared" si="3"/>
        <v>127.49019607843135</v>
      </c>
      <c r="O41" s="19">
        <f t="shared" si="4"/>
        <v>0</v>
      </c>
      <c r="P41" s="20">
        <f t="shared" si="5"/>
        <v>-5.8431372549019898</v>
      </c>
      <c r="Q41" s="295">
        <f t="shared" si="6"/>
        <v>0.95617647058823507</v>
      </c>
      <c r="R41" s="489"/>
      <c r="S41" s="40">
        <v>0.55208333333333326</v>
      </c>
      <c r="T41" s="40">
        <v>0.61111111111111105</v>
      </c>
      <c r="U41" s="292">
        <f t="shared" si="26"/>
        <v>57.999999999999957</v>
      </c>
      <c r="V41" s="302">
        <f t="shared" si="25"/>
        <v>85.000000000000014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-105.17647058823559</v>
      </c>
      <c r="AF41" s="295">
        <f t="shared" si="9"/>
        <v>0.95617647058823518</v>
      </c>
      <c r="AG41" s="489"/>
    </row>
    <row r="42" spans="1:33" ht="15.75" customHeight="1">
      <c r="A42" s="518" t="s">
        <v>1712</v>
      </c>
      <c r="B42" s="42" t="s">
        <v>299</v>
      </c>
      <c r="C42" s="494"/>
      <c r="D42" s="494"/>
      <c r="E42" s="296"/>
      <c r="F42" s="303"/>
      <c r="G42" s="292"/>
      <c r="H42" s="303"/>
      <c r="I42" s="30">
        <v>18.166666666666668</v>
      </c>
      <c r="J42" s="37">
        <v>2400</v>
      </c>
      <c r="K42" s="17">
        <f t="shared" si="1"/>
        <v>132.11009174311926</v>
      </c>
      <c r="L42" s="30">
        <v>18.166666666666668</v>
      </c>
      <c r="M42" s="18">
        <f>AVERAGE(M36:M41)</f>
        <v>2294.4371623978855</v>
      </c>
      <c r="N42" s="17">
        <f t="shared" si="3"/>
        <v>126.29929334300286</v>
      </c>
      <c r="O42" s="19">
        <f t="shared" si="4"/>
        <v>0</v>
      </c>
      <c r="P42" s="20">
        <f t="shared" si="5"/>
        <v>-5.810798400116397</v>
      </c>
      <c r="Q42" s="295">
        <f t="shared" si="6"/>
        <v>0.95601548433245231</v>
      </c>
      <c r="R42" s="489"/>
      <c r="S42" s="40"/>
      <c r="T42" s="40"/>
      <c r="U42" s="292"/>
      <c r="V42" s="302"/>
      <c r="W42" s="292"/>
      <c r="X42" s="292"/>
      <c r="Y42" s="31">
        <f>SUM(Y36:Y41)</f>
        <v>0</v>
      </c>
      <c r="Z42" s="31">
        <f>SUM(Z36:Z41)</f>
        <v>0</v>
      </c>
      <c r="AA42" s="495"/>
      <c r="AB42" s="495"/>
      <c r="AC42" s="31">
        <v>8</v>
      </c>
      <c r="AD42" s="31">
        <f>SUM(AD36:AD41)</f>
        <v>0</v>
      </c>
      <c r="AE42" s="19">
        <f t="shared" si="8"/>
        <v>-105.56283760211454</v>
      </c>
      <c r="AF42" s="295">
        <f t="shared" si="9"/>
        <v>0.95601548433245231</v>
      </c>
      <c r="AG42" s="489"/>
    </row>
    <row r="43" spans="1:33" ht="15.75" customHeight="1">
      <c r="A43" s="516" t="s">
        <v>1713</v>
      </c>
      <c r="B43" s="42" t="s">
        <v>80</v>
      </c>
      <c r="C43" s="490" t="s">
        <v>87</v>
      </c>
      <c r="D43" s="490"/>
      <c r="E43" s="42">
        <v>26.2</v>
      </c>
      <c r="F43" s="303">
        <v>3400</v>
      </c>
      <c r="G43" s="292">
        <f t="shared" ref="G43:G49" si="27">E43*F43</f>
        <v>89080</v>
      </c>
      <c r="H43" s="304">
        <v>2</v>
      </c>
      <c r="I43" s="301">
        <v>18</v>
      </c>
      <c r="J43" s="37">
        <v>2400</v>
      </c>
      <c r="K43" s="17">
        <f t="shared" si="1"/>
        <v>133.33333333333334</v>
      </c>
      <c r="L43" s="301">
        <v>18</v>
      </c>
      <c r="M43" s="18">
        <f t="shared" ref="M43:M49" si="28">F43/V43*60</f>
        <v>2292.1348314606748</v>
      </c>
      <c r="N43" s="17">
        <f t="shared" si="3"/>
        <v>127.34082397003749</v>
      </c>
      <c r="O43" s="19">
        <f t="shared" si="4"/>
        <v>0</v>
      </c>
      <c r="P43" s="20">
        <f t="shared" si="5"/>
        <v>-5.9925093632958522</v>
      </c>
      <c r="Q43" s="295">
        <f t="shared" si="6"/>
        <v>0.95505617977528112</v>
      </c>
      <c r="R43" s="489">
        <f>Q50</f>
        <v>0.95769532283022207</v>
      </c>
      <c r="S43" s="40">
        <v>8.3333333333333329E-2</v>
      </c>
      <c r="T43" s="40">
        <v>0.14513888888888887</v>
      </c>
      <c r="U43" s="292"/>
      <c r="V43" s="302">
        <f t="shared" ref="V43:V49" si="29">(T43-S43)*24*60</f>
        <v>88.999999999999972</v>
      </c>
      <c r="W43" s="28">
        <f>T43</f>
        <v>0.14513888888888887</v>
      </c>
      <c r="X43" s="28">
        <f>S44</f>
        <v>0.16527777777777777</v>
      </c>
      <c r="Y43" s="28"/>
      <c r="Z43" s="28"/>
      <c r="AA43" s="491"/>
      <c r="AB43" s="491"/>
      <c r="AC43" s="154">
        <v>8</v>
      </c>
      <c r="AD43" s="25"/>
      <c r="AE43" s="19">
        <f t="shared" si="8"/>
        <v>-107.86516853932517</v>
      </c>
      <c r="AF43" s="295">
        <f t="shared" si="9"/>
        <v>0.95505617977528123</v>
      </c>
      <c r="AG43" s="489">
        <f>AF50</f>
        <v>0.95769532283022218</v>
      </c>
    </row>
    <row r="44" spans="1:33" ht="15.75" customHeight="1">
      <c r="A44" s="516" t="s">
        <v>61</v>
      </c>
      <c r="B44" s="42" t="s">
        <v>80</v>
      </c>
      <c r="C44" s="490" t="s">
        <v>88</v>
      </c>
      <c r="D44" s="490"/>
      <c r="E44" s="42">
        <v>26.18</v>
      </c>
      <c r="F44" s="303">
        <v>2144</v>
      </c>
      <c r="G44" s="292">
        <f t="shared" si="27"/>
        <v>56129.919999999998</v>
      </c>
      <c r="H44" s="304" t="s">
        <v>79</v>
      </c>
      <c r="I44" s="301">
        <v>19</v>
      </c>
      <c r="J44" s="37">
        <v>2400</v>
      </c>
      <c r="K44" s="17">
        <f t="shared" si="1"/>
        <v>126.31578947368421</v>
      </c>
      <c r="L44" s="301">
        <v>19</v>
      </c>
      <c r="M44" s="18">
        <f t="shared" si="28"/>
        <v>2297.1428571428569</v>
      </c>
      <c r="N44" s="17">
        <f t="shared" si="3"/>
        <v>120.90225563909773</v>
      </c>
      <c r="O44" s="19">
        <f t="shared" si="4"/>
        <v>0</v>
      </c>
      <c r="P44" s="20">
        <f t="shared" si="5"/>
        <v>-5.4135338345864739</v>
      </c>
      <c r="Q44" s="295">
        <f t="shared" si="6"/>
        <v>0.95714285714285707</v>
      </c>
      <c r="R44" s="489"/>
      <c r="S44" s="40">
        <v>0.16527777777777777</v>
      </c>
      <c r="T44" s="40">
        <v>0.20416666666666666</v>
      </c>
      <c r="U44" s="292">
        <f t="shared" ref="U44:U49" si="30">(S44-T43)*24*60</f>
        <v>29.000000000000018</v>
      </c>
      <c r="V44" s="302">
        <f t="shared" si="29"/>
        <v>56</v>
      </c>
      <c r="W44" s="292"/>
      <c r="X44" s="292"/>
      <c r="Y44" s="292"/>
      <c r="Z44" s="292"/>
      <c r="AA44" s="491"/>
      <c r="AB44" s="491"/>
      <c r="AC44" s="154"/>
      <c r="AD44" s="25"/>
      <c r="AE44" s="19">
        <f t="shared" si="8"/>
        <v>-102.85714285714312</v>
      </c>
      <c r="AF44" s="295">
        <f t="shared" si="9"/>
        <v>0.95714285714285707</v>
      </c>
      <c r="AG44" s="489"/>
    </row>
    <row r="45" spans="1:33">
      <c r="A45" s="517" t="s">
        <v>1714</v>
      </c>
      <c r="B45" s="42" t="s">
        <v>80</v>
      </c>
      <c r="C45" s="490" t="s">
        <v>89</v>
      </c>
      <c r="D45" s="490"/>
      <c r="E45" s="42">
        <v>26.39</v>
      </c>
      <c r="F45" s="303">
        <v>5847</v>
      </c>
      <c r="G45" s="292">
        <f t="shared" si="27"/>
        <v>154302.33000000002</v>
      </c>
      <c r="H45" s="304" t="s">
        <v>79</v>
      </c>
      <c r="I45" s="301">
        <v>19</v>
      </c>
      <c r="J45" s="37">
        <v>2400</v>
      </c>
      <c r="K45" s="17">
        <f t="shared" si="1"/>
        <v>126.31578947368421</v>
      </c>
      <c r="L45" s="301">
        <v>19</v>
      </c>
      <c r="M45" s="18">
        <f t="shared" si="28"/>
        <v>2292.9411764705883</v>
      </c>
      <c r="N45" s="17">
        <f t="shared" si="3"/>
        <v>120.6811145510836</v>
      </c>
      <c r="O45" s="19">
        <f t="shared" si="4"/>
        <v>0</v>
      </c>
      <c r="P45" s="20">
        <f t="shared" si="5"/>
        <v>-5.6346749226006096</v>
      </c>
      <c r="Q45" s="295">
        <f t="shared" si="6"/>
        <v>0.95539215686274515</v>
      </c>
      <c r="R45" s="489"/>
      <c r="S45" s="40">
        <v>0.20833333333333334</v>
      </c>
      <c r="T45" s="40">
        <v>0.31458333333333333</v>
      </c>
      <c r="U45" s="292">
        <f t="shared" si="30"/>
        <v>6.0000000000000187</v>
      </c>
      <c r="V45" s="302">
        <f t="shared" si="29"/>
        <v>153</v>
      </c>
      <c r="W45" s="292"/>
      <c r="X45" s="292"/>
      <c r="Y45" s="292"/>
      <c r="Z45" s="292"/>
      <c r="AA45" s="491"/>
      <c r="AB45" s="491"/>
      <c r="AC45" s="154"/>
      <c r="AD45" s="25"/>
      <c r="AE45" s="19">
        <f t="shared" si="8"/>
        <v>-107.05882352941171</v>
      </c>
      <c r="AF45" s="295">
        <f t="shared" si="9"/>
        <v>0.95539215686274515</v>
      </c>
      <c r="AG45" s="489"/>
    </row>
    <row r="46" spans="1:33">
      <c r="A46" s="517" t="s">
        <v>1715</v>
      </c>
      <c r="B46" s="42" t="s">
        <v>80</v>
      </c>
      <c r="C46" s="490" t="s">
        <v>90</v>
      </c>
      <c r="D46" s="490"/>
      <c r="E46" s="42">
        <v>22.69</v>
      </c>
      <c r="F46" s="303">
        <v>1899</v>
      </c>
      <c r="G46" s="292">
        <f t="shared" si="27"/>
        <v>43088.310000000005</v>
      </c>
      <c r="H46" s="304" t="s">
        <v>79</v>
      </c>
      <c r="I46" s="301">
        <v>15</v>
      </c>
      <c r="J46" s="37">
        <v>2400</v>
      </c>
      <c r="K46" s="17">
        <f t="shared" si="1"/>
        <v>160</v>
      </c>
      <c r="L46" s="301">
        <v>15</v>
      </c>
      <c r="M46" s="18">
        <f t="shared" si="28"/>
        <v>2325.3061224489802</v>
      </c>
      <c r="N46" s="17">
        <f t="shared" si="3"/>
        <v>155.02040816326536</v>
      </c>
      <c r="O46" s="19">
        <f t="shared" si="4"/>
        <v>0</v>
      </c>
      <c r="P46" s="20">
        <f t="shared" si="5"/>
        <v>-4.9795918367346417</v>
      </c>
      <c r="Q46" s="295">
        <f t="shared" si="6"/>
        <v>0.96887755102040851</v>
      </c>
      <c r="R46" s="489"/>
      <c r="S46" s="40">
        <v>0.31874999999999998</v>
      </c>
      <c r="T46" s="40">
        <v>0.35277777777777775</v>
      </c>
      <c r="U46" s="292">
        <f t="shared" si="30"/>
        <v>5.9999999999999787</v>
      </c>
      <c r="V46" s="302">
        <f t="shared" si="29"/>
        <v>48.999999999999986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-74.693877551019796</v>
      </c>
      <c r="AF46" s="295">
        <f t="shared" si="9"/>
        <v>0.9688775510204084</v>
      </c>
      <c r="AG46" s="489"/>
    </row>
    <row r="47" spans="1:33">
      <c r="A47" s="517" t="s">
        <v>1716</v>
      </c>
      <c r="B47" s="42" t="s">
        <v>80</v>
      </c>
      <c r="C47" s="490" t="s">
        <v>91</v>
      </c>
      <c r="D47" s="490"/>
      <c r="E47" s="42">
        <v>24.45</v>
      </c>
      <c r="F47" s="303">
        <v>2445</v>
      </c>
      <c r="G47" s="292">
        <f t="shared" si="27"/>
        <v>59780.25</v>
      </c>
      <c r="H47" s="304" t="s">
        <v>79</v>
      </c>
      <c r="I47" s="301">
        <v>20</v>
      </c>
      <c r="J47" s="37">
        <v>2400</v>
      </c>
      <c r="K47" s="17">
        <f t="shared" si="1"/>
        <v>120</v>
      </c>
      <c r="L47" s="301">
        <v>20</v>
      </c>
      <c r="M47" s="18">
        <f t="shared" si="28"/>
        <v>2292.1874999999995</v>
      </c>
      <c r="N47" s="17">
        <f t="shared" si="3"/>
        <v>114.60937499999997</v>
      </c>
      <c r="O47" s="19">
        <f t="shared" si="4"/>
        <v>0</v>
      </c>
      <c r="P47" s="20">
        <f t="shared" si="5"/>
        <v>-5.3906250000000284</v>
      </c>
      <c r="Q47" s="295">
        <f t="shared" si="6"/>
        <v>0.95507812499999978</v>
      </c>
      <c r="R47" s="489"/>
      <c r="S47" s="40">
        <v>0.35624999999999996</v>
      </c>
      <c r="T47" s="40">
        <v>0.40069444444444441</v>
      </c>
      <c r="U47" s="292">
        <f t="shared" si="30"/>
        <v>4.9999999999999822</v>
      </c>
      <c r="V47" s="302">
        <f t="shared" si="29"/>
        <v>64.000000000000014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-107.81250000000045</v>
      </c>
      <c r="AF47" s="295">
        <f t="shared" si="9"/>
        <v>0.95507812499999978</v>
      </c>
      <c r="AG47" s="489"/>
    </row>
    <row r="48" spans="1:33">
      <c r="A48" s="517" t="s">
        <v>1717</v>
      </c>
      <c r="B48" s="42" t="s">
        <v>80</v>
      </c>
      <c r="C48" s="490" t="s">
        <v>1224</v>
      </c>
      <c r="D48" s="490"/>
      <c r="E48" s="42">
        <v>22.69</v>
      </c>
      <c r="F48" s="303">
        <v>6005</v>
      </c>
      <c r="G48" s="292">
        <f t="shared" si="27"/>
        <v>136253.45000000001</v>
      </c>
      <c r="H48" s="304" t="s">
        <v>79</v>
      </c>
      <c r="I48" s="301">
        <v>16</v>
      </c>
      <c r="J48" s="37">
        <v>2400</v>
      </c>
      <c r="K48" s="17">
        <f t="shared" si="1"/>
        <v>150</v>
      </c>
      <c r="L48" s="301">
        <v>16</v>
      </c>
      <c r="M48" s="18">
        <f t="shared" si="28"/>
        <v>2280.3797468354433</v>
      </c>
      <c r="N48" s="17">
        <f t="shared" si="3"/>
        <v>142.5237341772152</v>
      </c>
      <c r="O48" s="19">
        <f t="shared" si="4"/>
        <v>0</v>
      </c>
      <c r="P48" s="20">
        <f t="shared" si="5"/>
        <v>-7.4762658227847965</v>
      </c>
      <c r="Q48" s="295">
        <f t="shared" si="6"/>
        <v>0.95015822784810133</v>
      </c>
      <c r="R48" s="489"/>
      <c r="S48" s="40">
        <v>0.40486111111111106</v>
      </c>
      <c r="T48" s="40">
        <v>0.51458333333333328</v>
      </c>
      <c r="U48" s="292">
        <f t="shared" si="30"/>
        <v>5.9999999999999787</v>
      </c>
      <c r="V48" s="302">
        <f t="shared" si="29"/>
        <v>158</v>
      </c>
      <c r="W48" s="23">
        <f>T48</f>
        <v>0.51458333333333328</v>
      </c>
      <c r="X48" s="23">
        <f>S49</f>
        <v>0.55486111111111103</v>
      </c>
      <c r="Y48" s="23"/>
      <c r="Z48" s="23"/>
      <c r="AA48" s="491"/>
      <c r="AB48" s="491"/>
      <c r="AC48" s="154"/>
      <c r="AD48" s="25"/>
      <c r="AE48" s="19">
        <f t="shared" si="8"/>
        <v>-119.62025316455674</v>
      </c>
      <c r="AF48" s="295">
        <f t="shared" si="9"/>
        <v>0.95015822784810133</v>
      </c>
      <c r="AG48" s="489"/>
    </row>
    <row r="49" spans="1:33">
      <c r="A49" s="517" t="s">
        <v>1718</v>
      </c>
      <c r="B49" s="42" t="s">
        <v>80</v>
      </c>
      <c r="C49" s="490" t="s">
        <v>87</v>
      </c>
      <c r="D49" s="490"/>
      <c r="E49" s="42">
        <v>26.2</v>
      </c>
      <c r="F49" s="303">
        <v>2848</v>
      </c>
      <c r="G49" s="292">
        <f t="shared" si="27"/>
        <v>74617.599999999991</v>
      </c>
      <c r="H49" s="304" t="s">
        <v>79</v>
      </c>
      <c r="I49" s="301">
        <v>18</v>
      </c>
      <c r="J49" s="37">
        <v>2400</v>
      </c>
      <c r="K49" s="17">
        <f t="shared" si="1"/>
        <v>133.33333333333334</v>
      </c>
      <c r="L49" s="301">
        <v>18</v>
      </c>
      <c r="M49" s="18">
        <f t="shared" si="28"/>
        <v>2309.1891891891873</v>
      </c>
      <c r="N49" s="17">
        <f t="shared" si="3"/>
        <v>128.28828828828819</v>
      </c>
      <c r="O49" s="19">
        <f t="shared" si="4"/>
        <v>0</v>
      </c>
      <c r="P49" s="20">
        <f t="shared" si="5"/>
        <v>-5.0450450450451569</v>
      </c>
      <c r="Q49" s="295">
        <f t="shared" si="6"/>
        <v>0.96216216216216133</v>
      </c>
      <c r="R49" s="489"/>
      <c r="S49" s="40">
        <v>0.55486111111111103</v>
      </c>
      <c r="T49" s="40">
        <v>0.60624999999999996</v>
      </c>
      <c r="U49" s="292">
        <f t="shared" si="30"/>
        <v>57.999999999999957</v>
      </c>
      <c r="V49" s="302">
        <f t="shared" si="29"/>
        <v>74.000000000000057</v>
      </c>
      <c r="W49" s="23"/>
      <c r="X49" s="23"/>
      <c r="Y49" s="26"/>
      <c r="Z49" s="26"/>
      <c r="AA49" s="503"/>
      <c r="AB49" s="504"/>
      <c r="AC49" s="154"/>
      <c r="AD49" s="25"/>
      <c r="AE49" s="19">
        <f t="shared" si="8"/>
        <v>-90.810810810812654</v>
      </c>
      <c r="AF49" s="295">
        <f t="shared" si="9"/>
        <v>0.96216216216216144</v>
      </c>
      <c r="AG49" s="489"/>
    </row>
    <row r="50" spans="1:33">
      <c r="A50" s="517" t="s">
        <v>1719</v>
      </c>
      <c r="B50" s="44" t="s">
        <v>1720</v>
      </c>
      <c r="C50" s="494"/>
      <c r="D50" s="494"/>
      <c r="E50" s="296"/>
      <c r="F50" s="44"/>
      <c r="G50" s="17"/>
      <c r="H50" s="303"/>
      <c r="I50" s="30">
        <v>17.857142857142858</v>
      </c>
      <c r="J50" s="37">
        <v>2400</v>
      </c>
      <c r="K50" s="17">
        <f t="shared" si="1"/>
        <v>134.4</v>
      </c>
      <c r="L50" s="30">
        <v>17.857142857142858</v>
      </c>
      <c r="M50" s="18">
        <f>AVERAGE(M43:M49)</f>
        <v>2298.4687747925332</v>
      </c>
      <c r="N50" s="17">
        <f t="shared" si="3"/>
        <v>128.71425138838185</v>
      </c>
      <c r="O50" s="19">
        <f t="shared" si="4"/>
        <v>0</v>
      </c>
      <c r="P50" s="20">
        <f t="shared" si="5"/>
        <v>-5.6857486116181519</v>
      </c>
      <c r="Q50" s="295">
        <f t="shared" si="6"/>
        <v>0.95769532283022207</v>
      </c>
      <c r="R50" s="489"/>
      <c r="S50" s="40"/>
      <c r="T50" s="40"/>
      <c r="U50" s="17"/>
      <c r="V50" s="302"/>
      <c r="W50" s="17"/>
      <c r="X50" s="17"/>
      <c r="Y50" s="31">
        <f>SUM(Y43:Y49)</f>
        <v>0</v>
      </c>
      <c r="Z50" s="31">
        <f>SUM(Z43:Z49)</f>
        <v>0</v>
      </c>
      <c r="AA50" s="495"/>
      <c r="AB50" s="495"/>
      <c r="AC50" s="31">
        <v>8</v>
      </c>
      <c r="AD50" s="31">
        <f>SUM(AD43:AD49)</f>
        <v>0</v>
      </c>
      <c r="AE50" s="19">
        <f t="shared" si="8"/>
        <v>-101.53122520746683</v>
      </c>
      <c r="AF50" s="295">
        <f t="shared" si="9"/>
        <v>0.95769532283022218</v>
      </c>
      <c r="AG50" s="489"/>
    </row>
    <row r="51" spans="1:33" ht="15.75" customHeight="1">
      <c r="A51" s="512" t="s">
        <v>65</v>
      </c>
      <c r="B51" s="42" t="s">
        <v>93</v>
      </c>
      <c r="C51" s="501" t="s">
        <v>94</v>
      </c>
      <c r="D51" s="502"/>
      <c r="E51" s="42">
        <v>21.13</v>
      </c>
      <c r="F51" s="303">
        <v>5465</v>
      </c>
      <c r="G51" s="292">
        <f t="shared" ref="G51:G58" si="31">E51*F51</f>
        <v>115475.45</v>
      </c>
      <c r="H51" s="304" t="s">
        <v>79</v>
      </c>
      <c r="I51" s="301">
        <v>10</v>
      </c>
      <c r="J51" s="37">
        <v>3000</v>
      </c>
      <c r="K51" s="17">
        <f t="shared" si="1"/>
        <v>300</v>
      </c>
      <c r="L51" s="301">
        <v>10</v>
      </c>
      <c r="M51" s="18">
        <f t="shared" ref="M51:M58" si="32">F51/V51*60</f>
        <v>2851.3043478260865</v>
      </c>
      <c r="N51" s="18">
        <f t="shared" si="3"/>
        <v>285.13043478260863</v>
      </c>
      <c r="O51" s="19">
        <f t="shared" si="4"/>
        <v>0</v>
      </c>
      <c r="P51" s="20">
        <f t="shared" si="5"/>
        <v>-14.869565217391369</v>
      </c>
      <c r="Q51" s="295">
        <f t="shared" si="6"/>
        <v>0.95043478260869541</v>
      </c>
      <c r="R51" s="509">
        <f>Q59</f>
        <v>0.95551102506755226</v>
      </c>
      <c r="S51" s="40">
        <v>8.3333333333333329E-2</v>
      </c>
      <c r="T51" s="40">
        <v>0.16319444444444445</v>
      </c>
      <c r="U51" s="28"/>
      <c r="V51" s="302">
        <f t="shared" ref="V51:V58" si="33">(T51-S51)*24*60</f>
        <v>115.00000000000001</v>
      </c>
      <c r="W51" s="23">
        <f>T51</f>
        <v>0.16319444444444445</v>
      </c>
      <c r="X51" s="23">
        <f>S52</f>
        <v>0.18194444444444446</v>
      </c>
      <c r="Y51" s="26"/>
      <c r="Z51" s="26"/>
      <c r="AA51" s="503"/>
      <c r="AB51" s="504"/>
      <c r="AC51" s="154">
        <v>1</v>
      </c>
      <c r="AD51" s="25"/>
      <c r="AE51" s="19">
        <f t="shared" si="8"/>
        <v>-148.69565217391346</v>
      </c>
      <c r="AF51" s="295">
        <f t="shared" si="9"/>
        <v>0.95043478260869552</v>
      </c>
      <c r="AG51" s="509">
        <f>AF59</f>
        <v>0.95551102506755237</v>
      </c>
    </row>
    <row r="52" spans="1:33" ht="15.75" customHeight="1">
      <c r="A52" s="513" t="s">
        <v>1721</v>
      </c>
      <c r="B52" s="42" t="s">
        <v>93</v>
      </c>
      <c r="C52" s="501" t="s">
        <v>95</v>
      </c>
      <c r="D52" s="502"/>
      <c r="E52" s="42">
        <v>27.17</v>
      </c>
      <c r="F52" s="303">
        <v>4800</v>
      </c>
      <c r="G52" s="292">
        <f t="shared" si="31"/>
        <v>130416.00000000001</v>
      </c>
      <c r="H52" s="304">
        <v>2</v>
      </c>
      <c r="I52" s="301">
        <v>10</v>
      </c>
      <c r="J52" s="37">
        <v>3000</v>
      </c>
      <c r="K52" s="17">
        <f t="shared" si="1"/>
        <v>300</v>
      </c>
      <c r="L52" s="301">
        <v>10</v>
      </c>
      <c r="M52" s="18">
        <f t="shared" si="32"/>
        <v>2880.0000000000009</v>
      </c>
      <c r="N52" s="18">
        <f t="shared" si="3"/>
        <v>288.00000000000011</v>
      </c>
      <c r="O52" s="19">
        <f t="shared" si="4"/>
        <v>0</v>
      </c>
      <c r="P52" s="20">
        <f t="shared" si="5"/>
        <v>-11.999999999999886</v>
      </c>
      <c r="Q52" s="295">
        <f t="shared" si="6"/>
        <v>0.96000000000000041</v>
      </c>
      <c r="R52" s="510"/>
      <c r="S52" s="40">
        <v>0.18194444444444446</v>
      </c>
      <c r="T52" s="40">
        <v>0.25138888888888888</v>
      </c>
      <c r="U52" s="292">
        <f t="shared" ref="U52:U58" si="34">(S52-T51)*24*60</f>
        <v>27.000000000000025</v>
      </c>
      <c r="V52" s="302">
        <f t="shared" si="33"/>
        <v>99.999999999999972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-119.99999999999909</v>
      </c>
      <c r="AF52" s="295">
        <f t="shared" si="9"/>
        <v>0.9600000000000003</v>
      </c>
      <c r="AG52" s="510"/>
    </row>
    <row r="53" spans="1:33" ht="15.75" customHeight="1">
      <c r="A53" s="513" t="s">
        <v>65</v>
      </c>
      <c r="B53" s="42" t="s">
        <v>93</v>
      </c>
      <c r="C53" s="501" t="s">
        <v>96</v>
      </c>
      <c r="D53" s="502"/>
      <c r="E53" s="42">
        <v>35.119999999999997</v>
      </c>
      <c r="F53" s="303">
        <v>5718</v>
      </c>
      <c r="G53" s="292">
        <f t="shared" si="31"/>
        <v>200816.15999999997</v>
      </c>
      <c r="H53" s="304" t="s">
        <v>79</v>
      </c>
      <c r="I53" s="301">
        <v>10</v>
      </c>
      <c r="J53" s="37">
        <v>3000</v>
      </c>
      <c r="K53" s="17">
        <f t="shared" si="1"/>
        <v>300</v>
      </c>
      <c r="L53" s="301">
        <v>10</v>
      </c>
      <c r="M53" s="18">
        <f t="shared" si="32"/>
        <v>2859.0000000000009</v>
      </c>
      <c r="N53" s="18">
        <f t="shared" si="3"/>
        <v>285.90000000000009</v>
      </c>
      <c r="O53" s="19">
        <f t="shared" si="4"/>
        <v>0</v>
      </c>
      <c r="P53" s="20">
        <f t="shared" si="5"/>
        <v>-14.099999999999909</v>
      </c>
      <c r="Q53" s="295">
        <f t="shared" si="6"/>
        <v>0.95300000000000029</v>
      </c>
      <c r="R53" s="510"/>
      <c r="S53" s="40">
        <v>0.25624999999999998</v>
      </c>
      <c r="T53" s="40">
        <v>0.33958333333333329</v>
      </c>
      <c r="U53" s="292">
        <f t="shared" si="34"/>
        <v>6.9999999999999751</v>
      </c>
      <c r="V53" s="302">
        <f t="shared" si="33"/>
        <v>119.99999999999997</v>
      </c>
      <c r="W53" s="23"/>
      <c r="X53" s="23"/>
      <c r="Y53" s="26"/>
      <c r="Z53" s="26"/>
      <c r="AA53" s="503"/>
      <c r="AB53" s="504"/>
      <c r="AC53" s="154">
        <v>1</v>
      </c>
      <c r="AD53" s="25"/>
      <c r="AE53" s="19">
        <f t="shared" si="8"/>
        <v>-140.99999999999909</v>
      </c>
      <c r="AF53" s="295">
        <f t="shared" si="9"/>
        <v>0.95300000000000029</v>
      </c>
      <c r="AG53" s="510"/>
    </row>
    <row r="54" spans="1:33" ht="15.75" customHeight="1">
      <c r="A54" s="513" t="s">
        <v>1721</v>
      </c>
      <c r="B54" s="42" t="s">
        <v>93</v>
      </c>
      <c r="C54" s="501" t="s">
        <v>110</v>
      </c>
      <c r="D54" s="502"/>
      <c r="E54" s="42">
        <v>26.78</v>
      </c>
      <c r="F54" s="303">
        <v>2858</v>
      </c>
      <c r="G54" s="292">
        <f t="shared" si="31"/>
        <v>76537.240000000005</v>
      </c>
      <c r="H54" s="304" t="s">
        <v>79</v>
      </c>
      <c r="I54" s="301">
        <v>10</v>
      </c>
      <c r="J54" s="37">
        <v>3000</v>
      </c>
      <c r="K54" s="17">
        <f t="shared" si="1"/>
        <v>300</v>
      </c>
      <c r="L54" s="301">
        <v>10</v>
      </c>
      <c r="M54" s="18">
        <f t="shared" si="32"/>
        <v>2857.9999999999986</v>
      </c>
      <c r="N54" s="18">
        <f t="shared" si="3"/>
        <v>285.79999999999984</v>
      </c>
      <c r="O54" s="19">
        <f t="shared" si="4"/>
        <v>0</v>
      </c>
      <c r="P54" s="20">
        <f t="shared" si="5"/>
        <v>-14.200000000000159</v>
      </c>
      <c r="Q54" s="295">
        <f t="shared" si="6"/>
        <v>0.95266666666666611</v>
      </c>
      <c r="R54" s="510"/>
      <c r="S54" s="40">
        <v>0.3430555555555555</v>
      </c>
      <c r="T54" s="40">
        <v>0.38472222222222219</v>
      </c>
      <c r="U54" s="292">
        <f t="shared" si="34"/>
        <v>4.9999999999999822</v>
      </c>
      <c r="V54" s="302">
        <f t="shared" si="33"/>
        <v>60.000000000000028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-142.00000000000136</v>
      </c>
      <c r="AF54" s="295">
        <f t="shared" si="9"/>
        <v>0.95266666666666622</v>
      </c>
      <c r="AG54" s="510"/>
    </row>
    <row r="55" spans="1:33" ht="15.75" customHeight="1">
      <c r="A55" s="513" t="s">
        <v>65</v>
      </c>
      <c r="B55" s="42" t="s">
        <v>93</v>
      </c>
      <c r="C55" s="501" t="s">
        <v>99</v>
      </c>
      <c r="D55" s="502"/>
      <c r="E55" s="42">
        <v>32.020000000000003</v>
      </c>
      <c r="F55" s="303">
        <v>2531</v>
      </c>
      <c r="G55" s="292">
        <f t="shared" si="31"/>
        <v>81042.62000000001</v>
      </c>
      <c r="H55" s="304" t="s">
        <v>79</v>
      </c>
      <c r="I55" s="301">
        <v>11</v>
      </c>
      <c r="J55" s="37">
        <v>3000</v>
      </c>
      <c r="K55" s="17">
        <f t="shared" si="1"/>
        <v>272.72727272727275</v>
      </c>
      <c r="L55" s="301">
        <v>11</v>
      </c>
      <c r="M55" s="18">
        <f t="shared" si="32"/>
        <v>2865.2830188679259</v>
      </c>
      <c r="N55" s="18">
        <f t="shared" si="3"/>
        <v>260.4802744425387</v>
      </c>
      <c r="O55" s="19">
        <f t="shared" si="4"/>
        <v>0</v>
      </c>
      <c r="P55" s="20">
        <f t="shared" si="5"/>
        <v>-12.246998284734048</v>
      </c>
      <c r="Q55" s="295">
        <f t="shared" si="6"/>
        <v>0.95509433962264179</v>
      </c>
      <c r="R55" s="510"/>
      <c r="S55" s="40">
        <v>0.38888888888888884</v>
      </c>
      <c r="T55" s="40">
        <v>0.42569444444444438</v>
      </c>
      <c r="U55" s="292">
        <f t="shared" si="34"/>
        <v>5.9999999999999787</v>
      </c>
      <c r="V55" s="302">
        <f t="shared" si="33"/>
        <v>52.999999999999972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-134.71698113207412</v>
      </c>
      <c r="AF55" s="295">
        <f t="shared" si="9"/>
        <v>0.95509433962264201</v>
      </c>
      <c r="AG55" s="510"/>
    </row>
    <row r="56" spans="1:33" ht="15.75" customHeight="1">
      <c r="A56" s="513" t="s">
        <v>65</v>
      </c>
      <c r="B56" s="42" t="s">
        <v>93</v>
      </c>
      <c r="C56" s="501" t="s">
        <v>112</v>
      </c>
      <c r="D56" s="502"/>
      <c r="E56" s="42">
        <v>35.869999999999997</v>
      </c>
      <c r="F56" s="303">
        <v>3541</v>
      </c>
      <c r="G56" s="292">
        <f t="shared" si="31"/>
        <v>127015.66999999998</v>
      </c>
      <c r="H56" s="304" t="s">
        <v>79</v>
      </c>
      <c r="I56" s="301">
        <v>9</v>
      </c>
      <c r="J56" s="37">
        <v>3000</v>
      </c>
      <c r="K56" s="17">
        <f t="shared" si="1"/>
        <v>333.33333333333331</v>
      </c>
      <c r="L56" s="301">
        <v>9</v>
      </c>
      <c r="M56" s="18">
        <f t="shared" si="32"/>
        <v>2871.0810810810822</v>
      </c>
      <c r="N56" s="18">
        <f t="shared" si="3"/>
        <v>319.00900900900911</v>
      </c>
      <c r="O56" s="19">
        <f t="shared" si="4"/>
        <v>0</v>
      </c>
      <c r="P56" s="20">
        <f t="shared" si="5"/>
        <v>-14.324324324324209</v>
      </c>
      <c r="Q56" s="295">
        <f t="shared" si="6"/>
        <v>0.95702702702702735</v>
      </c>
      <c r="R56" s="510"/>
      <c r="S56" s="40">
        <v>0.42986111111111103</v>
      </c>
      <c r="T56" s="40">
        <v>0.4812499999999999</v>
      </c>
      <c r="U56" s="292">
        <f t="shared" si="34"/>
        <v>5.9999999999999787</v>
      </c>
      <c r="V56" s="302">
        <f t="shared" si="33"/>
        <v>73.999999999999972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-128.91891891891783</v>
      </c>
      <c r="AF56" s="295">
        <f t="shared" si="9"/>
        <v>0.95702702702702735</v>
      </c>
      <c r="AG56" s="510"/>
    </row>
    <row r="57" spans="1:33" ht="15.75" customHeight="1">
      <c r="A57" s="513" t="s">
        <v>1722</v>
      </c>
      <c r="B57" s="42" t="s">
        <v>93</v>
      </c>
      <c r="C57" s="501" t="s">
        <v>113</v>
      </c>
      <c r="D57" s="502"/>
      <c r="E57" s="42">
        <v>34.36</v>
      </c>
      <c r="F57" s="303">
        <v>1881</v>
      </c>
      <c r="G57" s="292">
        <f t="shared" si="31"/>
        <v>64631.159999999996</v>
      </c>
      <c r="H57" s="304" t="s">
        <v>79</v>
      </c>
      <c r="I57" s="301">
        <v>10</v>
      </c>
      <c r="J57" s="37">
        <v>3000</v>
      </c>
      <c r="K57" s="17">
        <f t="shared" si="1"/>
        <v>300</v>
      </c>
      <c r="L57" s="301">
        <v>10</v>
      </c>
      <c r="M57" s="18">
        <f t="shared" si="32"/>
        <v>2893.8461538461584</v>
      </c>
      <c r="N57" s="18">
        <f t="shared" si="3"/>
        <v>289.38461538461581</v>
      </c>
      <c r="O57" s="19">
        <f t="shared" si="4"/>
        <v>0</v>
      </c>
      <c r="P57" s="20">
        <f t="shared" si="5"/>
        <v>-10.615384615384187</v>
      </c>
      <c r="Q57" s="295">
        <f t="shared" si="6"/>
        <v>0.9646153846153861</v>
      </c>
      <c r="R57" s="510"/>
      <c r="S57" s="40">
        <v>0.48680555555555544</v>
      </c>
      <c r="T57" s="40">
        <v>0.51388888888888873</v>
      </c>
      <c r="U57" s="292">
        <f t="shared" si="34"/>
        <v>7.9999999999999716</v>
      </c>
      <c r="V57" s="302">
        <f t="shared" si="33"/>
        <v>38.999999999999943</v>
      </c>
      <c r="W57" s="23">
        <f>T57</f>
        <v>0.51388888888888873</v>
      </c>
      <c r="X57" s="23">
        <f>S58</f>
        <v>0.55347222222222203</v>
      </c>
      <c r="Y57" s="26"/>
      <c r="Z57" s="26"/>
      <c r="AA57" s="503"/>
      <c r="AB57" s="504"/>
      <c r="AC57" s="154" t="s">
        <v>79</v>
      </c>
      <c r="AD57" s="25"/>
      <c r="AE57" s="19">
        <f t="shared" si="8"/>
        <v>-106.15384615384164</v>
      </c>
      <c r="AF57" s="295">
        <f t="shared" si="9"/>
        <v>0.9646153846153861</v>
      </c>
      <c r="AG57" s="510"/>
    </row>
    <row r="58" spans="1:33" ht="15.75" customHeight="1">
      <c r="A58" s="513" t="s">
        <v>1723</v>
      </c>
      <c r="B58" s="42" t="s">
        <v>93</v>
      </c>
      <c r="C58" s="501" t="s">
        <v>95</v>
      </c>
      <c r="D58" s="502"/>
      <c r="E58" s="42">
        <v>27.17</v>
      </c>
      <c r="F58" s="303">
        <v>3044</v>
      </c>
      <c r="G58" s="292">
        <f t="shared" si="31"/>
        <v>82705.48000000001</v>
      </c>
      <c r="H58" s="304" t="s">
        <v>79</v>
      </c>
      <c r="I58" s="301">
        <v>10</v>
      </c>
      <c r="J58" s="37">
        <v>3000</v>
      </c>
      <c r="K58" s="17">
        <f t="shared" si="1"/>
        <v>300</v>
      </c>
      <c r="L58" s="301">
        <v>10</v>
      </c>
      <c r="M58" s="18">
        <f t="shared" si="32"/>
        <v>2853.7500000000032</v>
      </c>
      <c r="N58" s="18">
        <f t="shared" si="3"/>
        <v>285.37500000000034</v>
      </c>
      <c r="O58" s="19">
        <f t="shared" si="4"/>
        <v>0</v>
      </c>
      <c r="P58" s="20">
        <f t="shared" si="5"/>
        <v>-14.624999999999659</v>
      </c>
      <c r="Q58" s="295">
        <f t="shared" si="6"/>
        <v>0.95125000000000115</v>
      </c>
      <c r="R58" s="510"/>
      <c r="S58" s="40">
        <v>0.55347222222222203</v>
      </c>
      <c r="T58" s="40">
        <v>0.59791666666666643</v>
      </c>
      <c r="U58" s="292">
        <f t="shared" si="34"/>
        <v>56.999999999999957</v>
      </c>
      <c r="V58" s="302">
        <f t="shared" si="33"/>
        <v>63.999999999999929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-146.24999999999682</v>
      </c>
      <c r="AF58" s="295">
        <f t="shared" si="9"/>
        <v>0.95125000000000104</v>
      </c>
      <c r="AG58" s="510"/>
    </row>
    <row r="59" spans="1:33" ht="15.75" customHeight="1">
      <c r="A59" s="514" t="s">
        <v>65</v>
      </c>
      <c r="B59" s="42" t="s">
        <v>299</v>
      </c>
      <c r="C59" s="492"/>
      <c r="D59" s="493"/>
      <c r="E59" s="293"/>
      <c r="F59" s="303"/>
      <c r="G59" s="292"/>
      <c r="H59" s="303"/>
      <c r="I59" s="30">
        <v>10</v>
      </c>
      <c r="J59" s="37">
        <v>3000</v>
      </c>
      <c r="K59" s="17">
        <f t="shared" si="1"/>
        <v>300</v>
      </c>
      <c r="L59" s="30">
        <v>10</v>
      </c>
      <c r="M59" s="18">
        <f>AVERAGE(M51:M58)</f>
        <v>2866.5330752026571</v>
      </c>
      <c r="N59" s="17">
        <f t="shared" si="3"/>
        <v>286.65330752026568</v>
      </c>
      <c r="O59" s="19">
        <f t="shared" si="4"/>
        <v>0</v>
      </c>
      <c r="P59" s="20">
        <f t="shared" si="5"/>
        <v>-13.346692479734315</v>
      </c>
      <c r="Q59" s="295">
        <f t="shared" si="6"/>
        <v>0.95551102506755226</v>
      </c>
      <c r="R59" s="511"/>
      <c r="S59" s="40"/>
      <c r="T59" s="40"/>
      <c r="U59" s="292"/>
      <c r="V59" s="302"/>
      <c r="W59" s="23"/>
      <c r="X59" s="23"/>
      <c r="Y59" s="31">
        <f>SUM(Y51:Y58)</f>
        <v>0</v>
      </c>
      <c r="Z59" s="31">
        <f>SUM(Z51:Z58)</f>
        <v>0</v>
      </c>
      <c r="AA59" s="505"/>
      <c r="AB59" s="506"/>
      <c r="AC59" s="31">
        <v>2</v>
      </c>
      <c r="AD59" s="31">
        <f>SUM(AD51:AD58)</f>
        <v>0</v>
      </c>
      <c r="AE59" s="19">
        <f t="shared" si="8"/>
        <v>-133.46692479734293</v>
      </c>
      <c r="AF59" s="295">
        <f t="shared" si="9"/>
        <v>0.95551102506755237</v>
      </c>
      <c r="AG59" s="511"/>
    </row>
    <row r="60" spans="1:33" ht="15.75" customHeight="1">
      <c r="A60" s="507" t="s">
        <v>67</v>
      </c>
      <c r="B60" s="42" t="s">
        <v>100</v>
      </c>
      <c r="C60" s="490" t="s">
        <v>101</v>
      </c>
      <c r="D60" s="490"/>
      <c r="E60" s="42">
        <v>46</v>
      </c>
      <c r="F60" s="46">
        <v>1708</v>
      </c>
      <c r="G60" s="292">
        <f t="shared" ref="G60:G67" si="35">E60*F60</f>
        <v>78568</v>
      </c>
      <c r="H60" s="304" t="s">
        <v>79</v>
      </c>
      <c r="I60" s="301">
        <v>17</v>
      </c>
      <c r="J60" s="37">
        <v>2000</v>
      </c>
      <c r="K60" s="17">
        <f t="shared" si="1"/>
        <v>117.64705882352941</v>
      </c>
      <c r="L60" s="301">
        <v>17</v>
      </c>
      <c r="M60" s="18">
        <f t="shared" ref="M60:M67" si="36">F60/V60*60</f>
        <v>1933.584905660377</v>
      </c>
      <c r="N60" s="18">
        <f t="shared" si="3"/>
        <v>113.74028856825747</v>
      </c>
      <c r="O60" s="19">
        <f t="shared" si="4"/>
        <v>0</v>
      </c>
      <c r="P60" s="20">
        <f t="shared" si="5"/>
        <v>-3.9067702552719368</v>
      </c>
      <c r="Q60" s="295">
        <f t="shared" si="6"/>
        <v>0.96679245283018855</v>
      </c>
      <c r="R60" s="489">
        <f>Q68</f>
        <v>0.92827046480165698</v>
      </c>
      <c r="S60" s="40">
        <v>0.20833333333333334</v>
      </c>
      <c r="T60" s="40">
        <v>0.24513888888888891</v>
      </c>
      <c r="U60" s="28"/>
      <c r="V60" s="302">
        <f t="shared" ref="V60:V67" si="37">(T60-S60)*24*60</f>
        <v>53.000000000000014</v>
      </c>
      <c r="W60" s="28"/>
      <c r="X60" s="28"/>
      <c r="Y60" s="28"/>
      <c r="Z60" s="28"/>
      <c r="AA60" s="491"/>
      <c r="AB60" s="491"/>
      <c r="AC60" s="154">
        <v>5</v>
      </c>
      <c r="AD60" s="25"/>
      <c r="AE60" s="19">
        <f t="shared" si="8"/>
        <v>-66.41509433962301</v>
      </c>
      <c r="AF60" s="295">
        <f t="shared" si="9"/>
        <v>0.96679245283018844</v>
      </c>
      <c r="AG60" s="489">
        <f>AF68</f>
        <v>0.92827046480165698</v>
      </c>
    </row>
    <row r="61" spans="1:33" ht="15.75" customHeight="1">
      <c r="A61" s="507" t="s">
        <v>1724</v>
      </c>
      <c r="B61" s="42" t="s">
        <v>100</v>
      </c>
      <c r="C61" s="490" t="s">
        <v>102</v>
      </c>
      <c r="D61" s="490"/>
      <c r="E61" s="42">
        <v>46</v>
      </c>
      <c r="F61" s="46">
        <v>1844</v>
      </c>
      <c r="G61" s="292">
        <f t="shared" si="35"/>
        <v>84824</v>
      </c>
      <c r="H61" s="304" t="s">
        <v>79</v>
      </c>
      <c r="I61" s="301">
        <v>17</v>
      </c>
      <c r="J61" s="37">
        <v>2000</v>
      </c>
      <c r="K61" s="17">
        <f t="shared" si="1"/>
        <v>117.64705882352941</v>
      </c>
      <c r="L61" s="301">
        <v>17</v>
      </c>
      <c r="M61" s="18">
        <f t="shared" si="36"/>
        <v>1907.5862068965519</v>
      </c>
      <c r="N61" s="18">
        <f t="shared" si="3"/>
        <v>112.21095334685599</v>
      </c>
      <c r="O61" s="19">
        <f t="shared" si="4"/>
        <v>0</v>
      </c>
      <c r="P61" s="20">
        <f t="shared" si="5"/>
        <v>-5.4361054766734185</v>
      </c>
      <c r="Q61" s="295">
        <f t="shared" si="6"/>
        <v>0.95379310344827595</v>
      </c>
      <c r="R61" s="489"/>
      <c r="S61" s="40">
        <v>0.24930555555555559</v>
      </c>
      <c r="T61" s="40">
        <v>0.28958333333333336</v>
      </c>
      <c r="U61" s="292">
        <f t="shared" ref="U61:U67" si="38">IF(S61=TIME(17,0,0),"",(S61-T60)*24*60)</f>
        <v>6.0000000000000187</v>
      </c>
      <c r="V61" s="302">
        <f t="shared" si="37"/>
        <v>57.999999999999993</v>
      </c>
      <c r="W61" s="23"/>
      <c r="X61" s="23"/>
      <c r="Y61" s="23"/>
      <c r="Z61" s="23"/>
      <c r="AA61" s="491"/>
      <c r="AB61" s="491"/>
      <c r="AC61" s="154"/>
      <c r="AD61" s="25"/>
      <c r="AE61" s="19">
        <f t="shared" si="8"/>
        <v>-92.413793103448143</v>
      </c>
      <c r="AF61" s="295">
        <f t="shared" si="9"/>
        <v>0.95379310344827595</v>
      </c>
      <c r="AG61" s="489"/>
    </row>
    <row r="62" spans="1:33" ht="15.75" customHeight="1">
      <c r="A62" s="507" t="s">
        <v>1725</v>
      </c>
      <c r="B62" s="42" t="s">
        <v>103</v>
      </c>
      <c r="C62" s="501" t="s">
        <v>105</v>
      </c>
      <c r="D62" s="502"/>
      <c r="E62" s="42">
        <v>56.43</v>
      </c>
      <c r="F62" s="46">
        <v>2175</v>
      </c>
      <c r="G62" s="292">
        <f t="shared" si="35"/>
        <v>122735.25</v>
      </c>
      <c r="H62" s="304" t="s">
        <v>79</v>
      </c>
      <c r="I62" s="301">
        <v>22</v>
      </c>
      <c r="J62" s="37">
        <v>2000</v>
      </c>
      <c r="K62" s="17">
        <f t="shared" si="1"/>
        <v>90.909090909090907</v>
      </c>
      <c r="L62" s="301">
        <v>22</v>
      </c>
      <c r="M62" s="18">
        <f t="shared" si="36"/>
        <v>1673.076923076924</v>
      </c>
      <c r="N62" s="18">
        <f t="shared" si="3"/>
        <v>76.048951048951096</v>
      </c>
      <c r="O62" s="19">
        <f t="shared" si="4"/>
        <v>0</v>
      </c>
      <c r="P62" s="20">
        <f t="shared" si="5"/>
        <v>-14.86013986013981</v>
      </c>
      <c r="Q62" s="295">
        <f t="shared" si="6"/>
        <v>0.83653846153846212</v>
      </c>
      <c r="R62" s="489"/>
      <c r="S62" s="40">
        <v>0.29305555555555557</v>
      </c>
      <c r="T62" s="40">
        <v>0.34722222222222221</v>
      </c>
      <c r="U62" s="292">
        <f t="shared" si="38"/>
        <v>4.9999999999999822</v>
      </c>
      <c r="V62" s="302">
        <f t="shared" si="37"/>
        <v>77.999999999999957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-326.923076923076</v>
      </c>
      <c r="AF62" s="295">
        <f t="shared" si="9"/>
        <v>0.83653846153846201</v>
      </c>
      <c r="AG62" s="489"/>
    </row>
    <row r="63" spans="1:33" ht="15.75" customHeight="1">
      <c r="A63" s="507" t="s">
        <v>1726</v>
      </c>
      <c r="B63" s="42" t="s">
        <v>103</v>
      </c>
      <c r="C63" s="297" t="s">
        <v>518</v>
      </c>
      <c r="D63" s="298"/>
      <c r="E63" s="42">
        <v>51.75</v>
      </c>
      <c r="F63" s="46">
        <v>2274</v>
      </c>
      <c r="G63" s="292">
        <f t="shared" si="35"/>
        <v>117679.5</v>
      </c>
      <c r="H63" s="304" t="s">
        <v>79</v>
      </c>
      <c r="I63" s="301">
        <v>25</v>
      </c>
      <c r="J63" s="37">
        <v>2000</v>
      </c>
      <c r="K63" s="17">
        <f t="shared" si="1"/>
        <v>80</v>
      </c>
      <c r="L63" s="301">
        <v>25</v>
      </c>
      <c r="M63" s="18">
        <f t="shared" si="36"/>
        <v>1663.9024390243897</v>
      </c>
      <c r="N63" s="18">
        <f t="shared" si="3"/>
        <v>66.556097560975587</v>
      </c>
      <c r="O63" s="19">
        <f t="shared" si="4"/>
        <v>0</v>
      </c>
      <c r="P63" s="20">
        <f t="shared" si="5"/>
        <v>-13.443902439024413</v>
      </c>
      <c r="Q63" s="295">
        <f t="shared" si="6"/>
        <v>0.83195121951219486</v>
      </c>
      <c r="R63" s="489"/>
      <c r="S63" s="40">
        <v>0.35138888888888886</v>
      </c>
      <c r="T63" s="40">
        <v>0.40833333333333333</v>
      </c>
      <c r="U63" s="292">
        <f t="shared" si="38"/>
        <v>5.9999999999999787</v>
      </c>
      <c r="V63" s="302">
        <f t="shared" si="37"/>
        <v>82.000000000000028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-336.09756097561035</v>
      </c>
      <c r="AF63" s="295">
        <f t="shared" si="9"/>
        <v>0.83195121951219486</v>
      </c>
      <c r="AG63" s="489"/>
    </row>
    <row r="64" spans="1:33" ht="15.75" customHeight="1">
      <c r="A64" s="507" t="s">
        <v>67</v>
      </c>
      <c r="B64" s="42" t="s">
        <v>103</v>
      </c>
      <c r="C64" s="297" t="s">
        <v>106</v>
      </c>
      <c r="D64" s="298"/>
      <c r="E64" s="42">
        <v>55.56</v>
      </c>
      <c r="F64" s="46">
        <v>2019</v>
      </c>
      <c r="G64" s="292">
        <f t="shared" si="35"/>
        <v>112175.64</v>
      </c>
      <c r="H64" s="304" t="s">
        <v>79</v>
      </c>
      <c r="I64" s="301">
        <v>17</v>
      </c>
      <c r="J64" s="37">
        <v>2000</v>
      </c>
      <c r="K64" s="17">
        <f t="shared" si="1"/>
        <v>117.64705882352941</v>
      </c>
      <c r="L64" s="301">
        <v>17</v>
      </c>
      <c r="M64" s="18">
        <f t="shared" si="36"/>
        <v>1922.8571428571447</v>
      </c>
      <c r="N64" s="18">
        <f t="shared" si="3"/>
        <v>113.1092436974791</v>
      </c>
      <c r="O64" s="19">
        <f t="shared" si="4"/>
        <v>0</v>
      </c>
      <c r="P64" s="20">
        <f t="shared" si="5"/>
        <v>-4.5378151260503046</v>
      </c>
      <c r="Q64" s="295">
        <f t="shared" si="6"/>
        <v>0.96142857142857241</v>
      </c>
      <c r="R64" s="489"/>
      <c r="S64" s="40">
        <v>0.70833333333333337</v>
      </c>
      <c r="T64" s="40">
        <v>0.75208333333333333</v>
      </c>
      <c r="U64" s="292" t="str">
        <f t="shared" si="38"/>
        <v/>
      </c>
      <c r="V64" s="302">
        <f t="shared" si="37"/>
        <v>62.999999999999936</v>
      </c>
      <c r="W64" s="23"/>
      <c r="X64" s="23"/>
      <c r="Y64" s="26"/>
      <c r="Z64" s="26"/>
      <c r="AA64" s="491"/>
      <c r="AB64" s="491"/>
      <c r="AC64" s="154"/>
      <c r="AD64" s="25"/>
      <c r="AE64" s="19">
        <f t="shared" si="8"/>
        <v>-77.142857142855291</v>
      </c>
      <c r="AF64" s="295">
        <f t="shared" si="9"/>
        <v>0.96142857142857241</v>
      </c>
      <c r="AG64" s="489"/>
    </row>
    <row r="65" spans="1:33" ht="15.75" customHeight="1">
      <c r="A65" s="507" t="s">
        <v>1725</v>
      </c>
      <c r="B65" s="42" t="s">
        <v>103</v>
      </c>
      <c r="C65" s="501" t="s">
        <v>107</v>
      </c>
      <c r="D65" s="502"/>
      <c r="E65" s="42">
        <v>55.32</v>
      </c>
      <c r="F65" s="46">
        <v>1467</v>
      </c>
      <c r="G65" s="292">
        <f t="shared" si="35"/>
        <v>81154.44</v>
      </c>
      <c r="H65" s="304" t="s">
        <v>79</v>
      </c>
      <c r="I65" s="301">
        <v>15</v>
      </c>
      <c r="J65" s="37">
        <v>2000</v>
      </c>
      <c r="K65" s="17">
        <f t="shared" si="1"/>
        <v>133.33333333333334</v>
      </c>
      <c r="L65" s="301">
        <v>15</v>
      </c>
      <c r="M65" s="18">
        <f t="shared" si="36"/>
        <v>1913.4782608695652</v>
      </c>
      <c r="N65" s="18">
        <f t="shared" si="3"/>
        <v>127.56521739130434</v>
      </c>
      <c r="O65" s="19">
        <f t="shared" si="4"/>
        <v>0</v>
      </c>
      <c r="P65" s="20">
        <f t="shared" si="5"/>
        <v>-5.7681159420289987</v>
      </c>
      <c r="Q65" s="295">
        <f t="shared" si="6"/>
        <v>0.95673913043478254</v>
      </c>
      <c r="R65" s="489"/>
      <c r="S65" s="40">
        <v>0.75763888888888886</v>
      </c>
      <c r="T65" s="40">
        <v>0.7895833333333333</v>
      </c>
      <c r="U65" s="292">
        <f t="shared" si="38"/>
        <v>7.9999999999999716</v>
      </c>
      <c r="V65" s="302">
        <f t="shared" si="37"/>
        <v>46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-86.521739130434753</v>
      </c>
      <c r="AF65" s="295">
        <f t="shared" si="9"/>
        <v>0.95673913043478265</v>
      </c>
      <c r="AG65" s="489"/>
    </row>
    <row r="66" spans="1:33" ht="15.75" customHeight="1">
      <c r="A66" s="507" t="s">
        <v>67</v>
      </c>
      <c r="B66" s="42" t="s">
        <v>103</v>
      </c>
      <c r="C66" s="501" t="s">
        <v>108</v>
      </c>
      <c r="D66" s="502"/>
      <c r="E66" s="42">
        <v>54.29</v>
      </c>
      <c r="F66" s="46">
        <v>2462</v>
      </c>
      <c r="G66" s="292">
        <f t="shared" si="35"/>
        <v>133661.98000000001</v>
      </c>
      <c r="H66" s="304" t="s">
        <v>79</v>
      </c>
      <c r="I66" s="301">
        <v>20</v>
      </c>
      <c r="J66" s="37">
        <v>2000</v>
      </c>
      <c r="K66" s="17">
        <f t="shared" si="1"/>
        <v>100</v>
      </c>
      <c r="L66" s="301">
        <v>20</v>
      </c>
      <c r="M66" s="18">
        <f t="shared" si="36"/>
        <v>1918.4415584415574</v>
      </c>
      <c r="N66" s="18">
        <f t="shared" si="3"/>
        <v>95.922077922077875</v>
      </c>
      <c r="O66" s="19">
        <f t="shared" si="4"/>
        <v>0</v>
      </c>
      <c r="P66" s="20">
        <f t="shared" si="5"/>
        <v>-4.0779220779221248</v>
      </c>
      <c r="Q66" s="295">
        <f t="shared" si="6"/>
        <v>0.95922077922077875</v>
      </c>
      <c r="R66" s="489"/>
      <c r="S66" s="40">
        <v>0.7944444444444444</v>
      </c>
      <c r="T66" s="40">
        <v>0.84791666666666665</v>
      </c>
      <c r="U66" s="292">
        <f t="shared" si="38"/>
        <v>6.9999999999999751</v>
      </c>
      <c r="V66" s="302">
        <f t="shared" si="37"/>
        <v>77.000000000000043</v>
      </c>
      <c r="W66" s="23">
        <f>T66</f>
        <v>0.84791666666666665</v>
      </c>
      <c r="X66" s="23">
        <f>S67</f>
        <v>0.88749999999999996</v>
      </c>
      <c r="Y66" s="26"/>
      <c r="Z66" s="26"/>
      <c r="AA66" s="503"/>
      <c r="AB66" s="504"/>
      <c r="AC66" s="154"/>
      <c r="AD66" s="25"/>
      <c r="AE66" s="19">
        <f t="shared" si="8"/>
        <v>-81.55844155844261</v>
      </c>
      <c r="AF66" s="295">
        <f t="shared" si="9"/>
        <v>0.95922077922077864</v>
      </c>
      <c r="AG66" s="489"/>
    </row>
    <row r="67" spans="1:33" ht="15.75" customHeight="1">
      <c r="A67" s="507" t="s">
        <v>1727</v>
      </c>
      <c r="B67" s="42" t="s">
        <v>103</v>
      </c>
      <c r="C67" s="501" t="s">
        <v>1708</v>
      </c>
      <c r="D67" s="502"/>
      <c r="E67" s="42">
        <v>54.7</v>
      </c>
      <c r="F67" s="46">
        <v>3199</v>
      </c>
      <c r="G67" s="292">
        <f t="shared" si="35"/>
        <v>174985.30000000002</v>
      </c>
      <c r="H67" s="304" t="s">
        <v>79</v>
      </c>
      <c r="I67" s="301">
        <v>15</v>
      </c>
      <c r="J67" s="37">
        <v>2000</v>
      </c>
      <c r="K67" s="17">
        <f t="shared" si="1"/>
        <v>133.33333333333334</v>
      </c>
      <c r="L67" s="301">
        <v>15</v>
      </c>
      <c r="M67" s="18">
        <f t="shared" si="36"/>
        <v>1919.4000000000005</v>
      </c>
      <c r="N67" s="18">
        <f t="shared" si="3"/>
        <v>127.96000000000004</v>
      </c>
      <c r="O67" s="19">
        <f t="shared" si="4"/>
        <v>0</v>
      </c>
      <c r="P67" s="20">
        <f t="shared" si="5"/>
        <v>-5.3733333333333064</v>
      </c>
      <c r="Q67" s="295">
        <f t="shared" si="6"/>
        <v>0.95970000000000022</v>
      </c>
      <c r="R67" s="489"/>
      <c r="S67" s="40">
        <v>0.88749999999999996</v>
      </c>
      <c r="T67" s="40">
        <v>0.95694444444444438</v>
      </c>
      <c r="U67" s="292">
        <f t="shared" si="38"/>
        <v>56.999999999999957</v>
      </c>
      <c r="V67" s="302">
        <f t="shared" si="37"/>
        <v>99.999999999999972</v>
      </c>
      <c r="W67" s="23"/>
      <c r="X67" s="23"/>
      <c r="Y67" s="26"/>
      <c r="Z67" s="26"/>
      <c r="AA67" s="503"/>
      <c r="AB67" s="504"/>
      <c r="AC67" s="154"/>
      <c r="AD67" s="25"/>
      <c r="AE67" s="19">
        <f t="shared" si="8"/>
        <v>-80.599999999999454</v>
      </c>
      <c r="AF67" s="295">
        <f t="shared" si="9"/>
        <v>0.95970000000000022</v>
      </c>
      <c r="AG67" s="489"/>
    </row>
    <row r="68" spans="1:33">
      <c r="A68" s="508" t="s">
        <v>67</v>
      </c>
      <c r="B68" s="42" t="s">
        <v>1728</v>
      </c>
      <c r="C68" s="494"/>
      <c r="D68" s="494"/>
      <c r="E68" s="296"/>
      <c r="F68" s="44"/>
      <c r="G68" s="17"/>
      <c r="H68" s="303"/>
      <c r="I68" s="30">
        <v>18.5</v>
      </c>
      <c r="J68" s="37">
        <v>2000</v>
      </c>
      <c r="K68" s="17">
        <f t="shared" si="1"/>
        <v>108.10810810810811</v>
      </c>
      <c r="L68" s="30">
        <v>18.5</v>
      </c>
      <c r="M68" s="18">
        <f>AVERAGE(M60:M67)</f>
        <v>1856.540929603314</v>
      </c>
      <c r="N68" s="17">
        <f t="shared" si="3"/>
        <v>100.3535637623413</v>
      </c>
      <c r="O68" s="19">
        <f t="shared" si="4"/>
        <v>0</v>
      </c>
      <c r="P68" s="20">
        <f t="shared" si="5"/>
        <v>-7.7545443457668171</v>
      </c>
      <c r="Q68" s="295">
        <f t="shared" si="6"/>
        <v>0.92827046480165698</v>
      </c>
      <c r="R68" s="489"/>
      <c r="S68" s="41"/>
      <c r="T68" s="40"/>
      <c r="U68" s="17"/>
      <c r="V68" s="302"/>
      <c r="W68" s="17"/>
      <c r="X68" s="17"/>
      <c r="Y68" s="31">
        <f>SUM(Y60:Y67)</f>
        <v>0</v>
      </c>
      <c r="Z68" s="31">
        <f>SUM(Z60:Z67)</f>
        <v>0</v>
      </c>
      <c r="AA68" s="495"/>
      <c r="AB68" s="495"/>
      <c r="AC68" s="31">
        <v>5</v>
      </c>
      <c r="AD68" s="31">
        <f>SUM(AD60:AD67)</f>
        <v>0</v>
      </c>
      <c r="AE68" s="19">
        <f t="shared" si="8"/>
        <v>-143.459070396686</v>
      </c>
      <c r="AF68" s="295">
        <f t="shared" si="9"/>
        <v>0.92827046480165698</v>
      </c>
      <c r="AG68" s="489"/>
    </row>
    <row r="69" spans="1:33" ht="15.75" customHeight="1">
      <c r="A69" s="499" t="s">
        <v>1729</v>
      </c>
      <c r="B69" s="303" t="s">
        <v>100</v>
      </c>
      <c r="C69" s="490" t="s">
        <v>109</v>
      </c>
      <c r="D69" s="490"/>
      <c r="E69" s="42">
        <v>26.97</v>
      </c>
      <c r="F69" s="46">
        <v>2530</v>
      </c>
      <c r="G69" s="292">
        <f t="shared" ref="G69:G72" si="39">E69*F69</f>
        <v>68234.099999999991</v>
      </c>
      <c r="H69" s="304" t="s">
        <v>79</v>
      </c>
      <c r="I69" s="301">
        <v>8</v>
      </c>
      <c r="J69" s="37">
        <v>1500</v>
      </c>
      <c r="K69" s="17">
        <f t="shared" ref="K69:K80" si="40">J69/I69</f>
        <v>187.5</v>
      </c>
      <c r="L69" s="301">
        <v>8</v>
      </c>
      <c r="M69" s="18">
        <f t="shared" ref="M69:M72" si="41">F69/V69*60</f>
        <v>1432.0754716981135</v>
      </c>
      <c r="N69" s="17">
        <f t="shared" ref="N69:N80" si="42">M69/L69</f>
        <v>179.00943396226418</v>
      </c>
      <c r="O69" s="19">
        <f t="shared" ref="O69:O80" si="43">L69-I69</f>
        <v>0</v>
      </c>
      <c r="P69" s="20">
        <f t="shared" ref="P69:P80" si="44">N69-K69</f>
        <v>-8.4905660377358174</v>
      </c>
      <c r="Q69" s="295">
        <f t="shared" ref="Q69:Q80" si="45">N69/K69</f>
        <v>0.95471698113207559</v>
      </c>
      <c r="R69" s="489">
        <f>Q73</f>
        <v>0.95738074033893528</v>
      </c>
      <c r="S69" s="40">
        <v>0.20833333333333334</v>
      </c>
      <c r="T69" s="40">
        <v>0.28194444444444444</v>
      </c>
      <c r="U69" s="292"/>
      <c r="V69" s="302">
        <f t="shared" ref="V69:V72" si="46">(T69-S69)*24*60</f>
        <v>105.99999999999999</v>
      </c>
      <c r="W69" s="28"/>
      <c r="X69" s="28"/>
      <c r="Y69" s="28"/>
      <c r="Z69" s="28"/>
      <c r="AA69" s="491"/>
      <c r="AB69" s="491"/>
      <c r="AC69" s="154">
        <v>1</v>
      </c>
      <c r="AD69" s="25"/>
      <c r="AE69" s="19">
        <f t="shared" ref="AE69:AE80" si="47">M69-J69</f>
        <v>-67.924528301886539</v>
      </c>
      <c r="AF69" s="295">
        <f t="shared" ref="AF69:AF80" si="48">M69/J69</f>
        <v>0.95471698113207559</v>
      </c>
      <c r="AG69" s="489">
        <f>AF73</f>
        <v>0.95738074033893528</v>
      </c>
    </row>
    <row r="70" spans="1:33" ht="15.75" customHeight="1">
      <c r="A70" s="499" t="s">
        <v>1730</v>
      </c>
      <c r="B70" s="303" t="s">
        <v>100</v>
      </c>
      <c r="C70" s="490" t="s">
        <v>519</v>
      </c>
      <c r="D70" s="490"/>
      <c r="E70" s="42">
        <v>27.4</v>
      </c>
      <c r="F70" s="46">
        <v>2939</v>
      </c>
      <c r="G70" s="292">
        <f t="shared" si="39"/>
        <v>80528.599999999991</v>
      </c>
      <c r="H70" s="304" t="s">
        <v>79</v>
      </c>
      <c r="I70" s="301">
        <v>10</v>
      </c>
      <c r="J70" s="37">
        <v>1500</v>
      </c>
      <c r="K70" s="17">
        <f t="shared" si="40"/>
        <v>150</v>
      </c>
      <c r="L70" s="301">
        <v>10</v>
      </c>
      <c r="M70" s="18">
        <f t="shared" si="41"/>
        <v>1433.6585365853664</v>
      </c>
      <c r="N70" s="17">
        <f t="shared" si="42"/>
        <v>143.36585365853665</v>
      </c>
      <c r="O70" s="19">
        <f t="shared" si="43"/>
        <v>0</v>
      </c>
      <c r="P70" s="20">
        <f t="shared" si="44"/>
        <v>-6.6341463414633495</v>
      </c>
      <c r="Q70" s="295">
        <f t="shared" si="45"/>
        <v>0.95577235772357771</v>
      </c>
      <c r="R70" s="489"/>
      <c r="S70" s="40">
        <v>0.28611111111111109</v>
      </c>
      <c r="T70" s="40">
        <v>0.37152777777777773</v>
      </c>
      <c r="U70" s="292">
        <f t="shared" ref="U70:U72" si="49">(S70-T69)*24*60</f>
        <v>5.9999999999999787</v>
      </c>
      <c r="V70" s="302">
        <f t="shared" si="46"/>
        <v>122.99999999999996</v>
      </c>
      <c r="W70" s="292"/>
      <c r="X70" s="292"/>
      <c r="Y70" s="292"/>
      <c r="Z70" s="292"/>
      <c r="AA70" s="491"/>
      <c r="AB70" s="491"/>
      <c r="AC70" s="154"/>
      <c r="AD70" s="25"/>
      <c r="AE70" s="19">
        <f t="shared" si="47"/>
        <v>-66.341463414633608</v>
      </c>
      <c r="AF70" s="295">
        <f t="shared" si="48"/>
        <v>0.9557723577235776</v>
      </c>
      <c r="AG70" s="489"/>
    </row>
    <row r="71" spans="1:33" ht="15.75" customHeight="1">
      <c r="A71" s="499" t="s">
        <v>1730</v>
      </c>
      <c r="B71" s="303" t="s">
        <v>93</v>
      </c>
      <c r="C71" s="490" t="s">
        <v>97</v>
      </c>
      <c r="D71" s="490"/>
      <c r="E71" s="42">
        <v>31</v>
      </c>
      <c r="F71" s="46">
        <v>1220</v>
      </c>
      <c r="G71" s="292">
        <f t="shared" si="39"/>
        <v>37820</v>
      </c>
      <c r="H71" s="304" t="s">
        <v>79</v>
      </c>
      <c r="I71" s="301">
        <v>13</v>
      </c>
      <c r="J71" s="37">
        <v>2000</v>
      </c>
      <c r="K71" s="17">
        <f t="shared" si="40"/>
        <v>153.84615384615384</v>
      </c>
      <c r="L71" s="301">
        <v>13</v>
      </c>
      <c r="M71" s="18">
        <f t="shared" si="41"/>
        <v>1926.3157894736828</v>
      </c>
      <c r="N71" s="17">
        <f t="shared" si="42"/>
        <v>148.17813765182174</v>
      </c>
      <c r="O71" s="19">
        <f t="shared" si="43"/>
        <v>0</v>
      </c>
      <c r="P71" s="20">
        <f t="shared" si="44"/>
        <v>-5.6680161943320968</v>
      </c>
      <c r="Q71" s="295">
        <f t="shared" si="45"/>
        <v>0.96315789473684132</v>
      </c>
      <c r="R71" s="489"/>
      <c r="S71" s="40">
        <v>0.37569444444444439</v>
      </c>
      <c r="T71" s="40">
        <v>0.40208333333333329</v>
      </c>
      <c r="U71" s="292">
        <f t="shared" si="49"/>
        <v>5.9999999999999787</v>
      </c>
      <c r="V71" s="302">
        <f t="shared" si="46"/>
        <v>38.000000000000028</v>
      </c>
      <c r="W71" s="292"/>
      <c r="X71" s="292"/>
      <c r="Y71" s="292"/>
      <c r="Z71" s="292"/>
      <c r="AA71" s="491"/>
      <c r="AB71" s="491"/>
      <c r="AC71" s="154" t="s">
        <v>79</v>
      </c>
      <c r="AD71" s="25"/>
      <c r="AE71" s="19">
        <f t="shared" si="47"/>
        <v>-73.684210526317202</v>
      </c>
      <c r="AF71" s="295">
        <f t="shared" si="48"/>
        <v>0.96315789473684144</v>
      </c>
      <c r="AG71" s="489"/>
    </row>
    <row r="72" spans="1:33" ht="15.75" customHeight="1">
      <c r="A72" s="499" t="s">
        <v>1731</v>
      </c>
      <c r="B72" s="303" t="s">
        <v>93</v>
      </c>
      <c r="C72" s="490" t="s">
        <v>1235</v>
      </c>
      <c r="D72" s="490"/>
      <c r="E72" s="42">
        <v>37.85</v>
      </c>
      <c r="F72" s="46">
        <v>3310</v>
      </c>
      <c r="G72" s="292">
        <f t="shared" si="39"/>
        <v>125283.5</v>
      </c>
      <c r="H72" s="304" t="s">
        <v>79</v>
      </c>
      <c r="I72" s="301">
        <v>12</v>
      </c>
      <c r="J72" s="37">
        <v>2000</v>
      </c>
      <c r="K72" s="17">
        <f t="shared" si="40"/>
        <v>166.66666666666666</v>
      </c>
      <c r="L72" s="301">
        <v>12</v>
      </c>
      <c r="M72" s="18">
        <f t="shared" si="41"/>
        <v>1909.6153846153841</v>
      </c>
      <c r="N72" s="17">
        <f t="shared" si="42"/>
        <v>159.13461538461533</v>
      </c>
      <c r="O72" s="19">
        <f t="shared" si="43"/>
        <v>0</v>
      </c>
      <c r="P72" s="20">
        <f t="shared" si="44"/>
        <v>-7.5320512820513272</v>
      </c>
      <c r="Q72" s="295">
        <f t="shared" si="45"/>
        <v>0.95480769230769202</v>
      </c>
      <c r="R72" s="489"/>
      <c r="S72" s="40">
        <v>0.40694444444444439</v>
      </c>
      <c r="T72" s="40">
        <v>0.47916666666666663</v>
      </c>
      <c r="U72" s="292">
        <f t="shared" si="49"/>
        <v>6.9999999999999751</v>
      </c>
      <c r="V72" s="302">
        <f t="shared" si="46"/>
        <v>104.00000000000003</v>
      </c>
      <c r="W72" s="292"/>
      <c r="X72" s="292"/>
      <c r="Y72" s="292"/>
      <c r="Z72" s="292"/>
      <c r="AA72" s="491"/>
      <c r="AB72" s="491"/>
      <c r="AC72" s="154" t="s">
        <v>79</v>
      </c>
      <c r="AD72" s="25"/>
      <c r="AE72" s="19">
        <f t="shared" si="47"/>
        <v>-90.384615384615927</v>
      </c>
      <c r="AF72" s="295">
        <f t="shared" si="48"/>
        <v>0.95480769230769202</v>
      </c>
      <c r="AG72" s="489"/>
    </row>
    <row r="73" spans="1:33">
      <c r="A73" s="500" t="s">
        <v>1731</v>
      </c>
      <c r="B73" s="42" t="s">
        <v>1732</v>
      </c>
      <c r="C73" s="494"/>
      <c r="D73" s="494"/>
      <c r="E73" s="296"/>
      <c r="F73" s="44"/>
      <c r="G73" s="17"/>
      <c r="H73" s="303"/>
      <c r="I73" s="30">
        <v>10.75</v>
      </c>
      <c r="J73" s="37">
        <v>1750</v>
      </c>
      <c r="K73" s="17">
        <f t="shared" si="40"/>
        <v>162.7906976744186</v>
      </c>
      <c r="L73" s="30">
        <v>10.75</v>
      </c>
      <c r="M73" s="18">
        <f>AVERAGE(M69:M72)</f>
        <v>1675.4162955931367</v>
      </c>
      <c r="N73" s="17">
        <f t="shared" si="42"/>
        <v>155.85267865982667</v>
      </c>
      <c r="O73" s="19">
        <f t="shared" si="43"/>
        <v>0</v>
      </c>
      <c r="P73" s="20">
        <f t="shared" si="44"/>
        <v>-6.93801901459193</v>
      </c>
      <c r="Q73" s="295">
        <f t="shared" si="45"/>
        <v>0.95738074033893528</v>
      </c>
      <c r="R73" s="489"/>
      <c r="S73" s="40"/>
      <c r="T73" s="40"/>
      <c r="U73" s="17"/>
      <c r="V73" s="302"/>
      <c r="W73" s="17"/>
      <c r="X73" s="17"/>
      <c r="Y73" s="31">
        <f>SUM(Y69:Y72)</f>
        <v>0</v>
      </c>
      <c r="Z73" s="31">
        <f>SUM(Z69:Z72)</f>
        <v>0</v>
      </c>
      <c r="AA73" s="495"/>
      <c r="AB73" s="495"/>
      <c r="AC73" s="31">
        <v>1</v>
      </c>
      <c r="AD73" s="31">
        <f>SUM(AD69:AD72)</f>
        <v>0</v>
      </c>
      <c r="AE73" s="19">
        <f t="shared" si="47"/>
        <v>-74.583704406863262</v>
      </c>
      <c r="AF73" s="295">
        <f t="shared" si="48"/>
        <v>0.95738074033893528</v>
      </c>
      <c r="AG73" s="489"/>
    </row>
    <row r="74" spans="1:33" ht="15.75" customHeight="1">
      <c r="A74" s="496" t="s">
        <v>75</v>
      </c>
      <c r="B74" s="303" t="s">
        <v>80</v>
      </c>
      <c r="C74" s="490" t="s">
        <v>115</v>
      </c>
      <c r="D74" s="490"/>
      <c r="E74" s="42">
        <v>20.2</v>
      </c>
      <c r="F74" s="303">
        <v>2480</v>
      </c>
      <c r="G74" s="292">
        <f t="shared" ref="G74:G79" si="50">E74*F74</f>
        <v>50096</v>
      </c>
      <c r="H74" s="304" t="s">
        <v>79</v>
      </c>
      <c r="I74" s="301">
        <v>19</v>
      </c>
      <c r="J74" s="37">
        <v>2400</v>
      </c>
      <c r="K74" s="17">
        <f t="shared" si="40"/>
        <v>126.31578947368421</v>
      </c>
      <c r="L74" s="301">
        <v>19</v>
      </c>
      <c r="M74" s="18">
        <f t="shared" ref="M74:M79" si="51">F74/V74*60</f>
        <v>2289.2307692307695</v>
      </c>
      <c r="N74" s="17">
        <f t="shared" si="42"/>
        <v>120.48582995951419</v>
      </c>
      <c r="O74" s="19">
        <f t="shared" si="43"/>
        <v>0</v>
      </c>
      <c r="P74" s="20">
        <f t="shared" si="44"/>
        <v>-5.8299595141700138</v>
      </c>
      <c r="Q74" s="295">
        <f t="shared" si="45"/>
        <v>0.95384615384615401</v>
      </c>
      <c r="R74" s="489">
        <f>Q80</f>
        <v>0.95376021295928171</v>
      </c>
      <c r="S74" s="40">
        <v>8.3333333333333329E-2</v>
      </c>
      <c r="T74" s="40">
        <v>0.12847222222222221</v>
      </c>
      <c r="U74" s="28"/>
      <c r="V74" s="302">
        <f t="shared" ref="V74:V79" si="52">(T74-S74)*24*60</f>
        <v>64.999999999999986</v>
      </c>
      <c r="W74" s="23">
        <f>T74</f>
        <v>0.12847222222222221</v>
      </c>
      <c r="X74" s="23">
        <f>S75</f>
        <v>0.14930555555555555</v>
      </c>
      <c r="Y74" s="23"/>
      <c r="Z74" s="23"/>
      <c r="AA74" s="491"/>
      <c r="AB74" s="491"/>
      <c r="AC74" s="154">
        <v>8</v>
      </c>
      <c r="AD74" s="25"/>
      <c r="AE74" s="19">
        <f t="shared" si="47"/>
        <v>-110.76923076923049</v>
      </c>
      <c r="AF74" s="295">
        <f t="shared" si="48"/>
        <v>0.95384615384615401</v>
      </c>
      <c r="AG74" s="489">
        <f>AF80</f>
        <v>0.95376021295928159</v>
      </c>
    </row>
    <row r="75" spans="1:33" ht="15.75" customHeight="1">
      <c r="A75" s="497" t="s">
        <v>75</v>
      </c>
      <c r="B75" s="303" t="s">
        <v>80</v>
      </c>
      <c r="C75" s="490" t="s">
        <v>116</v>
      </c>
      <c r="D75" s="490"/>
      <c r="E75" s="42">
        <v>20.52</v>
      </c>
      <c r="F75" s="303">
        <v>2941</v>
      </c>
      <c r="G75" s="292">
        <f t="shared" si="50"/>
        <v>60349.32</v>
      </c>
      <c r="H75" s="304" t="s">
        <v>79</v>
      </c>
      <c r="I75" s="301">
        <v>18</v>
      </c>
      <c r="J75" s="37">
        <v>2400</v>
      </c>
      <c r="K75" s="17">
        <f t="shared" si="40"/>
        <v>133.33333333333334</v>
      </c>
      <c r="L75" s="301">
        <v>18</v>
      </c>
      <c r="M75" s="18">
        <f t="shared" si="51"/>
        <v>2291.6883116883118</v>
      </c>
      <c r="N75" s="17">
        <f t="shared" si="42"/>
        <v>127.31601731601732</v>
      </c>
      <c r="O75" s="19">
        <f t="shared" si="43"/>
        <v>0</v>
      </c>
      <c r="P75" s="20">
        <f t="shared" si="44"/>
        <v>-6.0173160173160198</v>
      </c>
      <c r="Q75" s="295">
        <f t="shared" si="45"/>
        <v>0.95487012987012987</v>
      </c>
      <c r="R75" s="489"/>
      <c r="S75" s="40">
        <v>0.14930555555555555</v>
      </c>
      <c r="T75" s="40">
        <v>0.20277777777777778</v>
      </c>
      <c r="U75" s="292">
        <f t="shared" ref="U75:U79" si="53">(S75-T74)*24*60</f>
        <v>30.000000000000014</v>
      </c>
      <c r="V75" s="302">
        <f t="shared" si="52"/>
        <v>77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7"/>
        <v>-108.31168831168816</v>
      </c>
      <c r="AF75" s="295">
        <f t="shared" si="48"/>
        <v>0.95487012987012998</v>
      </c>
      <c r="AG75" s="489"/>
    </row>
    <row r="76" spans="1:33" ht="15.75" customHeight="1">
      <c r="A76" s="497" t="s">
        <v>1733</v>
      </c>
      <c r="B76" s="303" t="s">
        <v>80</v>
      </c>
      <c r="C76" s="490" t="s">
        <v>118</v>
      </c>
      <c r="D76" s="490"/>
      <c r="E76" s="42">
        <v>20.21</v>
      </c>
      <c r="F76" s="303">
        <v>3634</v>
      </c>
      <c r="G76" s="292">
        <f t="shared" si="50"/>
        <v>73443.14</v>
      </c>
      <c r="H76" s="304" t="s">
        <v>79</v>
      </c>
      <c r="I76" s="301">
        <v>16</v>
      </c>
      <c r="J76" s="37">
        <v>2400</v>
      </c>
      <c r="K76" s="17">
        <f t="shared" si="40"/>
        <v>150</v>
      </c>
      <c r="L76" s="301">
        <v>16</v>
      </c>
      <c r="M76" s="18">
        <f t="shared" si="51"/>
        <v>2295.1578947368416</v>
      </c>
      <c r="N76" s="17">
        <f t="shared" si="42"/>
        <v>143.4473684210526</v>
      </c>
      <c r="O76" s="19">
        <f t="shared" si="43"/>
        <v>0</v>
      </c>
      <c r="P76" s="20">
        <f t="shared" si="44"/>
        <v>-6.5526315789473983</v>
      </c>
      <c r="Q76" s="295">
        <f t="shared" si="45"/>
        <v>0.95631578947368401</v>
      </c>
      <c r="R76" s="489"/>
      <c r="S76" s="40">
        <v>0.2076388888888889</v>
      </c>
      <c r="T76" s="40">
        <v>0.27361111111111114</v>
      </c>
      <c r="U76" s="292">
        <f t="shared" si="53"/>
        <v>7.0000000000000151</v>
      </c>
      <c r="V76" s="302">
        <f t="shared" si="52"/>
        <v>95.000000000000028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7"/>
        <v>-104.84210526315837</v>
      </c>
      <c r="AF76" s="295">
        <f t="shared" si="48"/>
        <v>0.95631578947368401</v>
      </c>
      <c r="AG76" s="489"/>
    </row>
    <row r="77" spans="1:33" ht="15.75" customHeight="1">
      <c r="A77" s="497" t="s">
        <v>1734</v>
      </c>
      <c r="B77" s="303" t="s">
        <v>80</v>
      </c>
      <c r="C77" s="490" t="s">
        <v>117</v>
      </c>
      <c r="D77" s="490"/>
      <c r="E77" s="42">
        <v>24.43</v>
      </c>
      <c r="F77" s="303">
        <v>6871</v>
      </c>
      <c r="G77" s="292">
        <f t="shared" si="50"/>
        <v>167858.53</v>
      </c>
      <c r="H77" s="304" t="s">
        <v>79</v>
      </c>
      <c r="I77" s="301">
        <v>14</v>
      </c>
      <c r="J77" s="37">
        <v>2400</v>
      </c>
      <c r="K77" s="17">
        <f t="shared" si="40"/>
        <v>171.42857142857142</v>
      </c>
      <c r="L77" s="301">
        <v>14</v>
      </c>
      <c r="M77" s="18">
        <f t="shared" si="51"/>
        <v>2290.3333333333335</v>
      </c>
      <c r="N77" s="17">
        <f t="shared" si="42"/>
        <v>163.5952380952381</v>
      </c>
      <c r="O77" s="19">
        <f t="shared" si="43"/>
        <v>0</v>
      </c>
      <c r="P77" s="20">
        <f t="shared" si="44"/>
        <v>-7.8333333333333144</v>
      </c>
      <c r="Q77" s="295">
        <f t="shared" si="45"/>
        <v>0.95430555555555563</v>
      </c>
      <c r="R77" s="489"/>
      <c r="S77" s="40">
        <v>0.27777777777777779</v>
      </c>
      <c r="T77" s="40">
        <v>0.40277777777777779</v>
      </c>
      <c r="U77" s="292">
        <f t="shared" si="53"/>
        <v>5.9999999999999787</v>
      </c>
      <c r="V77" s="302">
        <f t="shared" si="52"/>
        <v>180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7"/>
        <v>-109.66666666666652</v>
      </c>
      <c r="AF77" s="295">
        <f t="shared" si="48"/>
        <v>0.95430555555555563</v>
      </c>
      <c r="AG77" s="489"/>
    </row>
    <row r="78" spans="1:33" ht="15.75" customHeight="1">
      <c r="A78" s="497" t="s">
        <v>75</v>
      </c>
      <c r="B78" s="303" t="s">
        <v>80</v>
      </c>
      <c r="C78" s="490" t="s">
        <v>119</v>
      </c>
      <c r="D78" s="490"/>
      <c r="E78" s="42">
        <v>19.02</v>
      </c>
      <c r="F78" s="303">
        <v>5600</v>
      </c>
      <c r="G78" s="292">
        <f t="shared" si="50"/>
        <v>106512</v>
      </c>
      <c r="H78" s="304">
        <v>2</v>
      </c>
      <c r="I78" s="301">
        <v>15</v>
      </c>
      <c r="J78" s="37">
        <v>2400</v>
      </c>
      <c r="K78" s="17">
        <f t="shared" si="40"/>
        <v>160</v>
      </c>
      <c r="L78" s="301">
        <v>15</v>
      </c>
      <c r="M78" s="18">
        <f t="shared" si="51"/>
        <v>2285.7142857142867</v>
      </c>
      <c r="N78" s="17">
        <f t="shared" si="42"/>
        <v>152.38095238095244</v>
      </c>
      <c r="O78" s="19">
        <f t="shared" si="43"/>
        <v>0</v>
      </c>
      <c r="P78" s="20">
        <f t="shared" si="44"/>
        <v>-7.6190476190475636</v>
      </c>
      <c r="Q78" s="295">
        <f t="shared" si="45"/>
        <v>0.95238095238095277</v>
      </c>
      <c r="R78" s="489"/>
      <c r="S78" s="40">
        <v>0.40833333333333333</v>
      </c>
      <c r="T78" s="40">
        <v>0.51041666666666663</v>
      </c>
      <c r="U78" s="292">
        <f t="shared" si="53"/>
        <v>7.9999999999999716</v>
      </c>
      <c r="V78" s="302">
        <f t="shared" si="52"/>
        <v>146.99999999999994</v>
      </c>
      <c r="W78" s="23">
        <f>T78</f>
        <v>0.51041666666666663</v>
      </c>
      <c r="X78" s="23">
        <f>S79</f>
        <v>0.5527777777777777</v>
      </c>
      <c r="Y78" s="23"/>
      <c r="Z78" s="23"/>
      <c r="AA78" s="491"/>
      <c r="AB78" s="491"/>
      <c r="AC78" s="154"/>
      <c r="AD78" s="25"/>
      <c r="AE78" s="19">
        <f t="shared" si="47"/>
        <v>-114.28571428571331</v>
      </c>
      <c r="AF78" s="295">
        <f t="shared" si="48"/>
        <v>0.95238095238095277</v>
      </c>
      <c r="AG78" s="489"/>
    </row>
    <row r="79" spans="1:33" ht="15.75" customHeight="1">
      <c r="A79" s="497" t="s">
        <v>75</v>
      </c>
      <c r="B79" s="303" t="s">
        <v>80</v>
      </c>
      <c r="C79" s="490" t="s">
        <v>119</v>
      </c>
      <c r="D79" s="490"/>
      <c r="E79" s="42">
        <v>19.02</v>
      </c>
      <c r="F79" s="303">
        <v>3385</v>
      </c>
      <c r="G79" s="292">
        <f t="shared" si="50"/>
        <v>64382.7</v>
      </c>
      <c r="H79" s="304" t="s">
        <v>79</v>
      </c>
      <c r="I79" s="301">
        <v>15</v>
      </c>
      <c r="J79" s="37">
        <v>2400</v>
      </c>
      <c r="K79" s="17">
        <f t="shared" si="40"/>
        <v>160</v>
      </c>
      <c r="L79" s="301">
        <v>15</v>
      </c>
      <c r="M79" s="18">
        <f t="shared" si="51"/>
        <v>2282.0224719101125</v>
      </c>
      <c r="N79" s="17">
        <f t="shared" si="42"/>
        <v>152.13483146067418</v>
      </c>
      <c r="O79" s="19">
        <f t="shared" si="43"/>
        <v>0</v>
      </c>
      <c r="P79" s="20">
        <f t="shared" si="44"/>
        <v>-7.8651685393258219</v>
      </c>
      <c r="Q79" s="295">
        <f t="shared" si="45"/>
        <v>0.95084269662921361</v>
      </c>
      <c r="R79" s="489"/>
      <c r="S79" s="40">
        <v>0.5527777777777777</v>
      </c>
      <c r="T79" s="40">
        <v>0.61458333333333326</v>
      </c>
      <c r="U79" s="292">
        <f t="shared" si="53"/>
        <v>60.999999999999943</v>
      </c>
      <c r="V79" s="302">
        <f t="shared" si="52"/>
        <v>89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7"/>
        <v>-117.97752808988753</v>
      </c>
      <c r="AF79" s="295">
        <f t="shared" si="48"/>
        <v>0.9508426966292135</v>
      </c>
      <c r="AG79" s="489"/>
    </row>
    <row r="80" spans="1:33" ht="16.5" customHeight="1">
      <c r="A80" s="498" t="s">
        <v>1735</v>
      </c>
      <c r="B80" s="42" t="s">
        <v>1736</v>
      </c>
      <c r="C80" s="492"/>
      <c r="D80" s="493"/>
      <c r="E80" s="296"/>
      <c r="F80" s="44"/>
      <c r="G80" s="17"/>
      <c r="H80" s="303"/>
      <c r="I80" s="30">
        <v>16.166666666666668</v>
      </c>
      <c r="J80" s="37">
        <v>2400</v>
      </c>
      <c r="K80" s="17">
        <f t="shared" si="40"/>
        <v>148.45360824742266</v>
      </c>
      <c r="L80" s="30">
        <v>16.166666666666668</v>
      </c>
      <c r="M80" s="18">
        <f>AVERAGE(M74:M79)</f>
        <v>2289.0245111022759</v>
      </c>
      <c r="N80" s="17">
        <f t="shared" si="42"/>
        <v>141.58914501663563</v>
      </c>
      <c r="O80" s="19">
        <f t="shared" si="43"/>
        <v>0</v>
      </c>
      <c r="P80" s="20">
        <f t="shared" si="44"/>
        <v>-6.8644632307870381</v>
      </c>
      <c r="Q80" s="295">
        <f t="shared" si="45"/>
        <v>0.95376021295928171</v>
      </c>
      <c r="R80" s="489"/>
      <c r="S80" s="40"/>
      <c r="T80" s="40"/>
      <c r="U80" s="17"/>
      <c r="V80" s="302"/>
      <c r="W80" s="17"/>
      <c r="X80" s="17"/>
      <c r="Y80" s="31">
        <f>SUM(Y74:Y79)</f>
        <v>0</v>
      </c>
      <c r="Z80" s="31">
        <f>SUM(Z74:Z79)</f>
        <v>0</v>
      </c>
      <c r="AA80" s="495"/>
      <c r="AB80" s="495"/>
      <c r="AC80" s="31">
        <v>8</v>
      </c>
      <c r="AD80" s="31">
        <f>SUM(AD74:AD79)</f>
        <v>0</v>
      </c>
      <c r="AE80" s="19">
        <f t="shared" si="47"/>
        <v>-110.97548889772406</v>
      </c>
      <c r="AF80" s="295">
        <f t="shared" si="48"/>
        <v>0.95376021295928159</v>
      </c>
      <c r="AG80" s="489"/>
    </row>
    <row r="81" spans="4:5">
      <c r="D81" s="33"/>
      <c r="E81" s="33"/>
    </row>
  </sheetData>
  <mergeCells count="211">
    <mergeCell ref="A74:A80"/>
    <mergeCell ref="C74:D74"/>
    <mergeCell ref="R74:R80"/>
    <mergeCell ref="AA74:AB74"/>
    <mergeCell ref="A69:A73"/>
    <mergeCell ref="C69:D69"/>
    <mergeCell ref="R69:R73"/>
    <mergeCell ref="AA69:AB69"/>
    <mergeCell ref="AG74:AG80"/>
    <mergeCell ref="C75:D75"/>
    <mergeCell ref="AA75:AB75"/>
    <mergeCell ref="C76:D76"/>
    <mergeCell ref="AA76:AB76"/>
    <mergeCell ref="C77:D77"/>
    <mergeCell ref="AA77:AB77"/>
    <mergeCell ref="C78:D78"/>
    <mergeCell ref="AA78:AB78"/>
    <mergeCell ref="C79:D79"/>
    <mergeCell ref="AA79:AB79"/>
    <mergeCell ref="C80:D80"/>
    <mergeCell ref="AA80:AB80"/>
    <mergeCell ref="AG69:AG73"/>
    <mergeCell ref="A60:A68"/>
    <mergeCell ref="C60:D60"/>
    <mergeCell ref="R60:R68"/>
    <mergeCell ref="AA60:AB60"/>
    <mergeCell ref="AA66:AB66"/>
    <mergeCell ref="C67:D67"/>
    <mergeCell ref="AA67:AB67"/>
    <mergeCell ref="C68:D68"/>
    <mergeCell ref="AA68:AB68"/>
    <mergeCell ref="C61:D61"/>
    <mergeCell ref="AA61:AB61"/>
    <mergeCell ref="C62:D62"/>
    <mergeCell ref="AA62:AB62"/>
    <mergeCell ref="AA63:AB63"/>
    <mergeCell ref="AA64:AB64"/>
    <mergeCell ref="C65:D65"/>
    <mergeCell ref="AA65:AB65"/>
    <mergeCell ref="C66:D66"/>
    <mergeCell ref="AG51:AG59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58:AB58"/>
    <mergeCell ref="C59:D59"/>
    <mergeCell ref="AA59:AB59"/>
    <mergeCell ref="AG60:AG68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A43:A50"/>
    <mergeCell ref="C43:D43"/>
    <mergeCell ref="R43:R50"/>
    <mergeCell ref="AA43:AB43"/>
    <mergeCell ref="C50:D50"/>
    <mergeCell ref="AA50:AB50"/>
    <mergeCell ref="A51:A59"/>
    <mergeCell ref="C51:D51"/>
    <mergeCell ref="R51:R59"/>
    <mergeCell ref="AA51:AB51"/>
    <mergeCell ref="AA56:AB56"/>
    <mergeCell ref="C57:D57"/>
    <mergeCell ref="AA57:AB57"/>
    <mergeCell ref="C58:D58"/>
    <mergeCell ref="AG43:AG50"/>
    <mergeCell ref="C44:D44"/>
    <mergeCell ref="AA44:AB44"/>
    <mergeCell ref="C45:D45"/>
    <mergeCell ref="AA45:AB45"/>
    <mergeCell ref="C46:D46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C48:D48"/>
    <mergeCell ref="AA48:AB48"/>
    <mergeCell ref="C49:D49"/>
    <mergeCell ref="AA49:AB49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26:A35"/>
    <mergeCell ref="C26:D26"/>
    <mergeCell ref="R26:R35"/>
    <mergeCell ref="AA26:AB26"/>
    <mergeCell ref="AG26:AG35"/>
    <mergeCell ref="C27:D27"/>
    <mergeCell ref="AA27:AB27"/>
    <mergeCell ref="C28:D28"/>
    <mergeCell ref="AA28:AB28"/>
    <mergeCell ref="C29:D29"/>
    <mergeCell ref="C33:D33"/>
    <mergeCell ref="AA33:AB33"/>
    <mergeCell ref="C34:D34"/>
    <mergeCell ref="AA34:AB34"/>
    <mergeCell ref="C35:D35"/>
    <mergeCell ref="AA35:AB35"/>
    <mergeCell ref="AA29:AB29"/>
    <mergeCell ref="C30:D30"/>
    <mergeCell ref="AA30:AB30"/>
    <mergeCell ref="C31:D31"/>
    <mergeCell ref="AA31:AB31"/>
    <mergeCell ref="C32:D32"/>
    <mergeCell ref="AA32:AB32"/>
    <mergeCell ref="AA14:AB14"/>
    <mergeCell ref="C23:D23"/>
    <mergeCell ref="AA23:AB23"/>
    <mergeCell ref="C24:D24"/>
    <mergeCell ref="AA24:AB24"/>
    <mergeCell ref="C25:D25"/>
    <mergeCell ref="AA25:AB25"/>
    <mergeCell ref="C19:D19"/>
    <mergeCell ref="AA19:AB19"/>
    <mergeCell ref="C20:D20"/>
    <mergeCell ref="AA20:AB20"/>
    <mergeCell ref="AA21:AB21"/>
    <mergeCell ref="AA22:AB22"/>
    <mergeCell ref="A15:A25"/>
    <mergeCell ref="C15:D15"/>
    <mergeCell ref="R15:R25"/>
    <mergeCell ref="AA15:AB15"/>
    <mergeCell ref="AG15:AG25"/>
    <mergeCell ref="C10:D10"/>
    <mergeCell ref="AA10:AB10"/>
    <mergeCell ref="C11:D11"/>
    <mergeCell ref="AA11:AB11"/>
    <mergeCell ref="A12:A14"/>
    <mergeCell ref="C12:D12"/>
    <mergeCell ref="R12:R14"/>
    <mergeCell ref="AA12:AB12"/>
    <mergeCell ref="A5:A11"/>
    <mergeCell ref="C16:D16"/>
    <mergeCell ref="AA16:AB16"/>
    <mergeCell ref="C17:D17"/>
    <mergeCell ref="AA17:AB17"/>
    <mergeCell ref="C18:D18"/>
    <mergeCell ref="AA18:AB18"/>
    <mergeCell ref="AG12:AG14"/>
    <mergeCell ref="C13:D13"/>
    <mergeCell ref="AA13:AB13"/>
    <mergeCell ref="C14:D1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8:O69 O72:O80 O5:O12 O14:O16 O59:O65 O25:O56">
    <cfRule type="cellIs" dxfId="1580" priority="74" operator="greaterThan">
      <formula>0</formula>
    </cfRule>
  </conditionalFormatting>
  <conditionalFormatting sqref="P5:P10 P72 AE72 P74:P79 P36:P41 P69 P12 P14:P16 P26:P34 P60:P65 P43:P56 AE5:AE69 AE74:AE80">
    <cfRule type="cellIs" dxfId="1579" priority="78" operator="lessThan">
      <formula>0</formula>
    </cfRule>
  </conditionalFormatting>
  <conditionalFormatting sqref="AF72 Q68:Q69 Q72:Q80 Q5:Q12 Q14:Q16 Q59:Q65 Q25:Q56 AF5:AF69 AF74:AF80">
    <cfRule type="cellIs" dxfId="1578" priority="75" operator="greaterThan">
      <formula>1</formula>
    </cfRule>
    <cfRule type="cellIs" dxfId="1577" priority="76" operator="lessThan">
      <formula>0.8</formula>
    </cfRule>
  </conditionalFormatting>
  <conditionalFormatting sqref="AG15:AG16 R15:R16 AG72 R25:R31 AG25:AG31 AG68:AG69 R68:R69 R72:R80 AG5:AG12 R5:R12 R35:R56 AG35:AG56 AG59:AG65 R59:R65">
    <cfRule type="cellIs" dxfId="1576" priority="80" operator="lessThan">
      <formula>0.8</formula>
    </cfRule>
  </conditionalFormatting>
  <conditionalFormatting sqref="AG51">
    <cfRule type="cellIs" dxfId="1575" priority="82" operator="lessThan">
      <formula>0.8</formula>
    </cfRule>
  </conditionalFormatting>
  <conditionalFormatting sqref="AG26:AG31">
    <cfRule type="cellIs" dxfId="1574" priority="79" operator="lessThan">
      <formula>0.8</formula>
    </cfRule>
  </conditionalFormatting>
  <conditionalFormatting sqref="AG36">
    <cfRule type="cellIs" dxfId="1573" priority="81" operator="lessThan">
      <formula>0.8</formula>
    </cfRule>
  </conditionalFormatting>
  <conditionalFormatting sqref="AG43:AG49">
    <cfRule type="cellIs" dxfId="1572" priority="77" operator="lessThan">
      <formula>0.8</formula>
    </cfRule>
  </conditionalFormatting>
  <conditionalFormatting sqref="AE73">
    <cfRule type="cellIs" dxfId="1571" priority="73" operator="lessThan">
      <formula>0</formula>
    </cfRule>
  </conditionalFormatting>
  <conditionalFormatting sqref="AF73">
    <cfRule type="cellIs" dxfId="1570" priority="71" operator="greaterThan">
      <formula>1</formula>
    </cfRule>
    <cfRule type="cellIs" dxfId="1569" priority="72" operator="lessThan">
      <formula>0.8</formula>
    </cfRule>
  </conditionalFormatting>
  <conditionalFormatting sqref="O17:O18">
    <cfRule type="cellIs" dxfId="1568" priority="66" operator="greaterThan">
      <formula>0</formula>
    </cfRule>
  </conditionalFormatting>
  <conditionalFormatting sqref="P17:P18">
    <cfRule type="cellIs" dxfId="1567" priority="69" operator="lessThan">
      <formula>0</formula>
    </cfRule>
  </conditionalFormatting>
  <conditionalFormatting sqref="Q17:Q18">
    <cfRule type="cellIs" dxfId="1566" priority="67" operator="greaterThan">
      <formula>1</formula>
    </cfRule>
    <cfRule type="cellIs" dxfId="1565" priority="68" operator="lessThan">
      <formula>0.8</formula>
    </cfRule>
  </conditionalFormatting>
  <conditionalFormatting sqref="R17:R18 AG17:AG18">
    <cfRule type="cellIs" dxfId="1564" priority="70" operator="lessThan">
      <formula>0.8</formula>
    </cfRule>
  </conditionalFormatting>
  <conditionalFormatting sqref="O13">
    <cfRule type="cellIs" dxfId="1563" priority="62" operator="greaterThan">
      <formula>0</formula>
    </cfRule>
  </conditionalFormatting>
  <conditionalFormatting sqref="P13">
    <cfRule type="cellIs" dxfId="1562" priority="65" operator="lessThan">
      <formula>0</formula>
    </cfRule>
  </conditionalFormatting>
  <conditionalFormatting sqref="Q13">
    <cfRule type="cellIs" dxfId="1561" priority="63" operator="greaterThan">
      <formula>1</formula>
    </cfRule>
    <cfRule type="cellIs" dxfId="1560" priority="64" operator="lessThan">
      <formula>0.8</formula>
    </cfRule>
  </conditionalFormatting>
  <conditionalFormatting sqref="O66">
    <cfRule type="cellIs" dxfId="1559" priority="57" operator="greaterThan">
      <formula>0</formula>
    </cfRule>
  </conditionalFormatting>
  <conditionalFormatting sqref="P66">
    <cfRule type="cellIs" dxfId="1558" priority="60" operator="lessThan">
      <formula>0</formula>
    </cfRule>
  </conditionalFormatting>
  <conditionalFormatting sqref="Q66">
    <cfRule type="cellIs" dxfId="1557" priority="58" operator="greaterThan">
      <formula>1</formula>
    </cfRule>
    <cfRule type="cellIs" dxfId="1556" priority="59" operator="lessThan">
      <formula>0.8</formula>
    </cfRule>
  </conditionalFormatting>
  <conditionalFormatting sqref="R66 AG66">
    <cfRule type="cellIs" dxfId="1555" priority="61" operator="lessThan">
      <formula>0.8</formula>
    </cfRule>
  </conditionalFormatting>
  <conditionalFormatting sqref="AG33 R33">
    <cfRule type="cellIs" dxfId="1554" priority="56" operator="lessThan">
      <formula>0.8</formula>
    </cfRule>
  </conditionalFormatting>
  <conditionalFormatting sqref="O71">
    <cfRule type="cellIs" dxfId="1553" priority="51" operator="greaterThan">
      <formula>0</formula>
    </cfRule>
  </conditionalFormatting>
  <conditionalFormatting sqref="P71 AE71">
    <cfRule type="cellIs" dxfId="1552" priority="54" operator="lessThan">
      <formula>0</formula>
    </cfRule>
  </conditionalFormatting>
  <conditionalFormatting sqref="Q71 AF71">
    <cfRule type="cellIs" dxfId="1551" priority="52" operator="greaterThan">
      <formula>1</formula>
    </cfRule>
    <cfRule type="cellIs" dxfId="1550" priority="53" operator="lessThan">
      <formula>0.8</formula>
    </cfRule>
  </conditionalFormatting>
  <conditionalFormatting sqref="R71 AG71">
    <cfRule type="cellIs" dxfId="1549" priority="55" operator="lessThan">
      <formula>0.8</formula>
    </cfRule>
  </conditionalFormatting>
  <conditionalFormatting sqref="O19:O20">
    <cfRule type="cellIs" dxfId="1548" priority="46" operator="greaterThan">
      <formula>0</formula>
    </cfRule>
  </conditionalFormatting>
  <conditionalFormatting sqref="P19:P20">
    <cfRule type="cellIs" dxfId="1547" priority="49" operator="lessThan">
      <formula>0</formula>
    </cfRule>
  </conditionalFormatting>
  <conditionalFormatting sqref="Q19:Q20">
    <cfRule type="cellIs" dxfId="1546" priority="47" operator="greaterThan">
      <formula>1</formula>
    </cfRule>
    <cfRule type="cellIs" dxfId="1545" priority="48" operator="lessThan">
      <formula>0.8</formula>
    </cfRule>
  </conditionalFormatting>
  <conditionalFormatting sqref="R19:R20 AG19:AG20">
    <cfRule type="cellIs" dxfId="1544" priority="50" operator="lessThan">
      <formula>0.8</formula>
    </cfRule>
  </conditionalFormatting>
  <conditionalFormatting sqref="O57">
    <cfRule type="cellIs" dxfId="1543" priority="40" operator="greaterThan">
      <formula>0</formula>
    </cfRule>
  </conditionalFormatting>
  <conditionalFormatting sqref="P57">
    <cfRule type="cellIs" dxfId="1542" priority="44" operator="lessThan">
      <formula>0</formula>
    </cfRule>
  </conditionalFormatting>
  <conditionalFormatting sqref="Q57">
    <cfRule type="cellIs" dxfId="1541" priority="41" operator="greaterThan">
      <formula>1</formula>
    </cfRule>
    <cfRule type="cellIs" dxfId="1540" priority="42" operator="lessThan">
      <formula>0.8</formula>
    </cfRule>
  </conditionalFormatting>
  <conditionalFormatting sqref="R57 AG57">
    <cfRule type="cellIs" dxfId="1539" priority="45" operator="lessThan">
      <formula>0.8</formula>
    </cfRule>
  </conditionalFormatting>
  <conditionalFormatting sqref="AG57">
    <cfRule type="cellIs" dxfId="1538" priority="43" operator="lessThan">
      <formula>0.8</formula>
    </cfRule>
  </conditionalFormatting>
  <conditionalFormatting sqref="O58">
    <cfRule type="cellIs" dxfId="1537" priority="34" operator="greaterThan">
      <formula>0</formula>
    </cfRule>
  </conditionalFormatting>
  <conditionalFormatting sqref="P58">
    <cfRule type="cellIs" dxfId="1536" priority="38" operator="lessThan">
      <formula>0</formula>
    </cfRule>
  </conditionalFormatting>
  <conditionalFormatting sqref="Q58">
    <cfRule type="cellIs" dxfId="1535" priority="35" operator="greaterThan">
      <formula>1</formula>
    </cfRule>
    <cfRule type="cellIs" dxfId="1534" priority="36" operator="lessThan">
      <formula>0.8</formula>
    </cfRule>
  </conditionalFormatting>
  <conditionalFormatting sqref="R58 AG58">
    <cfRule type="cellIs" dxfId="1533" priority="39" operator="lessThan">
      <formula>0.8</formula>
    </cfRule>
  </conditionalFormatting>
  <conditionalFormatting sqref="AG58">
    <cfRule type="cellIs" dxfId="1532" priority="37" operator="lessThan">
      <formula>0.8</formula>
    </cfRule>
  </conditionalFormatting>
  <conditionalFormatting sqref="O67">
    <cfRule type="cellIs" dxfId="1531" priority="29" operator="greaterThan">
      <formula>0</formula>
    </cfRule>
  </conditionalFormatting>
  <conditionalFormatting sqref="P67">
    <cfRule type="cellIs" dxfId="1530" priority="32" operator="lessThan">
      <formula>0</formula>
    </cfRule>
  </conditionalFormatting>
  <conditionalFormatting sqref="Q67">
    <cfRule type="cellIs" dxfId="1529" priority="30" operator="greaterThan">
      <formula>1</formula>
    </cfRule>
    <cfRule type="cellIs" dxfId="1528" priority="31" operator="lessThan">
      <formula>0.8</formula>
    </cfRule>
  </conditionalFormatting>
  <conditionalFormatting sqref="AG67 R67">
    <cfRule type="cellIs" dxfId="1527" priority="33" operator="lessThan">
      <formula>0.8</formula>
    </cfRule>
  </conditionalFormatting>
  <conditionalFormatting sqref="AG34 R34">
    <cfRule type="cellIs" dxfId="1526" priority="28" operator="lessThan">
      <formula>0.8</formula>
    </cfRule>
  </conditionalFormatting>
  <conditionalFormatting sqref="R32 AG32">
    <cfRule type="cellIs" dxfId="1525" priority="27" operator="lessThan">
      <formula>0.8</formula>
    </cfRule>
  </conditionalFormatting>
  <conditionalFormatting sqref="AG32">
    <cfRule type="cellIs" dxfId="1524" priority="26" operator="lessThan">
      <formula>0.8</formula>
    </cfRule>
  </conditionalFormatting>
  <conditionalFormatting sqref="O70">
    <cfRule type="cellIs" dxfId="1523" priority="21" operator="greaterThan">
      <formula>0</formula>
    </cfRule>
  </conditionalFormatting>
  <conditionalFormatting sqref="P70 AE70">
    <cfRule type="cellIs" dxfId="1522" priority="24" operator="lessThan">
      <formula>0</formula>
    </cfRule>
  </conditionalFormatting>
  <conditionalFormatting sqref="Q70 AF70">
    <cfRule type="cellIs" dxfId="1521" priority="22" operator="greaterThan">
      <formula>1</formula>
    </cfRule>
    <cfRule type="cellIs" dxfId="1520" priority="23" operator="lessThan">
      <formula>0.8</formula>
    </cfRule>
  </conditionalFormatting>
  <conditionalFormatting sqref="R70 AG70">
    <cfRule type="cellIs" dxfId="1519" priority="25" operator="lessThan">
      <formula>0.8</formula>
    </cfRule>
  </conditionalFormatting>
  <conditionalFormatting sqref="O21">
    <cfRule type="cellIs" dxfId="1518" priority="16" operator="greaterThan">
      <formula>0</formula>
    </cfRule>
  </conditionalFormatting>
  <conditionalFormatting sqref="P21">
    <cfRule type="cellIs" dxfId="1517" priority="19" operator="lessThan">
      <formula>0</formula>
    </cfRule>
  </conditionalFormatting>
  <conditionalFormatting sqref="Q21">
    <cfRule type="cellIs" dxfId="1516" priority="17" operator="greaterThan">
      <formula>1</formula>
    </cfRule>
    <cfRule type="cellIs" dxfId="1515" priority="18" operator="lessThan">
      <formula>0.8</formula>
    </cfRule>
  </conditionalFormatting>
  <conditionalFormatting sqref="AG21 R21">
    <cfRule type="cellIs" dxfId="1514" priority="20" operator="lessThan">
      <formula>0.8</formula>
    </cfRule>
  </conditionalFormatting>
  <conditionalFormatting sqref="O22:O24">
    <cfRule type="cellIs" dxfId="1513" priority="11" operator="greaterThan">
      <formula>0</formula>
    </cfRule>
  </conditionalFormatting>
  <conditionalFormatting sqref="P22:P24">
    <cfRule type="cellIs" dxfId="1512" priority="14" operator="lessThan">
      <formula>0</formula>
    </cfRule>
  </conditionalFormatting>
  <conditionalFormatting sqref="Q22:Q24">
    <cfRule type="cellIs" dxfId="1511" priority="12" operator="greaterThan">
      <formula>1</formula>
    </cfRule>
    <cfRule type="cellIs" dxfId="1510" priority="13" operator="lessThan">
      <formula>0.8</formula>
    </cfRule>
  </conditionalFormatting>
  <conditionalFormatting sqref="AG22 R22">
    <cfRule type="cellIs" dxfId="1509" priority="15" operator="lessThan">
      <formula>0.8</formula>
    </cfRule>
  </conditionalFormatting>
  <conditionalFormatting sqref="P11">
    <cfRule type="cellIs" dxfId="1508" priority="10" operator="lessThan">
      <formula>0</formula>
    </cfRule>
  </conditionalFormatting>
  <conditionalFormatting sqref="P25">
    <cfRule type="cellIs" dxfId="1507" priority="9" operator="lessThan">
      <formula>0</formula>
    </cfRule>
  </conditionalFormatting>
  <conditionalFormatting sqref="P35">
    <cfRule type="cellIs" dxfId="1506" priority="8" operator="lessThan">
      <formula>0</formula>
    </cfRule>
  </conditionalFormatting>
  <conditionalFormatting sqref="P42">
    <cfRule type="cellIs" dxfId="1505" priority="7" operator="lessThan">
      <formula>0</formula>
    </cfRule>
  </conditionalFormatting>
  <conditionalFormatting sqref="P59">
    <cfRule type="cellIs" dxfId="1504" priority="6" operator="lessThan">
      <formula>0</formula>
    </cfRule>
  </conditionalFormatting>
  <conditionalFormatting sqref="P68">
    <cfRule type="cellIs" dxfId="1503" priority="5" operator="lessThan">
      <formula>0</formula>
    </cfRule>
  </conditionalFormatting>
  <conditionalFormatting sqref="P73">
    <cfRule type="cellIs" dxfId="1502" priority="4" operator="lessThan">
      <formula>0</formula>
    </cfRule>
  </conditionalFormatting>
  <conditionalFormatting sqref="P80">
    <cfRule type="cellIs" dxfId="1501" priority="3" operator="lessThan">
      <formula>0</formula>
    </cfRule>
  </conditionalFormatting>
  <conditionalFormatting sqref="AG23 R23">
    <cfRule type="cellIs" dxfId="1500" priority="2" operator="lessThan">
      <formula>0.8</formula>
    </cfRule>
  </conditionalFormatting>
  <conditionalFormatting sqref="AG24 R24">
    <cfRule type="cellIs" dxfId="1499" priority="1" operator="lessThan">
      <formula>0.8</formula>
    </cfRule>
  </conditionalFormatting>
  <dataValidations count="1">
    <dataValidation type="list" allowBlank="1" showInputMessage="1" showErrorMessage="1" sqref="AA5:AB9 AB10:AB11 AB13:AB69 AA10:AA72 AA73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14" sqref="E14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1552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1553</v>
      </c>
      <c r="C3" s="478" t="str">
        <f>TEXT('0118 4度C'!A2,"yyyy.mm.ddaaaa")</f>
        <v>2026.01.18星期日</v>
      </c>
      <c r="D3" s="479"/>
      <c r="E3" s="56" t="s">
        <v>1554</v>
      </c>
      <c r="F3" s="480">
        <f>'0118 4度C'!D1</f>
        <v>188351</v>
      </c>
      <c r="G3" s="481"/>
      <c r="H3" s="56" t="s">
        <v>1555</v>
      </c>
      <c r="I3" s="482">
        <f>'0118 4度C'!F1</f>
        <v>6302995.2999999989</v>
      </c>
      <c r="J3" s="483"/>
      <c r="K3" s="57"/>
      <c r="L3" s="58"/>
      <c r="M3" s="59"/>
      <c r="N3" s="59"/>
    </row>
    <row r="4" spans="2:17" ht="28.5" customHeight="1">
      <c r="B4" s="484" t="s">
        <v>1556</v>
      </c>
      <c r="C4" s="470" t="s">
        <v>1557</v>
      </c>
      <c r="D4" s="471"/>
      <c r="E4" s="487" t="s">
        <v>1558</v>
      </c>
      <c r="F4" s="488"/>
      <c r="G4" s="487" t="s">
        <v>1559</v>
      </c>
      <c r="H4" s="488"/>
      <c r="I4" s="487" t="s">
        <v>1560</v>
      </c>
      <c r="J4" s="488"/>
      <c r="K4" s="468" t="s">
        <v>1561</v>
      </c>
      <c r="L4" s="469"/>
      <c r="M4" s="469" t="s">
        <v>1562</v>
      </c>
      <c r="N4" s="469"/>
    </row>
    <row r="5" spans="2:17" ht="28.5" customHeight="1">
      <c r="B5" s="485"/>
      <c r="C5" s="470" t="s">
        <v>1563</v>
      </c>
      <c r="D5" s="471"/>
      <c r="E5" s="470" t="s">
        <v>1564</v>
      </c>
      <c r="F5" s="471"/>
      <c r="G5" s="472" t="s">
        <v>1565</v>
      </c>
      <c r="H5" s="473"/>
      <c r="I5" s="474" t="s">
        <v>1566</v>
      </c>
      <c r="J5" s="475"/>
      <c r="K5" s="60" t="s">
        <v>1567</v>
      </c>
      <c r="L5" s="61" t="s">
        <v>1568</v>
      </c>
      <c r="M5" s="60" t="s">
        <v>1569</v>
      </c>
      <c r="N5" s="61" t="s">
        <v>1570</v>
      </c>
    </row>
    <row r="6" spans="2:17" ht="28.5" customHeight="1">
      <c r="B6" s="485"/>
      <c r="C6" s="470" t="s">
        <v>144</v>
      </c>
      <c r="D6" s="471"/>
      <c r="E6" s="462">
        <f>AVERAGE(D13:M13)</f>
        <v>140.66423263184683</v>
      </c>
      <c r="F6" s="463">
        <f>AVERAGE(D31:O31,D13:J13)</f>
        <v>141.76645793820754</v>
      </c>
      <c r="G6" s="464">
        <f>AVERAGE(D13:J13)</f>
        <v>141.76645793820754</v>
      </c>
      <c r="H6" s="465"/>
      <c r="I6" s="464">
        <f>AVERAGE(K13:M13)</f>
        <v>138.09237358367187</v>
      </c>
      <c r="J6" s="465"/>
      <c r="K6" s="466">
        <f>'0118 4度C'!Y2</f>
        <v>0</v>
      </c>
      <c r="L6" s="451">
        <f>'0118 4度C'!Z2</f>
        <v>0</v>
      </c>
      <c r="M6" s="467">
        <f>'0118 4度C'!AC2</f>
        <v>46</v>
      </c>
      <c r="N6" s="451">
        <f>'0118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134.4475202661701</v>
      </c>
      <c r="F7" s="455">
        <f>AVERAGE(D32:O32,D14:J14)</f>
        <v>135.50510576811357</v>
      </c>
      <c r="G7" s="456">
        <f>AVERAGE(D14:J14)</f>
        <v>135.50510576811357</v>
      </c>
      <c r="H7" s="457"/>
      <c r="I7" s="456">
        <f>AVERAGE(K14:M14)</f>
        <v>131.97982076163541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0.95540539387880286</v>
      </c>
      <c r="F8" s="459">
        <f>AVERAGE(D15:J15,D33:O33)</f>
        <v>0.95523265471288243</v>
      </c>
      <c r="G8" s="460">
        <f>AVERAGE(D15:J15)</f>
        <v>0.95523265471288243</v>
      </c>
      <c r="H8" s="461"/>
      <c r="I8" s="460">
        <f>AVERAGE(K15:M15)</f>
        <v>0.95580845193261721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1571</v>
      </c>
      <c r="N9" s="59"/>
      <c r="O9" s="59"/>
      <c r="P9" s="59"/>
      <c r="Q9" s="59"/>
    </row>
    <row r="10" spans="2:17" ht="30" customHeight="1">
      <c r="B10" s="434" t="s">
        <v>1572</v>
      </c>
      <c r="C10" s="435"/>
      <c r="D10" s="436" t="s">
        <v>1573</v>
      </c>
      <c r="E10" s="437"/>
      <c r="F10" s="437"/>
      <c r="G10" s="437"/>
      <c r="H10" s="437"/>
      <c r="I10" s="437"/>
      <c r="J10" s="438"/>
      <c r="K10" s="439" t="s">
        <v>1574</v>
      </c>
      <c r="L10" s="440"/>
      <c r="M10" s="441"/>
      <c r="P10" s="65"/>
      <c r="Q10" s="65"/>
    </row>
    <row r="11" spans="2:17" ht="17.25" customHeight="1">
      <c r="B11" s="442" t="s">
        <v>1575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1576</v>
      </c>
      <c r="C13" s="72" t="s">
        <v>184</v>
      </c>
      <c r="D13" s="73">
        <f>SUMIFS('0118 4度C'!$K:$K,'0118 4度C'!$A:$A,"新豐6線",'0118 4度C'!$B:$B,"平均")</f>
        <v>112.35955056179775</v>
      </c>
      <c r="E13" s="74">
        <f>SUMIFS('0118 4度C'!$K:$K,'0118 4度C'!$A:$A,"新豐2線",'0118 4度C'!$B:$B,"平均")</f>
        <v>83.333333333333329</v>
      </c>
      <c r="F13" s="75">
        <f>SUMIFS('0118 4度C'!$K:$K,'0118 4度C'!$A:$A,"新豐5線",'0118 4度C'!$B:$B,"平均")</f>
        <v>109.84848484848484</v>
      </c>
      <c r="G13" s="75">
        <f>SUMIFS('0118 4度C'!$K:$K,'0118 4度C'!$A:$A,"新豐7線",'0118 4度C'!$B:$B,"平均")</f>
        <v>115.07936507936508</v>
      </c>
      <c r="H13" s="75">
        <f>SUMIFS('0118 4度C'!$K:$K,'0118 4度C'!$A:$A,"新豐3線",'0118 4度C'!$B:$B,"平均")</f>
        <v>300</v>
      </c>
      <c r="I13" s="75">
        <f>SUMIFS('0118 4度C'!$K:$K,'0118 4度C'!$A:$A,"新豐1線",'0118 4度C'!$B:$B,"平均")</f>
        <v>108.10810810810811</v>
      </c>
      <c r="J13" s="76">
        <f>SUMIFS('0118 4度C'!$K:$K,'0118 4度C'!$A:$A,"新豐10線",'0118 4度C'!$B:$B,"平均")</f>
        <v>163.63636363636363</v>
      </c>
      <c r="K13" s="77">
        <f>SUMIFS('0118 4度C'!$K:$K,'0118 4度C'!$A:$A,"新豐8線",'0118 4度C'!$B:$B,"平均")</f>
        <v>130.61224489795919</v>
      </c>
      <c r="L13" s="78">
        <f>SUMIFS('0118 4度C'!$K:$K,'0118 4度C'!$A:$A,"新豐9線",'0118 4度C'!$B:$B,"平均")</f>
        <v>135.21126760563379</v>
      </c>
      <c r="M13" s="76">
        <f>SUMIFS('0118 4度C'!$K:$K,'0118 4度C'!$A:$A,"新豐4線",'0118 4度C'!$B:$B,"平均")</f>
        <v>148.45360824742266</v>
      </c>
    </row>
    <row r="14" spans="2:17" ht="39.6" customHeight="1">
      <c r="B14" s="447"/>
      <c r="C14" s="79" t="s">
        <v>1577</v>
      </c>
      <c r="D14" s="80">
        <f>SUMIFS('0118 4度C'!$N:$N,'0118 4度C'!$A:$A,"新豐6線",'0118 4度C'!$B:$B,"平均")</f>
        <v>108.20363666941628</v>
      </c>
      <c r="E14" s="81">
        <f>SUMIFS('0118 4度C'!$N:$N,'0118 4度C'!$A:$A,"新豐2線",'0118 4度C'!$B:$B,"平均")</f>
        <v>79.648162317616936</v>
      </c>
      <c r="F14" s="81">
        <f>SUMIFS('0118 4度C'!$N:$N,'0118 4度C'!$A:$A,"新豐5線",'0118 4度C'!$B:$B,"平均")</f>
        <v>105.33363835035428</v>
      </c>
      <c r="G14" s="81">
        <f>SUMIFS('0118 4度C'!$N:$N,'0118 4度C'!$A:$A,"新豐7線",'0118 4度C'!$B:$B,"平均")</f>
        <v>110.50533850065577</v>
      </c>
      <c r="H14" s="81">
        <f>SUMIFS('0118 4度C'!$N:$N,'0118 4度C'!$A:$A,"新豐3線",'0118 4度C'!$B:$B,"平均")</f>
        <v>287.02158602888119</v>
      </c>
      <c r="I14" s="81">
        <f>SUMIFS('0118 4度C'!$N:$N,'0118 4度C'!$A:$A,"新豐1線",'0118 4度C'!$B:$B,"平均")</f>
        <v>100.7871677192234</v>
      </c>
      <c r="J14" s="82">
        <f>SUMIFS('0118 4度C'!$N:$N,'0118 4度C'!$A:$A,"新豐10線",'0118 4度C'!$B:$B,"平均")</f>
        <v>157.03621079064712</v>
      </c>
      <c r="K14" s="83">
        <f>SUMIFS('0118 4度C'!$N:$N,'0118 4度C'!$A:$A,"新豐8線",'0118 4度C'!$B:$B,"平均")</f>
        <v>124.94984458977483</v>
      </c>
      <c r="L14" s="84">
        <f>SUMIFS('0118 4度C'!$N:$N,'0118 4度C'!$A:$A,"新豐9線",'0118 4度C'!$B:$B,"平均")</f>
        <v>129.3907201093304</v>
      </c>
      <c r="M14" s="82">
        <f>SUMIFS('0118 4度C'!$N:$N,'0118 4度C'!$A:$A,"新豐4線",'0118 4度C'!$B:$B,"平均")</f>
        <v>141.59889758580096</v>
      </c>
    </row>
    <row r="15" spans="2:17" ht="40.15" customHeight="1">
      <c r="B15" s="448"/>
      <c r="C15" s="85" t="s">
        <v>1578</v>
      </c>
      <c r="D15" s="86">
        <f t="shared" ref="D15:M15" si="0">D14/D13</f>
        <v>0.96301236635780496</v>
      </c>
      <c r="E15" s="87">
        <f t="shared" si="0"/>
        <v>0.95577794781140324</v>
      </c>
      <c r="F15" s="87">
        <f t="shared" si="0"/>
        <v>0.95889932843081138</v>
      </c>
      <c r="G15" s="87">
        <f t="shared" si="0"/>
        <v>0.96025328628156048</v>
      </c>
      <c r="H15" s="87">
        <f t="shared" si="0"/>
        <v>0.95673862009627064</v>
      </c>
      <c r="I15" s="87">
        <f t="shared" si="0"/>
        <v>0.93228130140281651</v>
      </c>
      <c r="J15" s="88">
        <f t="shared" si="0"/>
        <v>0.95966573260951027</v>
      </c>
      <c r="K15" s="86">
        <f t="shared" si="0"/>
        <v>0.95664724764046349</v>
      </c>
      <c r="L15" s="87">
        <f t="shared" si="0"/>
        <v>0.95695220080858945</v>
      </c>
      <c r="M15" s="88">
        <f t="shared" si="0"/>
        <v>0.95382590734879824</v>
      </c>
    </row>
    <row r="16" spans="2:17" ht="17.25" customHeight="1">
      <c r="B16" s="449" t="s">
        <v>1579</v>
      </c>
      <c r="C16" s="89" t="s">
        <v>1580</v>
      </c>
      <c r="D16" s="90">
        <f>VLOOKUP("新豐6線",'0118 4度C'!$A:$T,19,0)</f>
        <v>0.70833333333333337</v>
      </c>
      <c r="E16" s="91">
        <f>VLOOKUP("新豐2線",'0118 4度C'!$A:$T,19,0)</f>
        <v>0.16666666666666666</v>
      </c>
      <c r="F16" s="91">
        <f>VLOOKUP("新豐5線",'0118 4度C'!$A:$T,19,0)</f>
        <v>0.20833333333333334</v>
      </c>
      <c r="G16" s="91">
        <f>VLOOKUP("新豐7線",'0118 4度C'!$A:$T,19,0)</f>
        <v>0.20833333333333334</v>
      </c>
      <c r="H16" s="91">
        <f>VLOOKUP("新豐3線",'0118 4度C'!$A:$T,19,0)</f>
        <v>8.3333333333333329E-2</v>
      </c>
      <c r="I16" s="91">
        <f>VLOOKUP("新豐1線",'0118 4度C'!$A:$T,19,0)</f>
        <v>0.20833333333333334</v>
      </c>
      <c r="J16" s="92">
        <f>VLOOKUP("新豐10線",'0118 4度C'!$A:$T,19,0)</f>
        <v>0.20833333333333334</v>
      </c>
      <c r="K16" s="93">
        <f>VLOOKUP("新豐8線",'0118 4度C'!$A:$T,19,0)</f>
        <v>8.3333333333333329E-2</v>
      </c>
      <c r="L16" s="94">
        <f>VLOOKUP("新豐9線",'0118 4度C'!$A:$T,19,0)</f>
        <v>8.3333333333333329E-2</v>
      </c>
      <c r="M16" s="95">
        <f>VLOOKUP("新豐4線",'0118 4度C'!$A:$T,19,0)</f>
        <v>8.3333333333333329E-2</v>
      </c>
    </row>
    <row r="17" spans="2:13" ht="17.25" customHeight="1">
      <c r="B17" s="450"/>
      <c r="C17" s="89" t="s">
        <v>1581</v>
      </c>
      <c r="D17" s="93">
        <f>LOOKUP(2,1/(('0118 4度C'!$A:$A="新豐6線")*('0118 4度C'!$T:$T&lt;&gt;"")),'0118 4度C'!$T:$T)</f>
        <v>0.93402777777777768</v>
      </c>
      <c r="E17" s="91">
        <f>LOOKUP(2,1/(('0118 4度C'!$A:$A="新豐2線")*('0118 4度C'!$T:$T&lt;&gt;"")),'0118 4度C'!$T:$T)</f>
        <v>0.46388888888888891</v>
      </c>
      <c r="F17" s="91">
        <f>LOOKUP(2,1/(('0118 4度C'!$A:$A="新豐5線")*('0118 4度C'!$T:$T&lt;&gt;"")),'0118 4度C'!$T:$T)</f>
        <v>0.92430555555555549</v>
      </c>
      <c r="G17" s="91">
        <f>LOOKUP(2,1/(('0118 4度C'!$A:$A="新豐7線")*('0118 4度C'!$T:$T&lt;&gt;"")),'0118 4度C'!$T:$T)</f>
        <v>0.92708333333333326</v>
      </c>
      <c r="H17" s="91">
        <f>LOOKUP(2,1/(('0118 4度C'!$A:$A="新豐3線")*('0118 4度C'!$T:$T&lt;&gt;"")),'0118 4度C'!$T:$T)</f>
        <v>0.63333333333333319</v>
      </c>
      <c r="I17" s="91">
        <f>LOOKUP(2,1/(('0118 4度C'!$A:$A="新豐1線")*('0118 4度C'!$T:$T&lt;&gt;"")),'0118 4度C'!$T:$T)</f>
        <v>0.92152777777777783</v>
      </c>
      <c r="J17" s="92">
        <f>LOOKUP(2,1/(('0118 4度C'!$A:$A="新豐10線")*('0118 4度C'!$T:$T&lt;&gt;"")),'0118 4度C'!$T:$T)</f>
        <v>0.57222222222222219</v>
      </c>
      <c r="K17" s="90">
        <f>LOOKUP(2,1/(('0118 4度C'!$A:$A="新豐8線")*('0118 4度C'!$T:$T&lt;&gt;"")),'0118 4度C'!$T:$T)</f>
        <v>0.72361111111111087</v>
      </c>
      <c r="L17" s="91">
        <f>LOOKUP(2,1/(('0118 4度C'!$A:$A="新豐9線")*('0118 4度C'!$T:$T&lt;&gt;"")),'0118 4度C'!$T:$T)</f>
        <v>0.71111111111111103</v>
      </c>
      <c r="M17" s="92">
        <f>LOOKUP(2,1/(('0118 4度C'!$A:$A="新豐4線")*('0118 4度C'!$T:$T&lt;&gt;"")),'0118 4度C'!$T:$T)</f>
        <v>0.64444444444444449</v>
      </c>
    </row>
    <row r="18" spans="2:13" ht="17.25" customHeight="1">
      <c r="B18" s="428" t="s">
        <v>190</v>
      </c>
      <c r="C18" s="96" t="s">
        <v>1582</v>
      </c>
      <c r="D18" s="97">
        <f>SUMIFS('0118 4度C'!$Y:$Y,'0118 4度C'!$A:$A,"新豐6線",'0118 4度C'!$B:$B,"平均")</f>
        <v>0</v>
      </c>
      <c r="E18" s="98">
        <f>SUMIFS('0118 4度C'!$Y:$Y,'0118 4度C'!$A:$A,"新豐2線",'0118 4度C'!$B:$B,"平均")</f>
        <v>0</v>
      </c>
      <c r="F18" s="98">
        <f>SUMIFS('0118 4度C'!$Y:$Y,'0118 4度C'!$A:$A,"新豐5線",'0118 4度C'!$B:$B,"平均")</f>
        <v>0</v>
      </c>
      <c r="G18" s="98">
        <f>SUMIFS('0118 4度C'!$Y:$Y,'0118 4度C'!$A:$A,"新豐7線",'0118 4度C'!$B:$B,"平均")</f>
        <v>0</v>
      </c>
      <c r="H18" s="98">
        <f>SUMIFS('0118 4度C'!$Y:$Y,'0118 4度C'!$A:$A,"新豐3線",'0118 4度C'!$B:$B,"平均")</f>
        <v>0</v>
      </c>
      <c r="I18" s="98">
        <f>SUMIFS('0118 4度C'!$Y:$Y,'0118 4度C'!$A:$A,"新豐1線",'0118 4度C'!$B:$B,"平均")</f>
        <v>0</v>
      </c>
      <c r="J18" s="99">
        <f>SUMIFS('0118 4度C'!$Y:$Y,'0118 4度C'!$A:$A,"新豐10線",'0118 4度C'!$B:$B,"平均")</f>
        <v>0</v>
      </c>
      <c r="K18" s="100">
        <f>SUMIFS('0118 4度C'!$Y:$Y,'0118 4度C'!$A:$A,"新豐8線",'0118 4度C'!$B:$B,"平均")</f>
        <v>0</v>
      </c>
      <c r="L18" s="98">
        <f>SUMIFS('0118 4度C'!$Y:$Y,'0118 4度C'!$A:$A,"新豐9線",'0118 4度C'!$B:$B,"平均")</f>
        <v>0</v>
      </c>
      <c r="M18" s="99">
        <f>SUMIFS('0118 4度C'!$Y:$Y,'0118 4度C'!$A:$A,"新豐4線",'0118 4度C'!$B:$B,"平均")</f>
        <v>0</v>
      </c>
    </row>
    <row r="19" spans="2:13" ht="17.25" customHeight="1">
      <c r="B19" s="429"/>
      <c r="C19" s="96" t="s">
        <v>192</v>
      </c>
      <c r="D19" s="97">
        <f>SUMIFS('0118 4度C'!$Z:$Z,'0118 4度C'!$A:$A,"新豐6線",'0118 4度C'!$B:$B,"平均")</f>
        <v>0</v>
      </c>
      <c r="E19" s="98">
        <f>SUMIFS('0118 4度C'!$Z:$Z,'0118 4度C'!$A:$A,"新豐2線",'0118 4度C'!$B:$B,"平均")</f>
        <v>0</v>
      </c>
      <c r="F19" s="98">
        <f>SUMIFS('0118 4度C'!$Z:$Z,'0118 4度C'!$A:$A,"新豐5線",'0118 4度C'!$B:$B,"平均")</f>
        <v>0</v>
      </c>
      <c r="G19" s="98">
        <f>SUMIFS('0118 4度C'!$Z:$Z,'0118 4度C'!$A:$A,"新豐7線",'0118 4度C'!$B:$B,"平均")</f>
        <v>0</v>
      </c>
      <c r="H19" s="98">
        <f>SUMIFS('0118 4度C'!$Z:$Z,'0118 4度C'!$A:$A,"新豐3線",'0118 4度C'!$B:$B,"平均")</f>
        <v>0</v>
      </c>
      <c r="I19" s="98">
        <f>SUMIFS('0118 4度C'!$Z:$Z,'0118 4度C'!$A:$A,"新豐1線",'0118 4度C'!$B:$B,"平均")</f>
        <v>0</v>
      </c>
      <c r="J19" s="99">
        <f>SUMIFS('0118 4度C'!$Z:$Z,'0118 4度C'!$A:$A,"新豐10線",'0118 4度C'!$B:$B,"平均")</f>
        <v>0</v>
      </c>
      <c r="K19" s="100">
        <f>SUMIFS('0118 4度C'!$Z:$Z,'0118 4度C'!$A:$A,"新豐8線",'0118 4度C'!$B:$B,"平均")</f>
        <v>0</v>
      </c>
      <c r="L19" s="98">
        <f>SUMIFS('0118 4度C'!$Z:$Z,'0118 4度C'!$A:$A,"新豐9線",'0118 4度C'!$B:$B,"平均")</f>
        <v>0</v>
      </c>
      <c r="M19" s="99">
        <f>SUMIFS('0118 4度C'!$Z:$Z,'0118 4度C'!$A:$A,"新豐4線",'0118 4度C'!$B:$B,"平均")</f>
        <v>0</v>
      </c>
    </row>
    <row r="20" spans="2:13" ht="17.25" customHeight="1">
      <c r="B20" s="428" t="s">
        <v>1583</v>
      </c>
      <c r="C20" s="96" t="s">
        <v>1584</v>
      </c>
      <c r="D20" s="97">
        <f>SUMIFS('0118 4度C'!$AC:$AC,'0118 4度C'!$A:$A,"新豐6線",'0118 4度C'!$B:$B,"平均")</f>
        <v>2</v>
      </c>
      <c r="E20" s="98">
        <f>SUMIFS('0118 4度C'!$AC:$AC,'0118 4度C'!$A:$A,"新豐2線",'0118 4度C'!$B:$B,"平均")</f>
        <v>3</v>
      </c>
      <c r="F20" s="98">
        <f>SUMIFS('0118 4度C'!$AC:$AC,'0118 4度C'!$A:$A,"新豐5線",'0118 4度C'!$B:$B,"平均")</f>
        <v>3</v>
      </c>
      <c r="G20" s="98">
        <f>SUMIFS('0118 4度C'!$AC:$AC,'0118 4度C'!$A:$A,"新豐7線",'0118 4度C'!$B:$B,"平均")</f>
        <v>4</v>
      </c>
      <c r="H20" s="98">
        <f>SUMIFS('0118 4度C'!$AC:$AC,'0118 4度C'!$A:$A,"新豐3線",'0118 4度C'!$B:$B,"平均")</f>
        <v>1</v>
      </c>
      <c r="I20" s="98">
        <f>SUMIFS('0118 4度C'!$AC:$AC,'0118 4度C'!$A:$A,"新豐1線",'0118 4度C'!$B:$B,"平均")</f>
        <v>5</v>
      </c>
      <c r="J20" s="99">
        <f>SUMIFS('0118 4度C'!$AC:$AC,'0118 4度C'!$A:$A,"新豐10線",'0118 4度C'!$B:$B,"平均")</f>
        <v>1</v>
      </c>
      <c r="K20" s="100">
        <f>SUMIFS('0118 4度C'!$AC:$AC,'0118 4度C'!$A:$A,"新豐8線",'0118 4度C'!$B:$B,"平均")</f>
        <v>10</v>
      </c>
      <c r="L20" s="98">
        <f>SUMIFS('0118 4度C'!$AC:$AC,'0118 4度C'!$A:$A,"新豐9線",'0118 4度C'!$B:$B,"平均")</f>
        <v>9</v>
      </c>
      <c r="M20" s="99">
        <f>SUMIFS('0118 4度C'!$AC:$AC,'0118 4度C'!$A:$A,"新豐4線",'0118 4度C'!$B:$B,"平均")</f>
        <v>8</v>
      </c>
    </row>
    <row r="21" spans="2:13" ht="17.25" customHeight="1">
      <c r="B21" s="429"/>
      <c r="C21" s="96" t="s">
        <v>1585</v>
      </c>
      <c r="D21" s="97">
        <f>SUMIFS('0118 4度C'!$AD:$AD,'0118 4度C'!$A:$A,"新豐6線",'0118 4度C'!$B:$B,"平均")</f>
        <v>0</v>
      </c>
      <c r="E21" s="98">
        <f>SUMIFS('0118 4度C'!$AD:$AD,'0118 4度C'!$A:$A,"新豐2線",'0118 4度C'!$B:$B,"平均")</f>
        <v>0</v>
      </c>
      <c r="F21" s="98">
        <f>SUMIFS('0118 4度C'!$AD:$AD,'0118 4度C'!$A:$A,"新豐5線",'0118 4度C'!$B:$B,"平均")</f>
        <v>0</v>
      </c>
      <c r="G21" s="98">
        <f>SUMIFS('0118 4度C'!$AD:$AD,'0118 4度C'!$A:$A,"新豐7線",'0118 4度C'!$B:$B,"平均")</f>
        <v>0</v>
      </c>
      <c r="H21" s="98">
        <f>SUMIFS('0118 4度C'!$AD:$AD,'0118 4度C'!$A:$A,"新豐3線",'0118 4度C'!$B:$B,"平均")</f>
        <v>0</v>
      </c>
      <c r="I21" s="98">
        <f>SUMIFS('0118 4度C'!$AD:$AD,'0118 4度C'!$A:$A,"新豐1線",'0118 4度C'!$B:$B,"平均")</f>
        <v>0</v>
      </c>
      <c r="J21" s="99">
        <f>SUMIFS('0118 4度C'!$AD:$AD,'0118 4度C'!$A:$A,"新豐10線",'0118 4度C'!$B:$B,"平均")</f>
        <v>0</v>
      </c>
      <c r="K21" s="100">
        <f>SUMIFS('0118 4度C'!$AD:$AD,'0118 4度C'!$A:$A,"新豐8線",'0118 4度C'!$B:$B,"平均")</f>
        <v>0</v>
      </c>
      <c r="L21" s="98">
        <f>SUMIFS('0118 4度C'!$AD:$AD,'0118 4度C'!$A:$A,"新豐9線",'0118 4度C'!$B:$B,"平均")</f>
        <v>0</v>
      </c>
      <c r="M21" s="99">
        <f>SUMIFS('0118 4度C'!$AD:$AD,'0118 4度C'!$A:$A,"新豐4線",'0118 4度C'!$B:$B,"平均")</f>
        <v>0</v>
      </c>
    </row>
    <row r="22" spans="2:13" ht="17.25" customHeight="1">
      <c r="B22" s="430" t="s">
        <v>1586</v>
      </c>
      <c r="C22" s="431"/>
      <c r="D22" s="101">
        <f>SUMIFS('0118 4度C'!$I:$I,'0118 4度C'!$A:$A,"新豐6線",'0118 4度C'!$B:$B,"平均")</f>
        <v>17.8</v>
      </c>
      <c r="E22" s="102">
        <f>SUMIFS('0118 4度C'!$I:$I,'0118 4度C'!$A:$A,"新豐2線",'0118 4度C'!$B:$B,"平均")</f>
        <v>18</v>
      </c>
      <c r="F22" s="102">
        <f>SUMIFS('0118 4度C'!$I:$I,'0118 4度C'!$A:$A,"新豐5線",'0118 4度C'!$B:$B,"平均")</f>
        <v>16.5</v>
      </c>
      <c r="G22" s="102">
        <f>SUMIFS('0118 4度C'!$I:$I,'0118 4度C'!$A:$A,"新豐7線",'0118 4度C'!$B:$B,"平均")</f>
        <v>15.75</v>
      </c>
      <c r="H22" s="102">
        <f>SUMIFS('0118 4度C'!$I:$I,'0118 4度C'!$A:$A,"新豐3線",'0118 4度C'!$B:$B,"平均")</f>
        <v>10</v>
      </c>
      <c r="I22" s="102">
        <f>SUMIFS('0118 4度C'!$I:$I,'0118 4度C'!$A:$A,"新豐1線",'0118 4度C'!$B:$B,"平均")</f>
        <v>18.5</v>
      </c>
      <c r="J22" s="103">
        <f>SUMIFS('0118 4度C'!$I:$I,'0118 4度C'!$A:$A,"新豐10線",'0118 4度C'!$B:$B,"平均")</f>
        <v>11</v>
      </c>
      <c r="K22" s="101">
        <f>SUMIFS('0118 4度C'!$I:$I,'0118 4度C'!$A:$A,"新豐8線",'0118 4度C'!$B:$B,"平均")</f>
        <v>18.375</v>
      </c>
      <c r="L22" s="102">
        <f>SUMIFS('0118 4度C'!$I:$I,'0118 4度C'!$A:$A,"新豐9線",'0118 4度C'!$B:$B,"平均")</f>
        <v>17.75</v>
      </c>
      <c r="M22" s="103">
        <f>SUMIFS('0118 4度C'!$I:$I,'0118 4度C'!$A:$A,"新豐4線",'0118 4度C'!$B:$B,"平均")</f>
        <v>16.166666666666668</v>
      </c>
    </row>
    <row r="23" spans="2:13" ht="17.25" customHeight="1">
      <c r="B23" s="430" t="s">
        <v>1587</v>
      </c>
      <c r="C23" s="431"/>
      <c r="D23" s="104" t="s">
        <v>157</v>
      </c>
      <c r="E23" s="105" t="s">
        <v>158</v>
      </c>
      <c r="F23" s="105" t="s">
        <v>1588</v>
      </c>
      <c r="G23" s="105" t="s">
        <v>1588</v>
      </c>
      <c r="H23" s="105" t="s">
        <v>159</v>
      </c>
      <c r="I23" s="105" t="s">
        <v>157</v>
      </c>
      <c r="J23" s="106" t="s">
        <v>159</v>
      </c>
      <c r="K23" s="104" t="s">
        <v>1589</v>
      </c>
      <c r="L23" s="105" t="s">
        <v>1589</v>
      </c>
      <c r="M23" s="106" t="s">
        <v>246</v>
      </c>
    </row>
    <row r="24" spans="2:13" ht="17.25" customHeight="1">
      <c r="B24" s="430" t="s">
        <v>1590</v>
      </c>
      <c r="C24" s="431"/>
      <c r="D24" s="104"/>
      <c r="E24" s="105"/>
      <c r="F24" s="105" t="s">
        <v>1591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1592</v>
      </c>
      <c r="C25" s="433"/>
      <c r="D25" s="107"/>
      <c r="E25" s="108" t="s">
        <v>1593</v>
      </c>
      <c r="F25" s="426" t="s">
        <v>1594</v>
      </c>
      <c r="G25" s="427"/>
      <c r="H25" s="108" t="s">
        <v>1595</v>
      </c>
      <c r="I25" s="108" t="s">
        <v>1596</v>
      </c>
      <c r="J25" s="109" t="s">
        <v>1595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9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2"/>
  <sheetViews>
    <sheetView zoomScale="80" zoomScaleNormal="80" workbookViewId="0">
      <pane ySplit="4" topLeftCell="A5" activePane="bottomLeft" state="frozen"/>
      <selection activeCell="K6" sqref="K6:K8"/>
      <selection pane="bottomLeft" activeCell="K6" sqref="K6:K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1597</v>
      </c>
      <c r="B1" s="1"/>
      <c r="C1" s="2" t="s">
        <v>1598</v>
      </c>
      <c r="D1" s="3">
        <f>SUM(F5:F81)</f>
        <v>188351</v>
      </c>
      <c r="E1" s="276" t="s">
        <v>1599</v>
      </c>
      <c r="F1" s="1">
        <f>SUM(G5:G81)</f>
        <v>6302995.2999999989</v>
      </c>
      <c r="G1" s="1" t="s">
        <v>1600</v>
      </c>
      <c r="H1" s="5">
        <v>159.84166666666667</v>
      </c>
      <c r="I1" s="542" t="s">
        <v>1601</v>
      </c>
      <c r="J1" s="542"/>
      <c r="K1" s="542"/>
      <c r="L1" s="542" t="s">
        <v>1602</v>
      </c>
      <c r="M1" s="542"/>
      <c r="N1" s="542"/>
      <c r="O1" s="542" t="s">
        <v>1603</v>
      </c>
      <c r="P1" s="542"/>
      <c r="Q1" s="542"/>
      <c r="R1" s="542"/>
      <c r="S1" s="542" t="s">
        <v>1604</v>
      </c>
      <c r="T1" s="542"/>
      <c r="U1" s="542"/>
      <c r="V1" s="542"/>
      <c r="W1" s="542"/>
      <c r="X1" s="542"/>
      <c r="Y1" s="6" t="s">
        <v>1605</v>
      </c>
      <c r="Z1" s="7" t="s">
        <v>1606</v>
      </c>
      <c r="AA1" s="543" t="s">
        <v>1607</v>
      </c>
      <c r="AB1" s="543"/>
      <c r="AC1" s="8" t="s">
        <v>1605</v>
      </c>
      <c r="AD1" s="7" t="s">
        <v>1608</v>
      </c>
      <c r="AE1" s="542" t="s">
        <v>1609</v>
      </c>
      <c r="AF1" s="544"/>
      <c r="AG1" s="544"/>
    </row>
    <row r="2" spans="1:33" ht="26.25" customHeight="1">
      <c r="A2" s="49">
        <v>46040</v>
      </c>
      <c r="B2" s="50" t="s">
        <v>473</v>
      </c>
      <c r="C2" s="2" t="s">
        <v>1610</v>
      </c>
      <c r="D2" s="10">
        <f>AVERAGE(N10,N13,N59,N68,N22,N74,N31,N40,N49,N81)</f>
        <v>134.4475202661701</v>
      </c>
      <c r="E2" s="11" t="s">
        <v>14</v>
      </c>
      <c r="F2" s="12">
        <f>F1/D1</f>
        <v>33.464092571847239</v>
      </c>
      <c r="G2" s="1" t="s">
        <v>1611</v>
      </c>
      <c r="H2" s="288">
        <v>13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SUM(Y10+Y13+Y22+Y31+Y40+Y49+Y59+Y68+Y74+Y81)</f>
        <v>0</v>
      </c>
      <c r="Z2" s="14">
        <f>SUM(Z10+Z13+Z22+Z31+Z40+Z49+Z59+Z68+Z74+Z81)</f>
        <v>0</v>
      </c>
      <c r="AA2" s="543"/>
      <c r="AB2" s="543"/>
      <c r="AC2" s="14">
        <v>46</v>
      </c>
      <c r="AD2" s="14">
        <f>SUM(AD10+AD13+AD22+AD31+AD40+AD49+AD59+AD68+AD74+AD81)</f>
        <v>0</v>
      </c>
      <c r="AE2" s="544"/>
      <c r="AF2" s="544"/>
      <c r="AG2" s="544"/>
    </row>
    <row r="3" spans="1:33" ht="40.5" customHeight="1">
      <c r="A3" s="491" t="s">
        <v>1612</v>
      </c>
      <c r="B3" s="491" t="s">
        <v>1613</v>
      </c>
      <c r="C3" s="491" t="s">
        <v>1614</v>
      </c>
      <c r="D3" s="491"/>
      <c r="E3" s="540" t="s">
        <v>1615</v>
      </c>
      <c r="F3" s="491" t="s">
        <v>1616</v>
      </c>
      <c r="G3" s="540" t="s">
        <v>1617</v>
      </c>
      <c r="H3" s="533" t="s">
        <v>1618</v>
      </c>
      <c r="I3" s="531" t="s">
        <v>1619</v>
      </c>
      <c r="J3" s="528" t="s">
        <v>1620</v>
      </c>
      <c r="K3" s="538" t="s">
        <v>1610</v>
      </c>
      <c r="L3" s="531" t="s">
        <v>1619</v>
      </c>
      <c r="M3" s="528" t="s">
        <v>1620</v>
      </c>
      <c r="N3" s="538" t="s">
        <v>1610</v>
      </c>
      <c r="O3" s="531" t="s">
        <v>1619</v>
      </c>
      <c r="P3" s="538" t="s">
        <v>1610</v>
      </c>
      <c r="Q3" s="529" t="s">
        <v>1621</v>
      </c>
      <c r="R3" s="507" t="s">
        <v>26</v>
      </c>
      <c r="S3" s="539" t="s">
        <v>27</v>
      </c>
      <c r="T3" s="539"/>
      <c r="U3" s="533" t="s">
        <v>28</v>
      </c>
      <c r="V3" s="533" t="s">
        <v>1622</v>
      </c>
      <c r="W3" s="491" t="s">
        <v>1623</v>
      </c>
      <c r="X3" s="491"/>
      <c r="Y3" s="534" t="s">
        <v>1624</v>
      </c>
      <c r="Z3" s="495"/>
      <c r="AA3" s="535" t="s">
        <v>1625</v>
      </c>
      <c r="AB3" s="536"/>
      <c r="AC3" s="534" t="s">
        <v>1626</v>
      </c>
      <c r="AD3" s="495"/>
      <c r="AE3" s="528" t="s">
        <v>1620</v>
      </c>
      <c r="AF3" s="529" t="s">
        <v>1621</v>
      </c>
      <c r="AG3" s="507" t="s">
        <v>26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87" t="s">
        <v>37</v>
      </c>
      <c r="T4" s="287" t="s">
        <v>38</v>
      </c>
      <c r="U4" s="533"/>
      <c r="V4" s="533"/>
      <c r="W4" s="276" t="s">
        <v>1627</v>
      </c>
      <c r="X4" s="276" t="s">
        <v>1628</v>
      </c>
      <c r="Y4" s="278" t="s">
        <v>1629</v>
      </c>
      <c r="Z4" s="278" t="s">
        <v>1630</v>
      </c>
      <c r="AA4" s="537"/>
      <c r="AB4" s="536"/>
      <c r="AC4" s="278" t="s">
        <v>1631</v>
      </c>
      <c r="AD4" s="278" t="s">
        <v>1632</v>
      </c>
      <c r="AE4" s="528"/>
      <c r="AF4" s="529"/>
      <c r="AG4" s="507"/>
    </row>
    <row r="5" spans="1:33">
      <c r="A5" s="530" t="s">
        <v>1633</v>
      </c>
      <c r="B5" s="42" t="s">
        <v>103</v>
      </c>
      <c r="C5" s="532" t="s">
        <v>120</v>
      </c>
      <c r="D5" s="532"/>
      <c r="E5" s="42">
        <v>50.67</v>
      </c>
      <c r="F5" s="287">
        <v>1522</v>
      </c>
      <c r="G5" s="276">
        <f t="shared" ref="G5:G9" si="0">E5*F5</f>
        <v>77119.740000000005</v>
      </c>
      <c r="H5" s="291" t="s">
        <v>79</v>
      </c>
      <c r="I5" s="285">
        <v>17</v>
      </c>
      <c r="J5" s="37">
        <v>2000</v>
      </c>
      <c r="K5" s="17">
        <f t="shared" ref="K5:K68" si="1">J5/I5</f>
        <v>117.64705882352941</v>
      </c>
      <c r="L5" s="285">
        <v>17</v>
      </c>
      <c r="M5" s="18">
        <f t="shared" ref="M5:M9" si="2">F5/V5*60</f>
        <v>1902.5000000000005</v>
      </c>
      <c r="N5" s="17">
        <f t="shared" ref="N5:N68" si="3">M5/L5</f>
        <v>111.91176470588238</v>
      </c>
      <c r="O5" s="19">
        <f t="shared" ref="O5:O68" si="4">L5-I5</f>
        <v>0</v>
      </c>
      <c r="P5" s="20">
        <f t="shared" ref="P5:P68" si="5">N5-K5</f>
        <v>-5.7352941176470296</v>
      </c>
      <c r="Q5" s="279">
        <f t="shared" ref="Q5:Q68" si="6">N5/K5</f>
        <v>0.95125000000000026</v>
      </c>
      <c r="R5" s="489">
        <f>Q10</f>
        <v>0.96301236635780496</v>
      </c>
      <c r="S5" s="40">
        <v>0.70833333333333337</v>
      </c>
      <c r="T5" s="40">
        <v>0.7416666666666667</v>
      </c>
      <c r="U5" s="276"/>
      <c r="V5" s="286">
        <f t="shared" ref="V5:V9" si="7">(T5-S5)*24*60</f>
        <v>47.999999999999986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-97.499999999999545</v>
      </c>
      <c r="AF5" s="279">
        <f t="shared" ref="AF5:AF68" si="9">M5/J5</f>
        <v>0.95125000000000026</v>
      </c>
      <c r="AG5" s="489">
        <f>AF10</f>
        <v>0.96301236635780496</v>
      </c>
    </row>
    <row r="6" spans="1:33">
      <c r="A6" s="531" t="s">
        <v>1634</v>
      </c>
      <c r="B6" s="42" t="s">
        <v>103</v>
      </c>
      <c r="C6" s="532" t="s">
        <v>121</v>
      </c>
      <c r="D6" s="532"/>
      <c r="E6" s="42">
        <v>54.09</v>
      </c>
      <c r="F6" s="287">
        <v>1488</v>
      </c>
      <c r="G6" s="276">
        <f t="shared" si="0"/>
        <v>80485.919999999998</v>
      </c>
      <c r="H6" s="291" t="s">
        <v>79</v>
      </c>
      <c r="I6" s="285">
        <v>19</v>
      </c>
      <c r="J6" s="37">
        <v>2000</v>
      </c>
      <c r="K6" s="17">
        <f t="shared" si="1"/>
        <v>105.26315789473684</v>
      </c>
      <c r="L6" s="285">
        <v>19</v>
      </c>
      <c r="M6" s="18">
        <f t="shared" si="2"/>
        <v>1940.8695652173915</v>
      </c>
      <c r="N6" s="17">
        <f t="shared" si="3"/>
        <v>102.15102974828376</v>
      </c>
      <c r="O6" s="19">
        <f t="shared" si="4"/>
        <v>0</v>
      </c>
      <c r="P6" s="20">
        <f t="shared" si="5"/>
        <v>-3.1121281464530739</v>
      </c>
      <c r="Q6" s="279">
        <f t="shared" si="6"/>
        <v>0.97043478260869576</v>
      </c>
      <c r="R6" s="489"/>
      <c r="S6" s="40">
        <v>0.74722222222222223</v>
      </c>
      <c r="T6" s="40">
        <v>0.77916666666666667</v>
      </c>
      <c r="U6" s="276">
        <f t="shared" ref="U6:U9" si="10">IF(S6=TIME(17,0,0),"",(S6-T5)*24*60)</f>
        <v>7.9999999999999716</v>
      </c>
      <c r="V6" s="286">
        <f t="shared" si="7"/>
        <v>46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-59.130434782608518</v>
      </c>
      <c r="AF6" s="279">
        <f t="shared" si="9"/>
        <v>0.97043478260869576</v>
      </c>
      <c r="AG6" s="489"/>
    </row>
    <row r="7" spans="1:33">
      <c r="A7" s="531" t="s">
        <v>1634</v>
      </c>
      <c r="B7" s="42" t="s">
        <v>103</v>
      </c>
      <c r="C7" s="523" t="s">
        <v>122</v>
      </c>
      <c r="D7" s="524"/>
      <c r="E7" s="42">
        <v>50.29</v>
      </c>
      <c r="F7" s="287">
        <v>1278</v>
      </c>
      <c r="G7" s="276">
        <f t="shared" si="0"/>
        <v>64270.619999999995</v>
      </c>
      <c r="H7" s="291" t="s">
        <v>79</v>
      </c>
      <c r="I7" s="285">
        <v>16</v>
      </c>
      <c r="J7" s="37">
        <v>2000</v>
      </c>
      <c r="K7" s="17">
        <f t="shared" si="1"/>
        <v>125</v>
      </c>
      <c r="L7" s="285">
        <v>16</v>
      </c>
      <c r="M7" s="18">
        <f t="shared" si="2"/>
        <v>1916.9999999999993</v>
      </c>
      <c r="N7" s="17">
        <f t="shared" si="3"/>
        <v>119.81249999999996</v>
      </c>
      <c r="O7" s="19">
        <f t="shared" si="4"/>
        <v>0</v>
      </c>
      <c r="P7" s="20">
        <f t="shared" si="5"/>
        <v>-5.1875000000000426</v>
      </c>
      <c r="Q7" s="279">
        <f t="shared" si="6"/>
        <v>0.95849999999999969</v>
      </c>
      <c r="R7" s="489"/>
      <c r="S7" s="40">
        <v>0.78402777777777777</v>
      </c>
      <c r="T7" s="40">
        <v>0.81180555555555556</v>
      </c>
      <c r="U7" s="276">
        <f t="shared" si="10"/>
        <v>6.9999999999999751</v>
      </c>
      <c r="V7" s="286">
        <f t="shared" si="7"/>
        <v>40.000000000000014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-83.000000000000682</v>
      </c>
      <c r="AF7" s="279">
        <f t="shared" si="9"/>
        <v>0.95849999999999969</v>
      </c>
      <c r="AG7" s="489"/>
    </row>
    <row r="8" spans="1:33">
      <c r="A8" s="531" t="s">
        <v>1635</v>
      </c>
      <c r="B8" s="42" t="s">
        <v>103</v>
      </c>
      <c r="C8" s="523" t="s">
        <v>515</v>
      </c>
      <c r="D8" s="524"/>
      <c r="E8" s="42">
        <v>50.67</v>
      </c>
      <c r="F8" s="287">
        <v>1677</v>
      </c>
      <c r="G8" s="276">
        <f t="shared" si="0"/>
        <v>84973.59</v>
      </c>
      <c r="H8" s="291" t="s">
        <v>79</v>
      </c>
      <c r="I8" s="285">
        <v>21</v>
      </c>
      <c r="J8" s="37">
        <v>2000</v>
      </c>
      <c r="K8" s="17">
        <f t="shared" si="1"/>
        <v>95.238095238095241</v>
      </c>
      <c r="L8" s="285">
        <v>21</v>
      </c>
      <c r="M8" s="18">
        <f t="shared" si="2"/>
        <v>1935.0000000000009</v>
      </c>
      <c r="N8" s="17">
        <f t="shared" si="3"/>
        <v>92.142857142857181</v>
      </c>
      <c r="O8" s="19">
        <f t="shared" si="4"/>
        <v>0</v>
      </c>
      <c r="P8" s="20">
        <f t="shared" si="5"/>
        <v>-3.0952380952380594</v>
      </c>
      <c r="Q8" s="279">
        <f t="shared" si="6"/>
        <v>0.96750000000000036</v>
      </c>
      <c r="R8" s="489"/>
      <c r="S8" s="40">
        <v>0.81527777777777777</v>
      </c>
      <c r="T8" s="40">
        <v>0.85138888888888886</v>
      </c>
      <c r="U8" s="276">
        <f t="shared" si="10"/>
        <v>4.9999999999999822</v>
      </c>
      <c r="V8" s="286">
        <f t="shared" si="7"/>
        <v>51.999999999999972</v>
      </c>
      <c r="W8" s="23">
        <f>T8</f>
        <v>0.85138888888888886</v>
      </c>
      <c r="X8" s="23">
        <f>S9</f>
        <v>0.89166666666666661</v>
      </c>
      <c r="Y8" s="29"/>
      <c r="Z8" s="29"/>
      <c r="AA8" s="503"/>
      <c r="AB8" s="504"/>
      <c r="AC8" s="155"/>
      <c r="AD8" s="27"/>
      <c r="AE8" s="19">
        <f t="shared" si="8"/>
        <v>-64.999999999999091</v>
      </c>
      <c r="AF8" s="279">
        <f t="shared" si="9"/>
        <v>0.96750000000000047</v>
      </c>
      <c r="AG8" s="489"/>
    </row>
    <row r="9" spans="1:33">
      <c r="A9" s="531" t="s">
        <v>1634</v>
      </c>
      <c r="B9" s="42" t="s">
        <v>103</v>
      </c>
      <c r="C9" s="523" t="s">
        <v>123</v>
      </c>
      <c r="D9" s="524"/>
      <c r="E9" s="42">
        <v>50.98</v>
      </c>
      <c r="F9" s="287">
        <v>1967</v>
      </c>
      <c r="G9" s="276">
        <f t="shared" si="0"/>
        <v>100277.65999999999</v>
      </c>
      <c r="H9" s="291" t="s">
        <v>79</v>
      </c>
      <c r="I9" s="285">
        <v>16</v>
      </c>
      <c r="J9" s="37">
        <v>2000</v>
      </c>
      <c r="K9" s="17">
        <f t="shared" si="1"/>
        <v>125</v>
      </c>
      <c r="L9" s="285">
        <v>16</v>
      </c>
      <c r="M9" s="18">
        <f t="shared" si="2"/>
        <v>1934.7540983606573</v>
      </c>
      <c r="N9" s="17">
        <f t="shared" si="3"/>
        <v>120.92213114754108</v>
      </c>
      <c r="O9" s="19">
        <f t="shared" si="4"/>
        <v>0</v>
      </c>
      <c r="P9" s="20">
        <f t="shared" si="5"/>
        <v>-4.0778688524589199</v>
      </c>
      <c r="Q9" s="279">
        <f t="shared" si="6"/>
        <v>0.96737704918032863</v>
      </c>
      <c r="R9" s="489"/>
      <c r="S9" s="40">
        <v>0.89166666666666661</v>
      </c>
      <c r="T9" s="40">
        <v>0.93402777777777768</v>
      </c>
      <c r="U9" s="276">
        <f t="shared" si="10"/>
        <v>57.999999999999957</v>
      </c>
      <c r="V9" s="286">
        <f t="shared" si="7"/>
        <v>60.999999999999943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-65.245901639342719</v>
      </c>
      <c r="AF9" s="279">
        <f t="shared" si="9"/>
        <v>0.96737704918032863</v>
      </c>
      <c r="AG9" s="489"/>
    </row>
    <row r="10" spans="1:33">
      <c r="A10" s="531" t="s">
        <v>1633</v>
      </c>
      <c r="B10" s="42" t="s">
        <v>1636</v>
      </c>
      <c r="C10" s="494"/>
      <c r="D10" s="494"/>
      <c r="E10" s="280"/>
      <c r="F10" s="44"/>
      <c r="G10" s="17"/>
      <c r="H10" s="287"/>
      <c r="I10" s="30">
        <v>17.8</v>
      </c>
      <c r="J10" s="37">
        <v>2000</v>
      </c>
      <c r="K10" s="17">
        <f t="shared" si="1"/>
        <v>112.35955056179775</v>
      </c>
      <c r="L10" s="30">
        <v>17.8</v>
      </c>
      <c r="M10" s="18">
        <f>AVERAGE(M5:M9)</f>
        <v>1926.0247327156098</v>
      </c>
      <c r="N10" s="17">
        <f t="shared" si="3"/>
        <v>108.20363666941628</v>
      </c>
      <c r="O10" s="19">
        <f t="shared" si="4"/>
        <v>0</v>
      </c>
      <c r="P10" s="20">
        <f t="shared" si="5"/>
        <v>-4.1559138923814629</v>
      </c>
      <c r="Q10" s="279">
        <f t="shared" si="6"/>
        <v>0.96301236635780496</v>
      </c>
      <c r="R10" s="489"/>
      <c r="S10" s="40"/>
      <c r="T10" s="40"/>
      <c r="U10" s="276"/>
      <c r="V10" s="286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2</v>
      </c>
      <c r="AD10" s="31">
        <f>SUM(AD5:AD9)</f>
        <v>0</v>
      </c>
      <c r="AE10" s="19">
        <f t="shared" si="8"/>
        <v>-73.975267284390156</v>
      </c>
      <c r="AF10" s="279">
        <f t="shared" si="9"/>
        <v>0.96301236635780496</v>
      </c>
      <c r="AG10" s="489"/>
    </row>
    <row r="11" spans="1:33" ht="15.75" customHeight="1">
      <c r="A11" s="527" t="s">
        <v>1637</v>
      </c>
      <c r="B11" s="42" t="s">
        <v>100</v>
      </c>
      <c r="C11" s="523" t="s">
        <v>124</v>
      </c>
      <c r="D11" s="524"/>
      <c r="E11" s="42">
        <v>39.619999999999997</v>
      </c>
      <c r="F11" s="287">
        <v>3621</v>
      </c>
      <c r="G11" s="276">
        <f t="shared" ref="G11:G12" si="11">E11*F11</f>
        <v>143464.01999999999</v>
      </c>
      <c r="H11" s="291" t="s">
        <v>79</v>
      </c>
      <c r="I11" s="285">
        <v>19</v>
      </c>
      <c r="J11" s="37">
        <v>1500</v>
      </c>
      <c r="K11" s="17">
        <f t="shared" si="1"/>
        <v>78.94736842105263</v>
      </c>
      <c r="L11" s="285">
        <v>19</v>
      </c>
      <c r="M11" s="18">
        <f t="shared" ref="M11:M12" si="12">F11/V11*60</f>
        <v>1438.8079470198677</v>
      </c>
      <c r="N11" s="17">
        <f t="shared" si="3"/>
        <v>75.726734053677248</v>
      </c>
      <c r="O11" s="19">
        <f t="shared" si="4"/>
        <v>0</v>
      </c>
      <c r="P11" s="20">
        <f t="shared" si="5"/>
        <v>-3.2206343673753821</v>
      </c>
      <c r="Q11" s="279">
        <f t="shared" si="6"/>
        <v>0.95920529801324517</v>
      </c>
      <c r="R11" s="489">
        <f>Q13</f>
        <v>0.95577794781140324</v>
      </c>
      <c r="S11" s="40">
        <v>0.16666666666666666</v>
      </c>
      <c r="T11" s="40">
        <v>0.27152777777777776</v>
      </c>
      <c r="U11" s="276"/>
      <c r="V11" s="286">
        <f t="shared" ref="V11:V12" si="13">(T11-S11)*24*60</f>
        <v>151</v>
      </c>
      <c r="W11" s="23">
        <f>T11</f>
        <v>0.27152777777777776</v>
      </c>
      <c r="X11" s="23">
        <f>S12</f>
        <v>0.2895833333333333</v>
      </c>
      <c r="Y11" s="23"/>
      <c r="Z11" s="23"/>
      <c r="AA11" s="491"/>
      <c r="AB11" s="491"/>
      <c r="AC11" s="154">
        <v>3</v>
      </c>
      <c r="AD11" s="25"/>
      <c r="AE11" s="19">
        <f t="shared" si="8"/>
        <v>-61.192052980132303</v>
      </c>
      <c r="AF11" s="279">
        <f t="shared" si="9"/>
        <v>0.95920529801324517</v>
      </c>
      <c r="AG11" s="489">
        <f>AF13</f>
        <v>0.95577794781140335</v>
      </c>
    </row>
    <row r="12" spans="1:33" ht="15.75" customHeight="1">
      <c r="A12" s="527" t="s">
        <v>1637</v>
      </c>
      <c r="B12" s="42" t="s">
        <v>100</v>
      </c>
      <c r="C12" s="523" t="s">
        <v>125</v>
      </c>
      <c r="D12" s="524"/>
      <c r="E12" s="42">
        <v>39.799999999999997</v>
      </c>
      <c r="F12" s="287">
        <v>5976</v>
      </c>
      <c r="G12" s="276">
        <f t="shared" si="11"/>
        <v>237844.8</v>
      </c>
      <c r="H12" s="291" t="s">
        <v>79</v>
      </c>
      <c r="I12" s="285">
        <v>17</v>
      </c>
      <c r="J12" s="37">
        <v>1500</v>
      </c>
      <c r="K12" s="17">
        <f t="shared" si="1"/>
        <v>88.235294117647058</v>
      </c>
      <c r="L12" s="285">
        <v>17</v>
      </c>
      <c r="M12" s="18">
        <f t="shared" si="12"/>
        <v>1428.5258964143422</v>
      </c>
      <c r="N12" s="17">
        <f t="shared" si="3"/>
        <v>84.030935083196596</v>
      </c>
      <c r="O12" s="19">
        <f t="shared" si="4"/>
        <v>0</v>
      </c>
      <c r="P12" s="20">
        <f t="shared" si="5"/>
        <v>-4.2043590344504622</v>
      </c>
      <c r="Q12" s="279">
        <f t="shared" si="6"/>
        <v>0.95235059760956142</v>
      </c>
      <c r="R12" s="489"/>
      <c r="S12" s="40">
        <v>0.2895833333333333</v>
      </c>
      <c r="T12" s="40">
        <v>0.46388888888888891</v>
      </c>
      <c r="U12" s="276">
        <f t="shared" ref="U12" si="14">IF(S12=TIME(17,0,0),"",(S12-T11)*24*60)</f>
        <v>25.999999999999986</v>
      </c>
      <c r="V12" s="286">
        <f t="shared" si="13"/>
        <v>251.00000000000006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-71.474103585657758</v>
      </c>
      <c r="AF12" s="279">
        <f t="shared" si="9"/>
        <v>0.95235059760956153</v>
      </c>
      <c r="AG12" s="489"/>
    </row>
    <row r="13" spans="1:33" ht="16.5" customHeight="1">
      <c r="A13" s="527" t="s">
        <v>1637</v>
      </c>
      <c r="B13" s="42" t="s">
        <v>1638</v>
      </c>
      <c r="C13" s="494"/>
      <c r="D13" s="494"/>
      <c r="E13" s="280"/>
      <c r="F13" s="37"/>
      <c r="G13" s="18"/>
      <c r="H13" s="287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1433.666921717105</v>
      </c>
      <c r="N13" s="17">
        <f t="shared" si="3"/>
        <v>79.648162317616936</v>
      </c>
      <c r="O13" s="19">
        <f t="shared" si="4"/>
        <v>0</v>
      </c>
      <c r="P13" s="20">
        <f t="shared" si="5"/>
        <v>-3.6851710157163922</v>
      </c>
      <c r="Q13" s="279">
        <f t="shared" si="6"/>
        <v>0.95577794781140324</v>
      </c>
      <c r="R13" s="489"/>
      <c r="S13" s="40"/>
      <c r="T13" s="40"/>
      <c r="U13" s="17"/>
      <c r="V13" s="286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3</v>
      </c>
      <c r="AD13" s="31">
        <f>SUM(AD11:AD12)</f>
        <v>0</v>
      </c>
      <c r="AE13" s="19">
        <f t="shared" si="8"/>
        <v>-66.33307828289503</v>
      </c>
      <c r="AF13" s="279">
        <f t="shared" si="9"/>
        <v>0.95577794781140335</v>
      </c>
      <c r="AG13" s="489"/>
    </row>
    <row r="14" spans="1:33" ht="16.5" customHeight="1">
      <c r="A14" s="525" t="s">
        <v>1639</v>
      </c>
      <c r="B14" s="287" t="s">
        <v>126</v>
      </c>
      <c r="C14" s="515" t="s">
        <v>127</v>
      </c>
      <c r="D14" s="515"/>
      <c r="E14" s="42">
        <v>41</v>
      </c>
      <c r="F14" s="287">
        <v>2131</v>
      </c>
      <c r="G14" s="276">
        <f t="shared" ref="G14:G21" si="15">E14*F14</f>
        <v>87371</v>
      </c>
      <c r="H14" s="291" t="s">
        <v>79</v>
      </c>
      <c r="I14" s="285">
        <v>26</v>
      </c>
      <c r="J14" s="37">
        <v>1500</v>
      </c>
      <c r="K14" s="17">
        <f t="shared" si="1"/>
        <v>57.692307692307693</v>
      </c>
      <c r="L14" s="285">
        <v>26</v>
      </c>
      <c r="M14" s="18">
        <f t="shared" ref="M14:M21" si="16">F14/V14*60</f>
        <v>1436.6292134831453</v>
      </c>
      <c r="N14" s="17">
        <f t="shared" si="3"/>
        <v>55.254969749351744</v>
      </c>
      <c r="O14" s="19">
        <f t="shared" si="4"/>
        <v>0</v>
      </c>
      <c r="P14" s="20">
        <f t="shared" si="5"/>
        <v>-2.4373379429559492</v>
      </c>
      <c r="Q14" s="279">
        <f t="shared" si="6"/>
        <v>0.95775280898876358</v>
      </c>
      <c r="R14" s="489">
        <f>Q22</f>
        <v>0.95889932843081138</v>
      </c>
      <c r="S14" s="40">
        <v>0.20833333333333334</v>
      </c>
      <c r="T14" s="40">
        <v>0.27013888888888893</v>
      </c>
      <c r="U14" s="276"/>
      <c r="V14" s="286">
        <f t="shared" ref="V14:V21" si="17">(T14-S14)*24*60</f>
        <v>89.000000000000043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-63.37078651685465</v>
      </c>
      <c r="AF14" s="279">
        <f t="shared" si="9"/>
        <v>0.95775280898876358</v>
      </c>
      <c r="AG14" s="489">
        <f>AF22</f>
        <v>0.95889932843081138</v>
      </c>
    </row>
    <row r="15" spans="1:33" ht="16.5" customHeight="1">
      <c r="A15" s="526" t="s">
        <v>1639</v>
      </c>
      <c r="B15" s="287" t="s">
        <v>128</v>
      </c>
      <c r="C15" s="515" t="s">
        <v>129</v>
      </c>
      <c r="D15" s="515"/>
      <c r="E15" s="42">
        <v>72.400000000000006</v>
      </c>
      <c r="F15" s="287">
        <v>869</v>
      </c>
      <c r="G15" s="276">
        <f t="shared" si="15"/>
        <v>62915.600000000006</v>
      </c>
      <c r="H15" s="291" t="s">
        <v>79</v>
      </c>
      <c r="I15" s="285">
        <v>18</v>
      </c>
      <c r="J15" s="37">
        <v>1500</v>
      </c>
      <c r="K15" s="17">
        <f t="shared" si="1"/>
        <v>83.333333333333329</v>
      </c>
      <c r="L15" s="285">
        <v>18</v>
      </c>
      <c r="M15" s="18">
        <f t="shared" si="16"/>
        <v>1448.3333333333323</v>
      </c>
      <c r="N15" s="17">
        <f t="shared" si="3"/>
        <v>80.462962962962905</v>
      </c>
      <c r="O15" s="19">
        <f t="shared" si="4"/>
        <v>0</v>
      </c>
      <c r="P15" s="20">
        <f t="shared" si="5"/>
        <v>-2.8703703703704235</v>
      </c>
      <c r="Q15" s="279">
        <f t="shared" si="6"/>
        <v>0.96555555555555495</v>
      </c>
      <c r="R15" s="489"/>
      <c r="S15" s="40">
        <v>0.27500000000000002</v>
      </c>
      <c r="T15" s="40">
        <v>0.30000000000000004</v>
      </c>
      <c r="U15" s="276">
        <f t="shared" ref="U15:U21" si="18">IF(S15=TIME(17,0,0),"",(S15-T14)*24*60)</f>
        <v>6.9999999999999751</v>
      </c>
      <c r="V15" s="286">
        <f t="shared" si="17"/>
        <v>36.000000000000028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-51.666666666667652</v>
      </c>
      <c r="AF15" s="279">
        <f t="shared" si="9"/>
        <v>0.96555555555555495</v>
      </c>
      <c r="AG15" s="489"/>
    </row>
    <row r="16" spans="1:33" ht="16.5" customHeight="1">
      <c r="A16" s="526" t="s">
        <v>1639</v>
      </c>
      <c r="B16" s="287" t="s">
        <v>130</v>
      </c>
      <c r="C16" s="515" t="s">
        <v>131</v>
      </c>
      <c r="D16" s="515"/>
      <c r="E16" s="42">
        <v>50.67</v>
      </c>
      <c r="F16" s="287">
        <v>1196</v>
      </c>
      <c r="G16" s="276">
        <f t="shared" si="15"/>
        <v>60601.32</v>
      </c>
      <c r="H16" s="291" t="s">
        <v>79</v>
      </c>
      <c r="I16" s="285">
        <v>16</v>
      </c>
      <c r="J16" s="37">
        <v>1500</v>
      </c>
      <c r="K16" s="17">
        <f t="shared" si="1"/>
        <v>93.75</v>
      </c>
      <c r="L16" s="285">
        <v>16</v>
      </c>
      <c r="M16" s="18">
        <f t="shared" si="16"/>
        <v>1435.2000000000003</v>
      </c>
      <c r="N16" s="17">
        <f t="shared" si="3"/>
        <v>89.700000000000017</v>
      </c>
      <c r="O16" s="19">
        <f t="shared" si="4"/>
        <v>0</v>
      </c>
      <c r="P16" s="20">
        <f t="shared" si="5"/>
        <v>-4.0499999999999829</v>
      </c>
      <c r="Q16" s="279">
        <f t="shared" si="6"/>
        <v>0.95680000000000021</v>
      </c>
      <c r="R16" s="489"/>
      <c r="S16" s="40">
        <v>0.30555555555555558</v>
      </c>
      <c r="T16" s="40">
        <v>0.34027777777777779</v>
      </c>
      <c r="U16" s="276">
        <f t="shared" si="18"/>
        <v>7.9999999999999716</v>
      </c>
      <c r="V16" s="286">
        <f t="shared" si="17"/>
        <v>49.999999999999986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-64.799999999999727</v>
      </c>
      <c r="AF16" s="279">
        <f t="shared" si="9"/>
        <v>0.95680000000000021</v>
      </c>
      <c r="AG16" s="489"/>
    </row>
    <row r="17" spans="1:33" ht="16.5" customHeight="1">
      <c r="A17" s="526" t="s">
        <v>1639</v>
      </c>
      <c r="B17" s="287" t="s">
        <v>103</v>
      </c>
      <c r="C17" s="515" t="s">
        <v>123</v>
      </c>
      <c r="D17" s="515"/>
      <c r="E17" s="42">
        <v>50.98</v>
      </c>
      <c r="F17" s="287">
        <v>800</v>
      </c>
      <c r="G17" s="276">
        <f t="shared" si="15"/>
        <v>40784</v>
      </c>
      <c r="H17" s="291">
        <v>2</v>
      </c>
      <c r="I17" s="285">
        <v>16</v>
      </c>
      <c r="J17" s="37">
        <v>2000</v>
      </c>
      <c r="K17" s="17">
        <f t="shared" si="1"/>
        <v>125</v>
      </c>
      <c r="L17" s="285">
        <v>16</v>
      </c>
      <c r="M17" s="18">
        <f t="shared" si="16"/>
        <v>1919.9999999999945</v>
      </c>
      <c r="N17" s="17">
        <f t="shared" si="3"/>
        <v>119.99999999999966</v>
      </c>
      <c r="O17" s="19">
        <f t="shared" si="4"/>
        <v>0</v>
      </c>
      <c r="P17" s="20">
        <f t="shared" si="5"/>
        <v>-5.0000000000003411</v>
      </c>
      <c r="Q17" s="279">
        <f t="shared" si="6"/>
        <v>0.9599999999999973</v>
      </c>
      <c r="R17" s="489"/>
      <c r="S17" s="40">
        <v>0.70833333333333337</v>
      </c>
      <c r="T17" s="40">
        <v>0.72569444444444453</v>
      </c>
      <c r="U17" s="276" t="str">
        <f t="shared" si="18"/>
        <v/>
      </c>
      <c r="V17" s="286">
        <f t="shared" si="17"/>
        <v>25.000000000000071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-80.000000000005457</v>
      </c>
      <c r="AF17" s="279">
        <f t="shared" si="9"/>
        <v>0.9599999999999973</v>
      </c>
      <c r="AG17" s="489"/>
    </row>
    <row r="18" spans="1:33" ht="16.5" customHeight="1">
      <c r="A18" s="526" t="s">
        <v>1639</v>
      </c>
      <c r="B18" s="287" t="s">
        <v>103</v>
      </c>
      <c r="C18" s="515" t="s">
        <v>132</v>
      </c>
      <c r="D18" s="515"/>
      <c r="E18" s="42">
        <v>50.92</v>
      </c>
      <c r="F18" s="287">
        <v>2537</v>
      </c>
      <c r="G18" s="276">
        <f t="shared" si="15"/>
        <v>129184.04000000001</v>
      </c>
      <c r="H18" s="291" t="s">
        <v>79</v>
      </c>
      <c r="I18" s="285">
        <v>15</v>
      </c>
      <c r="J18" s="37">
        <v>2000</v>
      </c>
      <c r="K18" s="17">
        <f t="shared" si="1"/>
        <v>133.33333333333334</v>
      </c>
      <c r="L18" s="285">
        <v>15</v>
      </c>
      <c r="M18" s="18">
        <f t="shared" si="16"/>
        <v>1926.8354430379738</v>
      </c>
      <c r="N18" s="17">
        <f t="shared" si="3"/>
        <v>128.45569620253158</v>
      </c>
      <c r="O18" s="19">
        <f t="shared" si="4"/>
        <v>0</v>
      </c>
      <c r="P18" s="20">
        <f t="shared" si="5"/>
        <v>-4.8776371308017588</v>
      </c>
      <c r="Q18" s="279">
        <f t="shared" si="6"/>
        <v>0.96341772151898686</v>
      </c>
      <c r="R18" s="489"/>
      <c r="S18" s="40">
        <v>0.73125000000000007</v>
      </c>
      <c r="T18" s="40">
        <v>0.7861111111111112</v>
      </c>
      <c r="U18" s="276">
        <f t="shared" si="18"/>
        <v>7.9999999999999716</v>
      </c>
      <c r="V18" s="286">
        <f t="shared" si="17"/>
        <v>79.000000000000043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-73.164556962026154</v>
      </c>
      <c r="AF18" s="279">
        <f t="shared" si="9"/>
        <v>0.96341772151898697</v>
      </c>
      <c r="AG18" s="489"/>
    </row>
    <row r="19" spans="1:33" ht="16.5" customHeight="1">
      <c r="A19" s="526" t="s">
        <v>1639</v>
      </c>
      <c r="B19" s="287" t="s">
        <v>103</v>
      </c>
      <c r="C19" s="521" t="s">
        <v>133</v>
      </c>
      <c r="D19" s="522"/>
      <c r="E19" s="42">
        <v>50.67</v>
      </c>
      <c r="F19" s="287">
        <v>1880</v>
      </c>
      <c r="G19" s="276">
        <f t="shared" si="15"/>
        <v>95259.6</v>
      </c>
      <c r="H19" s="291" t="s">
        <v>79</v>
      </c>
      <c r="I19" s="285">
        <v>15</v>
      </c>
      <c r="J19" s="37">
        <v>2000</v>
      </c>
      <c r="K19" s="17">
        <f t="shared" si="1"/>
        <v>133.33333333333334</v>
      </c>
      <c r="L19" s="285">
        <v>15</v>
      </c>
      <c r="M19" s="18">
        <f t="shared" si="16"/>
        <v>1911.8644067796624</v>
      </c>
      <c r="N19" s="17">
        <f t="shared" si="3"/>
        <v>127.45762711864417</v>
      </c>
      <c r="O19" s="19">
        <f t="shared" si="4"/>
        <v>0</v>
      </c>
      <c r="P19" s="20">
        <f t="shared" si="5"/>
        <v>-5.8757062146891741</v>
      </c>
      <c r="Q19" s="279">
        <f t="shared" si="6"/>
        <v>0.9559322033898312</v>
      </c>
      <c r="R19" s="489"/>
      <c r="S19" s="40">
        <v>0.78958333333333341</v>
      </c>
      <c r="T19" s="40">
        <v>0.8305555555555556</v>
      </c>
      <c r="U19" s="276">
        <f t="shared" si="18"/>
        <v>4.9999999999999822</v>
      </c>
      <c r="V19" s="286">
        <f t="shared" si="17"/>
        <v>58.99999999999995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-88.135593220337569</v>
      </c>
      <c r="AF19" s="279">
        <f t="shared" si="9"/>
        <v>0.9559322033898312</v>
      </c>
      <c r="AG19" s="489"/>
    </row>
    <row r="20" spans="1:33" ht="16.5" customHeight="1">
      <c r="A20" s="526" t="s">
        <v>1639</v>
      </c>
      <c r="B20" s="287" t="s">
        <v>103</v>
      </c>
      <c r="C20" s="283" t="s">
        <v>134</v>
      </c>
      <c r="D20" s="284"/>
      <c r="E20" s="42">
        <v>57.3</v>
      </c>
      <c r="F20" s="287">
        <v>700</v>
      </c>
      <c r="G20" s="276">
        <f t="shared" si="15"/>
        <v>40110</v>
      </c>
      <c r="H20" s="291">
        <v>2</v>
      </c>
      <c r="I20" s="285">
        <v>13</v>
      </c>
      <c r="J20" s="37">
        <v>2000</v>
      </c>
      <c r="K20" s="17">
        <f t="shared" si="1"/>
        <v>153.84615384615384</v>
      </c>
      <c r="L20" s="285">
        <v>13</v>
      </c>
      <c r="M20" s="18">
        <f t="shared" si="16"/>
        <v>1909.0909090909158</v>
      </c>
      <c r="N20" s="17">
        <f t="shared" si="3"/>
        <v>146.85314685314736</v>
      </c>
      <c r="O20" s="19">
        <f t="shared" si="4"/>
        <v>0</v>
      </c>
      <c r="P20" s="20">
        <f t="shared" si="5"/>
        <v>-6.9930069930064747</v>
      </c>
      <c r="Q20" s="279">
        <f t="shared" si="6"/>
        <v>0.95454545454545792</v>
      </c>
      <c r="R20" s="489"/>
      <c r="S20" s="40">
        <v>0.83611111111111114</v>
      </c>
      <c r="T20" s="40">
        <v>0.85138888888888886</v>
      </c>
      <c r="U20" s="276">
        <f t="shared" si="18"/>
        <v>7.9999999999999716</v>
      </c>
      <c r="V20" s="286">
        <f t="shared" si="17"/>
        <v>21.999999999999922</v>
      </c>
      <c r="W20" s="23">
        <f>T20</f>
        <v>0.85138888888888886</v>
      </c>
      <c r="X20" s="23">
        <f>S21</f>
        <v>0.89236111111111105</v>
      </c>
      <c r="Y20" s="26"/>
      <c r="Z20" s="26"/>
      <c r="AA20" s="503"/>
      <c r="AB20" s="504"/>
      <c r="AC20" s="154"/>
      <c r="AD20" s="25"/>
      <c r="AE20" s="19">
        <f t="shared" si="8"/>
        <v>-90.909090909084171</v>
      </c>
      <c r="AF20" s="279">
        <f t="shared" si="9"/>
        <v>0.95454545454545792</v>
      </c>
      <c r="AG20" s="489"/>
    </row>
    <row r="21" spans="1:33" ht="16.5" customHeight="1">
      <c r="A21" s="526" t="s">
        <v>1639</v>
      </c>
      <c r="B21" s="287" t="s">
        <v>103</v>
      </c>
      <c r="C21" s="283" t="s">
        <v>134</v>
      </c>
      <c r="D21" s="284"/>
      <c r="E21" s="42">
        <v>57.3</v>
      </c>
      <c r="F21" s="287">
        <v>1469</v>
      </c>
      <c r="G21" s="276">
        <f t="shared" si="15"/>
        <v>84173.7</v>
      </c>
      <c r="H21" s="291" t="s">
        <v>79</v>
      </c>
      <c r="I21" s="285">
        <v>13</v>
      </c>
      <c r="J21" s="37">
        <v>2000</v>
      </c>
      <c r="K21" s="17">
        <f t="shared" si="1"/>
        <v>153.84615384615384</v>
      </c>
      <c r="L21" s="285">
        <v>13</v>
      </c>
      <c r="M21" s="18">
        <f t="shared" si="16"/>
        <v>1916.0869565217392</v>
      </c>
      <c r="N21" s="17">
        <f t="shared" si="3"/>
        <v>147.39130434782609</v>
      </c>
      <c r="O21" s="19">
        <f t="shared" si="4"/>
        <v>0</v>
      </c>
      <c r="P21" s="20">
        <f t="shared" si="5"/>
        <v>-6.4548494983277465</v>
      </c>
      <c r="Q21" s="279">
        <f t="shared" si="6"/>
        <v>0.95804347826086966</v>
      </c>
      <c r="R21" s="489"/>
      <c r="S21" s="40">
        <v>0.89236111111111105</v>
      </c>
      <c r="T21" s="40">
        <v>0.92430555555555549</v>
      </c>
      <c r="U21" s="276">
        <f t="shared" si="18"/>
        <v>58.99999999999995</v>
      </c>
      <c r="V21" s="286">
        <f t="shared" si="17"/>
        <v>46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-83.913043478260761</v>
      </c>
      <c r="AF21" s="279">
        <f t="shared" si="9"/>
        <v>0.95804347826086966</v>
      </c>
      <c r="AG21" s="489"/>
    </row>
    <row r="22" spans="1:33" ht="16.5" customHeight="1">
      <c r="A22" s="526" t="s">
        <v>1639</v>
      </c>
      <c r="B22" s="42" t="s">
        <v>1638</v>
      </c>
      <c r="C22" s="494"/>
      <c r="D22" s="494"/>
      <c r="E22" s="280"/>
      <c r="F22" s="44"/>
      <c r="G22" s="17"/>
      <c r="H22" s="287"/>
      <c r="I22" s="30">
        <v>16.5</v>
      </c>
      <c r="J22" s="37">
        <v>1812.5</v>
      </c>
      <c r="K22" s="17">
        <f t="shared" si="1"/>
        <v>109.84848484848484</v>
      </c>
      <c r="L22" s="30">
        <v>16.5</v>
      </c>
      <c r="M22" s="18">
        <f>AVERAGE(M14:M21)</f>
        <v>1738.0050327808456</v>
      </c>
      <c r="N22" s="17">
        <f t="shared" si="3"/>
        <v>105.33363835035428</v>
      </c>
      <c r="O22" s="19">
        <f t="shared" si="4"/>
        <v>0</v>
      </c>
      <c r="P22" s="20">
        <f t="shared" si="5"/>
        <v>-4.5148464981305665</v>
      </c>
      <c r="Q22" s="279">
        <f t="shared" si="6"/>
        <v>0.95889932843081138</v>
      </c>
      <c r="R22" s="489"/>
      <c r="S22" s="40"/>
      <c r="T22" s="40"/>
      <c r="U22" s="276"/>
      <c r="V22" s="286"/>
      <c r="W22" s="17"/>
      <c r="X22" s="17"/>
      <c r="Y22" s="31">
        <f>SUM(Y14:Y21)</f>
        <v>0</v>
      </c>
      <c r="Z22" s="31">
        <f>SUM(Z14:Z21)</f>
        <v>0</v>
      </c>
      <c r="AA22" s="495"/>
      <c r="AB22" s="495"/>
      <c r="AC22" s="31">
        <v>3</v>
      </c>
      <c r="AD22" s="31">
        <f>SUM(AD14:AD21)</f>
        <v>0</v>
      </c>
      <c r="AE22" s="19">
        <f t="shared" si="8"/>
        <v>-74.494967219154432</v>
      </c>
      <c r="AF22" s="279">
        <f t="shared" si="9"/>
        <v>0.95889932843081138</v>
      </c>
      <c r="AG22" s="489"/>
    </row>
    <row r="23" spans="1:33" ht="15.75" customHeight="1">
      <c r="A23" s="519" t="s">
        <v>1640</v>
      </c>
      <c r="B23" s="42" t="s">
        <v>126</v>
      </c>
      <c r="C23" s="515" t="s">
        <v>135</v>
      </c>
      <c r="D23" s="515"/>
      <c r="E23" s="42">
        <v>43.14</v>
      </c>
      <c r="F23" s="287">
        <v>1082</v>
      </c>
      <c r="G23" s="276">
        <f t="shared" ref="G23:G30" si="19">E23*F23</f>
        <v>46677.48</v>
      </c>
      <c r="H23" s="291" t="s">
        <v>79</v>
      </c>
      <c r="I23" s="285">
        <v>17</v>
      </c>
      <c r="J23" s="37">
        <v>2000</v>
      </c>
      <c r="K23" s="17">
        <f t="shared" si="1"/>
        <v>117.64705882352941</v>
      </c>
      <c r="L23" s="285">
        <v>17</v>
      </c>
      <c r="M23" s="18">
        <f t="shared" ref="M23:M30" si="20">F23/V23*60</f>
        <v>1909.4117647058824</v>
      </c>
      <c r="N23" s="17">
        <f t="shared" si="3"/>
        <v>112.31833910034602</v>
      </c>
      <c r="O23" s="19">
        <f t="shared" si="4"/>
        <v>0</v>
      </c>
      <c r="P23" s="20">
        <f t="shared" si="5"/>
        <v>-5.3287197231833829</v>
      </c>
      <c r="Q23" s="279">
        <f t="shared" si="6"/>
        <v>0.95470588235294129</v>
      </c>
      <c r="R23" s="489">
        <f>Q31</f>
        <v>0.96025328628156048</v>
      </c>
      <c r="S23" s="40">
        <v>0.20833333333333334</v>
      </c>
      <c r="T23" s="40">
        <v>0.23194444444444445</v>
      </c>
      <c r="U23" s="276"/>
      <c r="V23" s="286">
        <f t="shared" ref="V23:V30" si="21">(T23-S23)*24*60</f>
        <v>34</v>
      </c>
      <c r="W23" s="28"/>
      <c r="X23" s="28"/>
      <c r="Y23" s="28"/>
      <c r="Z23" s="28"/>
      <c r="AA23" s="491"/>
      <c r="AB23" s="491"/>
      <c r="AC23" s="154">
        <v>4</v>
      </c>
      <c r="AD23" s="25"/>
      <c r="AE23" s="19">
        <f t="shared" si="8"/>
        <v>-90.588235294117567</v>
      </c>
      <c r="AF23" s="279">
        <f t="shared" si="9"/>
        <v>0.95470588235294118</v>
      </c>
      <c r="AG23" s="489">
        <f>AF31</f>
        <v>0.96025328628156048</v>
      </c>
    </row>
    <row r="24" spans="1:33" ht="15.75" customHeight="1">
      <c r="A24" s="520" t="s">
        <v>1640</v>
      </c>
      <c r="B24" s="42" t="s">
        <v>103</v>
      </c>
      <c r="C24" s="515" t="s">
        <v>137</v>
      </c>
      <c r="D24" s="515"/>
      <c r="E24" s="42">
        <v>57.73</v>
      </c>
      <c r="F24" s="287">
        <v>2951</v>
      </c>
      <c r="G24" s="276">
        <f t="shared" si="19"/>
        <v>170361.22999999998</v>
      </c>
      <c r="H24" s="291" t="s">
        <v>79</v>
      </c>
      <c r="I24" s="285">
        <v>14</v>
      </c>
      <c r="J24" s="37">
        <v>2000</v>
      </c>
      <c r="K24" s="17">
        <f t="shared" si="1"/>
        <v>142.85714285714286</v>
      </c>
      <c r="L24" s="285">
        <v>14</v>
      </c>
      <c r="M24" s="18">
        <f t="shared" si="20"/>
        <v>1924.5652173913036</v>
      </c>
      <c r="N24" s="17">
        <f t="shared" si="3"/>
        <v>137.46894409937883</v>
      </c>
      <c r="O24" s="19">
        <f t="shared" si="4"/>
        <v>0</v>
      </c>
      <c r="P24" s="20">
        <f t="shared" si="5"/>
        <v>-5.3881987577640302</v>
      </c>
      <c r="Q24" s="279">
        <f t="shared" si="6"/>
        <v>0.96228260869565174</v>
      </c>
      <c r="R24" s="489"/>
      <c r="S24" s="40">
        <v>0.23611111111111113</v>
      </c>
      <c r="T24" s="40">
        <v>0.30000000000000004</v>
      </c>
      <c r="U24" s="276">
        <f t="shared" ref="U24:U30" si="22">IF(S24=TIME(17,0,0),"",(S24-T23)*24*60)</f>
        <v>6.0000000000000187</v>
      </c>
      <c r="V24" s="286">
        <f t="shared" si="21"/>
        <v>92.000000000000028</v>
      </c>
      <c r="W24" s="23"/>
      <c r="X24" s="276"/>
      <c r="Y24" s="276"/>
      <c r="Z24" s="276"/>
      <c r="AA24" s="491"/>
      <c r="AB24" s="491"/>
      <c r="AC24" s="154"/>
      <c r="AD24" s="25"/>
      <c r="AE24" s="19">
        <f t="shared" si="8"/>
        <v>-75.434782608696423</v>
      </c>
      <c r="AF24" s="279">
        <f t="shared" si="9"/>
        <v>0.96228260869565174</v>
      </c>
      <c r="AG24" s="489"/>
    </row>
    <row r="25" spans="1:33" ht="15.75" customHeight="1">
      <c r="A25" s="520" t="s">
        <v>1640</v>
      </c>
      <c r="B25" s="42" t="s">
        <v>103</v>
      </c>
      <c r="C25" s="515" t="s">
        <v>138</v>
      </c>
      <c r="D25" s="515"/>
      <c r="E25" s="42">
        <v>53.68</v>
      </c>
      <c r="F25" s="287">
        <v>1683</v>
      </c>
      <c r="G25" s="276">
        <f t="shared" si="19"/>
        <v>90343.44</v>
      </c>
      <c r="H25" s="291" t="s">
        <v>79</v>
      </c>
      <c r="I25" s="285">
        <v>16</v>
      </c>
      <c r="J25" s="37">
        <v>2000</v>
      </c>
      <c r="K25" s="17">
        <f t="shared" si="1"/>
        <v>125</v>
      </c>
      <c r="L25" s="285">
        <v>16</v>
      </c>
      <c r="M25" s="18">
        <f t="shared" si="20"/>
        <v>1905.2830188679254</v>
      </c>
      <c r="N25" s="17">
        <f t="shared" si="3"/>
        <v>119.08018867924534</v>
      </c>
      <c r="O25" s="19">
        <f t="shared" si="4"/>
        <v>0</v>
      </c>
      <c r="P25" s="20">
        <f t="shared" si="5"/>
        <v>-5.9198113207546612</v>
      </c>
      <c r="Q25" s="279">
        <f t="shared" si="6"/>
        <v>0.95264150943396275</v>
      </c>
      <c r="R25" s="489"/>
      <c r="S25" s="40">
        <v>0.3041666666666667</v>
      </c>
      <c r="T25" s="40">
        <v>0.34097222222222223</v>
      </c>
      <c r="U25" s="276">
        <f t="shared" si="22"/>
        <v>5.9999999999999787</v>
      </c>
      <c r="V25" s="286">
        <f t="shared" si="21"/>
        <v>52.999999999999972</v>
      </c>
      <c r="W25" s="23"/>
      <c r="X25" s="276"/>
      <c r="Y25" s="276"/>
      <c r="Z25" s="276"/>
      <c r="AA25" s="491"/>
      <c r="AB25" s="491"/>
      <c r="AC25" s="154"/>
      <c r="AD25" s="25"/>
      <c r="AE25" s="19">
        <f t="shared" si="8"/>
        <v>-94.716981132074579</v>
      </c>
      <c r="AF25" s="279">
        <f t="shared" si="9"/>
        <v>0.95264150943396275</v>
      </c>
      <c r="AG25" s="489"/>
    </row>
    <row r="26" spans="1:33" ht="15.75" customHeight="1">
      <c r="A26" s="520" t="s">
        <v>1640</v>
      </c>
      <c r="B26" s="42" t="s">
        <v>103</v>
      </c>
      <c r="C26" s="515" t="s">
        <v>140</v>
      </c>
      <c r="D26" s="515"/>
      <c r="E26" s="42">
        <v>50.49</v>
      </c>
      <c r="F26" s="287">
        <v>1100</v>
      </c>
      <c r="G26" s="276">
        <f t="shared" si="19"/>
        <v>55539</v>
      </c>
      <c r="H26" s="291">
        <v>2</v>
      </c>
      <c r="I26" s="285">
        <v>15</v>
      </c>
      <c r="J26" s="37">
        <v>2000</v>
      </c>
      <c r="K26" s="17">
        <f t="shared" si="1"/>
        <v>133.33333333333334</v>
      </c>
      <c r="L26" s="285">
        <v>15</v>
      </c>
      <c r="M26" s="18">
        <f t="shared" si="20"/>
        <v>1941.1764705882326</v>
      </c>
      <c r="N26" s="17">
        <f t="shared" si="3"/>
        <v>129.41176470588218</v>
      </c>
      <c r="O26" s="19">
        <f t="shared" si="4"/>
        <v>0</v>
      </c>
      <c r="P26" s="20">
        <f t="shared" si="5"/>
        <v>-3.9215686274511654</v>
      </c>
      <c r="Q26" s="279">
        <f t="shared" si="6"/>
        <v>0.97058823529411631</v>
      </c>
      <c r="R26" s="489"/>
      <c r="S26" s="40">
        <v>0.70833333333333337</v>
      </c>
      <c r="T26" s="40">
        <v>0.73194444444444451</v>
      </c>
      <c r="U26" s="276" t="str">
        <f t="shared" si="22"/>
        <v/>
      </c>
      <c r="V26" s="286">
        <f t="shared" si="21"/>
        <v>34.000000000000043</v>
      </c>
      <c r="W26" s="23"/>
      <c r="X26" s="276"/>
      <c r="Y26" s="276"/>
      <c r="Z26" s="276"/>
      <c r="AA26" s="491"/>
      <c r="AB26" s="491"/>
      <c r="AC26" s="154"/>
      <c r="AD26" s="25"/>
      <c r="AE26" s="19">
        <f t="shared" si="8"/>
        <v>-58.823529411767367</v>
      </c>
      <c r="AF26" s="279">
        <f t="shared" si="9"/>
        <v>0.97058823529411631</v>
      </c>
      <c r="AG26" s="489"/>
    </row>
    <row r="27" spans="1:33" ht="15.75" customHeight="1">
      <c r="A27" s="520" t="s">
        <v>1640</v>
      </c>
      <c r="B27" s="42" t="s">
        <v>103</v>
      </c>
      <c r="C27" s="515" t="s">
        <v>516</v>
      </c>
      <c r="D27" s="515"/>
      <c r="E27" s="42">
        <v>50.67</v>
      </c>
      <c r="F27" s="287">
        <v>1779</v>
      </c>
      <c r="G27" s="276">
        <f t="shared" si="19"/>
        <v>90141.930000000008</v>
      </c>
      <c r="H27" s="291" t="s">
        <v>79</v>
      </c>
      <c r="I27" s="285">
        <v>16</v>
      </c>
      <c r="J27" s="37">
        <v>2000</v>
      </c>
      <c r="K27" s="17">
        <f t="shared" si="1"/>
        <v>125</v>
      </c>
      <c r="L27" s="285">
        <v>16</v>
      </c>
      <c r="M27" s="18">
        <f t="shared" si="20"/>
        <v>1906.07142857143</v>
      </c>
      <c r="N27" s="17">
        <f t="shared" si="3"/>
        <v>119.12946428571438</v>
      </c>
      <c r="O27" s="19">
        <f t="shared" si="4"/>
        <v>0</v>
      </c>
      <c r="P27" s="20">
        <f t="shared" si="5"/>
        <v>-5.8705357142856229</v>
      </c>
      <c r="Q27" s="279">
        <f t="shared" si="6"/>
        <v>0.95303571428571499</v>
      </c>
      <c r="R27" s="489"/>
      <c r="S27" s="40">
        <v>0.7368055555555556</v>
      </c>
      <c r="T27" s="40">
        <v>0.77569444444444446</v>
      </c>
      <c r="U27" s="276">
        <f t="shared" si="22"/>
        <v>6.9999999999999751</v>
      </c>
      <c r="V27" s="286">
        <f t="shared" si="21"/>
        <v>55.999999999999957</v>
      </c>
      <c r="W27" s="23"/>
      <c r="X27" s="276"/>
      <c r="Y27" s="276"/>
      <c r="Z27" s="276"/>
      <c r="AA27" s="491"/>
      <c r="AB27" s="491"/>
      <c r="AC27" s="154"/>
      <c r="AD27" s="25"/>
      <c r="AE27" s="19">
        <f t="shared" si="8"/>
        <v>-93.928571428569967</v>
      </c>
      <c r="AF27" s="279">
        <f t="shared" si="9"/>
        <v>0.95303571428571499</v>
      </c>
      <c r="AG27" s="489"/>
    </row>
    <row r="28" spans="1:33" ht="15.75" customHeight="1">
      <c r="A28" s="520" t="s">
        <v>1640</v>
      </c>
      <c r="B28" s="42" t="s">
        <v>103</v>
      </c>
      <c r="C28" s="515" t="s">
        <v>141</v>
      </c>
      <c r="D28" s="515"/>
      <c r="E28" s="42">
        <v>57.73</v>
      </c>
      <c r="F28" s="287">
        <v>1304</v>
      </c>
      <c r="G28" s="276">
        <f t="shared" si="19"/>
        <v>75279.92</v>
      </c>
      <c r="H28" s="291" t="s">
        <v>79</v>
      </c>
      <c r="I28" s="285">
        <v>16</v>
      </c>
      <c r="J28" s="37">
        <v>1500</v>
      </c>
      <c r="K28" s="17">
        <f t="shared" si="1"/>
        <v>93.75</v>
      </c>
      <c r="L28" s="285">
        <v>16</v>
      </c>
      <c r="M28" s="18">
        <f t="shared" si="20"/>
        <v>1448.8888888888896</v>
      </c>
      <c r="N28" s="17">
        <f t="shared" si="3"/>
        <v>90.5555555555556</v>
      </c>
      <c r="O28" s="19">
        <f t="shared" si="4"/>
        <v>0</v>
      </c>
      <c r="P28" s="20">
        <f t="shared" si="5"/>
        <v>-3.1944444444444002</v>
      </c>
      <c r="Q28" s="279">
        <f t="shared" si="6"/>
        <v>0.96592592592592641</v>
      </c>
      <c r="R28" s="489"/>
      <c r="S28" s="40">
        <v>0.77916666666666667</v>
      </c>
      <c r="T28" s="40">
        <v>0.81666666666666665</v>
      </c>
      <c r="U28" s="276">
        <f t="shared" si="22"/>
        <v>4.9999999999999822</v>
      </c>
      <c r="V28" s="286">
        <f t="shared" si="21"/>
        <v>53.999999999999972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-51.111111111110404</v>
      </c>
      <c r="AF28" s="279">
        <f t="shared" si="9"/>
        <v>0.96592592592592641</v>
      </c>
      <c r="AG28" s="489"/>
    </row>
    <row r="29" spans="1:33" ht="15.75" customHeight="1">
      <c r="A29" s="520" t="s">
        <v>1640</v>
      </c>
      <c r="B29" s="42" t="s">
        <v>103</v>
      </c>
      <c r="C29" s="515" t="s">
        <v>142</v>
      </c>
      <c r="D29" s="515"/>
      <c r="E29" s="42">
        <v>53.68</v>
      </c>
      <c r="F29" s="287">
        <v>700</v>
      </c>
      <c r="G29" s="276">
        <f t="shared" si="19"/>
        <v>37576</v>
      </c>
      <c r="H29" s="291">
        <v>2</v>
      </c>
      <c r="I29" s="285">
        <v>16</v>
      </c>
      <c r="J29" s="37">
        <v>1500</v>
      </c>
      <c r="K29" s="17">
        <f t="shared" si="1"/>
        <v>93.75</v>
      </c>
      <c r="L29" s="285">
        <v>16</v>
      </c>
      <c r="M29" s="18">
        <f t="shared" si="20"/>
        <v>1448.2758620689626</v>
      </c>
      <c r="N29" s="17">
        <f t="shared" si="3"/>
        <v>90.517241379310164</v>
      </c>
      <c r="O29" s="19">
        <f t="shared" si="4"/>
        <v>0</v>
      </c>
      <c r="P29" s="20">
        <f t="shared" si="5"/>
        <v>-3.232758620689836</v>
      </c>
      <c r="Q29" s="279">
        <f t="shared" si="6"/>
        <v>0.96551724137930839</v>
      </c>
      <c r="R29" s="489"/>
      <c r="S29" s="40">
        <v>0.8208333333333333</v>
      </c>
      <c r="T29" s="40">
        <v>0.84097222222222223</v>
      </c>
      <c r="U29" s="276">
        <f t="shared" si="22"/>
        <v>5.9999999999999787</v>
      </c>
      <c r="V29" s="286">
        <f t="shared" si="21"/>
        <v>29.000000000000057</v>
      </c>
      <c r="W29" s="23">
        <f>T29</f>
        <v>0.84097222222222223</v>
      </c>
      <c r="X29" s="23">
        <f>S30</f>
        <v>0.88194444444444442</v>
      </c>
      <c r="Y29" s="29"/>
      <c r="Z29" s="29"/>
      <c r="AA29" s="503"/>
      <c r="AB29" s="504"/>
      <c r="AC29" s="154"/>
      <c r="AD29" s="25"/>
      <c r="AE29" s="19">
        <f t="shared" si="8"/>
        <v>-51.724137931037376</v>
      </c>
      <c r="AF29" s="279">
        <f t="shared" si="9"/>
        <v>0.96551724137930839</v>
      </c>
      <c r="AG29" s="489"/>
    </row>
    <row r="30" spans="1:33" ht="15.75" customHeight="1">
      <c r="A30" s="520" t="s">
        <v>1640</v>
      </c>
      <c r="B30" s="42" t="s">
        <v>103</v>
      </c>
      <c r="C30" s="521" t="s">
        <v>142</v>
      </c>
      <c r="D30" s="522"/>
      <c r="E30" s="42">
        <v>53.68</v>
      </c>
      <c r="F30" s="287">
        <v>1560</v>
      </c>
      <c r="G30" s="276">
        <f t="shared" si="19"/>
        <v>83740.800000000003</v>
      </c>
      <c r="H30" s="291" t="s">
        <v>79</v>
      </c>
      <c r="I30" s="285">
        <v>16</v>
      </c>
      <c r="J30" s="37">
        <v>1500</v>
      </c>
      <c r="K30" s="17">
        <f t="shared" si="1"/>
        <v>93.75</v>
      </c>
      <c r="L30" s="285">
        <v>16</v>
      </c>
      <c r="M30" s="18">
        <f t="shared" si="20"/>
        <v>1440.0000000000016</v>
      </c>
      <c r="N30" s="17">
        <f t="shared" si="3"/>
        <v>90.000000000000099</v>
      </c>
      <c r="O30" s="19">
        <f t="shared" si="4"/>
        <v>0</v>
      </c>
      <c r="P30" s="20">
        <f t="shared" si="5"/>
        <v>-3.7499999999999005</v>
      </c>
      <c r="Q30" s="279">
        <f t="shared" si="6"/>
        <v>0.96000000000000107</v>
      </c>
      <c r="R30" s="489"/>
      <c r="S30" s="40">
        <v>0.88194444444444442</v>
      </c>
      <c r="T30" s="40">
        <v>0.92708333333333326</v>
      </c>
      <c r="U30" s="276">
        <f t="shared" si="22"/>
        <v>58.99999999999995</v>
      </c>
      <c r="V30" s="286">
        <f t="shared" si="21"/>
        <v>64.999999999999929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-59.999999999998408</v>
      </c>
      <c r="AF30" s="279">
        <f t="shared" si="9"/>
        <v>0.96000000000000107</v>
      </c>
      <c r="AG30" s="489"/>
    </row>
    <row r="31" spans="1:33" ht="15.75" customHeight="1">
      <c r="A31" s="520" t="s">
        <v>1640</v>
      </c>
      <c r="B31" s="42" t="s">
        <v>1638</v>
      </c>
      <c r="C31" s="494"/>
      <c r="D31" s="494"/>
      <c r="E31" s="280"/>
      <c r="F31" s="287"/>
      <c r="G31" s="276"/>
      <c r="H31" s="287"/>
      <c r="I31" s="30">
        <v>15.75</v>
      </c>
      <c r="J31" s="37">
        <v>1812.5</v>
      </c>
      <c r="K31" s="17">
        <f t="shared" si="1"/>
        <v>115.07936507936508</v>
      </c>
      <c r="L31" s="30">
        <v>15.75</v>
      </c>
      <c r="M31" s="18">
        <f>AVERAGE(M23:M30)</f>
        <v>1740.4590813853283</v>
      </c>
      <c r="N31" s="17">
        <f t="shared" si="3"/>
        <v>110.50533850065577</v>
      </c>
      <c r="O31" s="19">
        <f t="shared" si="4"/>
        <v>0</v>
      </c>
      <c r="P31" s="20">
        <f t="shared" si="5"/>
        <v>-4.574026578709308</v>
      </c>
      <c r="Q31" s="279">
        <f t="shared" si="6"/>
        <v>0.96025328628156048</v>
      </c>
      <c r="R31" s="489"/>
      <c r="S31" s="40"/>
      <c r="T31" s="40"/>
      <c r="U31" s="17"/>
      <c r="V31" s="286"/>
      <c r="W31" s="17"/>
      <c r="X31" s="17"/>
      <c r="Y31" s="31">
        <f>SUM(Y23:Y30)</f>
        <v>0</v>
      </c>
      <c r="Z31" s="31">
        <f>SUM(Z23:Z30)</f>
        <v>0</v>
      </c>
      <c r="AA31" s="495"/>
      <c r="AB31" s="495"/>
      <c r="AC31" s="31">
        <v>4</v>
      </c>
      <c r="AD31" s="31">
        <f>SUM(AD23:AD30)</f>
        <v>0</v>
      </c>
      <c r="AE31" s="19">
        <f t="shared" si="8"/>
        <v>-72.040918614671682</v>
      </c>
      <c r="AF31" s="279">
        <f t="shared" si="9"/>
        <v>0.96025328628156048</v>
      </c>
      <c r="AG31" s="489"/>
    </row>
    <row r="32" spans="1:33" ht="15.75" customHeight="1">
      <c r="A32" s="518" t="s">
        <v>1641</v>
      </c>
      <c r="B32" s="42" t="s">
        <v>80</v>
      </c>
      <c r="C32" s="515" t="s">
        <v>81</v>
      </c>
      <c r="D32" s="515"/>
      <c r="E32" s="42">
        <v>31.29</v>
      </c>
      <c r="F32" s="287">
        <v>5400</v>
      </c>
      <c r="G32" s="276">
        <f t="shared" ref="G32:G39" si="23">E32*F32</f>
        <v>168966</v>
      </c>
      <c r="H32" s="291">
        <v>2</v>
      </c>
      <c r="I32" s="285">
        <v>18</v>
      </c>
      <c r="J32" s="37">
        <v>2400</v>
      </c>
      <c r="K32" s="17">
        <f t="shared" si="1"/>
        <v>133.33333333333334</v>
      </c>
      <c r="L32" s="285">
        <v>18</v>
      </c>
      <c r="M32" s="18">
        <f t="shared" ref="M32:M39" si="24">F32/V32*60</f>
        <v>2297.872340425532</v>
      </c>
      <c r="N32" s="17">
        <f t="shared" si="3"/>
        <v>127.65957446808511</v>
      </c>
      <c r="O32" s="19">
        <f t="shared" si="4"/>
        <v>0</v>
      </c>
      <c r="P32" s="20">
        <f t="shared" si="5"/>
        <v>-5.6737588652482316</v>
      </c>
      <c r="Q32" s="279">
        <f t="shared" si="6"/>
        <v>0.95744680851063824</v>
      </c>
      <c r="R32" s="489">
        <f>Q40</f>
        <v>0.95664724764046349</v>
      </c>
      <c r="S32" s="40">
        <v>8.3333333333333329E-2</v>
      </c>
      <c r="T32" s="40">
        <v>0.18124999999999999</v>
      </c>
      <c r="U32" s="276"/>
      <c r="V32" s="286">
        <f t="shared" ref="V32:V39" si="25">(T32-S32)*24*60</f>
        <v>141</v>
      </c>
      <c r="W32" s="23">
        <f>T32</f>
        <v>0.18124999999999999</v>
      </c>
      <c r="X32" s="23">
        <f>S33</f>
        <v>0.2</v>
      </c>
      <c r="Y32" s="23"/>
      <c r="Z32" s="23"/>
      <c r="AA32" s="491"/>
      <c r="AB32" s="491"/>
      <c r="AC32" s="154">
        <v>10</v>
      </c>
      <c r="AD32" s="25"/>
      <c r="AE32" s="19">
        <f t="shared" si="8"/>
        <v>-102.127659574468</v>
      </c>
      <c r="AF32" s="279">
        <f t="shared" si="9"/>
        <v>0.95744680851063835</v>
      </c>
      <c r="AG32" s="489">
        <f>AF40</f>
        <v>0.95664724764046349</v>
      </c>
    </row>
    <row r="33" spans="1:33" ht="15.75" customHeight="1">
      <c r="A33" s="518" t="s">
        <v>1641</v>
      </c>
      <c r="B33" s="42" t="s">
        <v>80</v>
      </c>
      <c r="C33" s="515" t="s">
        <v>82</v>
      </c>
      <c r="D33" s="515"/>
      <c r="E33" s="42">
        <v>26.2</v>
      </c>
      <c r="F33" s="287">
        <v>3000</v>
      </c>
      <c r="G33" s="276">
        <f t="shared" si="23"/>
        <v>78600</v>
      </c>
      <c r="H33" s="291">
        <v>2</v>
      </c>
      <c r="I33" s="285">
        <v>20</v>
      </c>
      <c r="J33" s="37">
        <v>2400</v>
      </c>
      <c r="K33" s="17">
        <f t="shared" si="1"/>
        <v>120</v>
      </c>
      <c r="L33" s="285">
        <v>20</v>
      </c>
      <c r="M33" s="18">
        <f t="shared" si="24"/>
        <v>2307.692307692309</v>
      </c>
      <c r="N33" s="17">
        <f t="shared" si="3"/>
        <v>115.38461538461544</v>
      </c>
      <c r="O33" s="19">
        <f t="shared" si="4"/>
        <v>0</v>
      </c>
      <c r="P33" s="20">
        <f t="shared" si="5"/>
        <v>-4.6153846153845564</v>
      </c>
      <c r="Q33" s="279">
        <f t="shared" si="6"/>
        <v>0.96153846153846201</v>
      </c>
      <c r="R33" s="489"/>
      <c r="S33" s="40">
        <v>0.2</v>
      </c>
      <c r="T33" s="40">
        <v>0.25416666666666665</v>
      </c>
      <c r="U33" s="276">
        <f t="shared" ref="U33:U39" si="26">(S33-T32)*24*60</f>
        <v>27.000000000000025</v>
      </c>
      <c r="V33" s="286">
        <f t="shared" si="25"/>
        <v>77.999999999999957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-92.307692307691013</v>
      </c>
      <c r="AF33" s="279">
        <f t="shared" si="9"/>
        <v>0.96153846153846212</v>
      </c>
      <c r="AG33" s="489"/>
    </row>
    <row r="34" spans="1:33" ht="15.75" customHeight="1">
      <c r="A34" s="518" t="s">
        <v>1641</v>
      </c>
      <c r="B34" s="42" t="s">
        <v>80</v>
      </c>
      <c r="C34" s="515" t="s">
        <v>83</v>
      </c>
      <c r="D34" s="515"/>
      <c r="E34" s="42">
        <v>25.99</v>
      </c>
      <c r="F34" s="287">
        <v>4650</v>
      </c>
      <c r="G34" s="276">
        <f t="shared" si="23"/>
        <v>120853.5</v>
      </c>
      <c r="H34" s="291" t="s">
        <v>79</v>
      </c>
      <c r="I34" s="285">
        <v>14</v>
      </c>
      <c r="J34" s="37">
        <v>2400</v>
      </c>
      <c r="K34" s="17">
        <f t="shared" si="1"/>
        <v>171.42857142857142</v>
      </c>
      <c r="L34" s="285">
        <v>14</v>
      </c>
      <c r="M34" s="18">
        <f t="shared" si="24"/>
        <v>2286.8852459016398</v>
      </c>
      <c r="N34" s="17">
        <f t="shared" si="3"/>
        <v>163.34894613583143</v>
      </c>
      <c r="O34" s="19">
        <f t="shared" si="4"/>
        <v>0</v>
      </c>
      <c r="P34" s="20">
        <f t="shared" si="5"/>
        <v>-8.0796252927399905</v>
      </c>
      <c r="Q34" s="279">
        <f t="shared" si="6"/>
        <v>0.95286885245901676</v>
      </c>
      <c r="R34" s="489"/>
      <c r="S34" s="40">
        <v>0.25972222222222219</v>
      </c>
      <c r="T34" s="40">
        <v>0.34444444444444439</v>
      </c>
      <c r="U34" s="276">
        <f t="shared" si="26"/>
        <v>7.9999999999999716</v>
      </c>
      <c r="V34" s="286">
        <f t="shared" si="25"/>
        <v>121.99999999999997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-113.11475409836021</v>
      </c>
      <c r="AF34" s="279">
        <f t="shared" si="9"/>
        <v>0.95286885245901654</v>
      </c>
      <c r="AG34" s="489"/>
    </row>
    <row r="35" spans="1:33" ht="15.75" customHeight="1">
      <c r="A35" s="518" t="s">
        <v>1641</v>
      </c>
      <c r="B35" s="42" t="s">
        <v>80</v>
      </c>
      <c r="C35" s="515" t="s">
        <v>84</v>
      </c>
      <c r="D35" s="515"/>
      <c r="E35" s="42">
        <v>20.52</v>
      </c>
      <c r="F35" s="287">
        <v>4698</v>
      </c>
      <c r="G35" s="276">
        <f t="shared" si="23"/>
        <v>96402.959999999992</v>
      </c>
      <c r="H35" s="291" t="s">
        <v>79</v>
      </c>
      <c r="I35" s="285">
        <v>18</v>
      </c>
      <c r="J35" s="37">
        <v>2400</v>
      </c>
      <c r="K35" s="17">
        <f t="shared" si="1"/>
        <v>133.33333333333334</v>
      </c>
      <c r="L35" s="285">
        <v>18</v>
      </c>
      <c r="M35" s="18">
        <f t="shared" si="24"/>
        <v>2291.7073170731715</v>
      </c>
      <c r="N35" s="17">
        <f t="shared" si="3"/>
        <v>127.31707317073175</v>
      </c>
      <c r="O35" s="19">
        <f t="shared" si="4"/>
        <v>0</v>
      </c>
      <c r="P35" s="20">
        <f t="shared" si="5"/>
        <v>-6.016260162601597</v>
      </c>
      <c r="Q35" s="279">
        <f t="shared" si="6"/>
        <v>0.95487804878048799</v>
      </c>
      <c r="R35" s="489"/>
      <c r="S35" s="40">
        <v>0.34930555555555548</v>
      </c>
      <c r="T35" s="40">
        <v>0.43472222222222212</v>
      </c>
      <c r="U35" s="276">
        <f t="shared" si="26"/>
        <v>6.9999999999999751</v>
      </c>
      <c r="V35" s="286">
        <f t="shared" si="25"/>
        <v>122.99999999999996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-108.29268292682855</v>
      </c>
      <c r="AF35" s="279">
        <f t="shared" si="9"/>
        <v>0.9548780487804881</v>
      </c>
      <c r="AG35" s="489"/>
    </row>
    <row r="36" spans="1:33" ht="15.75" customHeight="1">
      <c r="A36" s="518" t="s">
        <v>1641</v>
      </c>
      <c r="B36" s="42" t="s">
        <v>80</v>
      </c>
      <c r="C36" s="515" t="s">
        <v>85</v>
      </c>
      <c r="D36" s="515"/>
      <c r="E36" s="42">
        <v>25.98</v>
      </c>
      <c r="F36" s="287">
        <v>3622</v>
      </c>
      <c r="G36" s="276">
        <f t="shared" si="23"/>
        <v>94099.56</v>
      </c>
      <c r="H36" s="291" t="s">
        <v>79</v>
      </c>
      <c r="I36" s="285">
        <v>21</v>
      </c>
      <c r="J36" s="37">
        <v>2400</v>
      </c>
      <c r="K36" s="17">
        <f t="shared" si="1"/>
        <v>114.28571428571429</v>
      </c>
      <c r="L36" s="285">
        <v>21</v>
      </c>
      <c r="M36" s="18">
        <f t="shared" si="24"/>
        <v>2287.5789473684213</v>
      </c>
      <c r="N36" s="17">
        <f t="shared" si="3"/>
        <v>108.93233082706767</v>
      </c>
      <c r="O36" s="19">
        <f t="shared" si="4"/>
        <v>0</v>
      </c>
      <c r="P36" s="20">
        <f t="shared" si="5"/>
        <v>-5.3533834586466185</v>
      </c>
      <c r="Q36" s="279">
        <f t="shared" si="6"/>
        <v>0.95315789473684209</v>
      </c>
      <c r="R36" s="489"/>
      <c r="S36" s="40">
        <v>0.44027777777777766</v>
      </c>
      <c r="T36" s="40">
        <v>0.50624999999999987</v>
      </c>
      <c r="U36" s="276">
        <f t="shared" si="26"/>
        <v>7.9999999999999716</v>
      </c>
      <c r="V36" s="286">
        <f t="shared" si="25"/>
        <v>94.999999999999986</v>
      </c>
      <c r="W36" s="23">
        <f>T36</f>
        <v>0.50624999999999987</v>
      </c>
      <c r="X36" s="23">
        <f>S37</f>
        <v>0.54444444444444429</v>
      </c>
      <c r="Y36" s="23"/>
      <c r="Z36" s="23"/>
      <c r="AA36" s="491"/>
      <c r="AB36" s="491"/>
      <c r="AC36" s="154"/>
      <c r="AD36" s="25"/>
      <c r="AE36" s="19">
        <f t="shared" si="8"/>
        <v>-112.42105263157873</v>
      </c>
      <c r="AF36" s="279">
        <f t="shared" si="9"/>
        <v>0.9531578947368422</v>
      </c>
      <c r="AG36" s="489"/>
    </row>
    <row r="37" spans="1:33" ht="15.75" customHeight="1">
      <c r="A37" s="518" t="s">
        <v>1641</v>
      </c>
      <c r="B37" s="42" t="s">
        <v>80</v>
      </c>
      <c r="C37" s="515" t="s">
        <v>82</v>
      </c>
      <c r="D37" s="515"/>
      <c r="E37" s="42">
        <v>26.2</v>
      </c>
      <c r="F37" s="287">
        <v>2239</v>
      </c>
      <c r="G37" s="276">
        <f t="shared" si="23"/>
        <v>58661.799999999996</v>
      </c>
      <c r="H37" s="291" t="s">
        <v>79</v>
      </c>
      <c r="I37" s="285">
        <v>20</v>
      </c>
      <c r="J37" s="37">
        <v>2400</v>
      </c>
      <c r="K37" s="17">
        <f t="shared" si="1"/>
        <v>120</v>
      </c>
      <c r="L37" s="285">
        <v>20</v>
      </c>
      <c r="M37" s="18">
        <f t="shared" si="24"/>
        <v>2316.206896551726</v>
      </c>
      <c r="N37" s="17">
        <f t="shared" si="3"/>
        <v>115.81034482758631</v>
      </c>
      <c r="O37" s="19">
        <f t="shared" si="4"/>
        <v>0</v>
      </c>
      <c r="P37" s="20">
        <f t="shared" si="5"/>
        <v>-4.1896551724136941</v>
      </c>
      <c r="Q37" s="279">
        <f t="shared" si="6"/>
        <v>0.96508620689655256</v>
      </c>
      <c r="R37" s="489"/>
      <c r="S37" s="40">
        <v>0.54444444444444429</v>
      </c>
      <c r="T37" s="40">
        <v>0.58472222222222203</v>
      </c>
      <c r="U37" s="276">
        <f t="shared" si="26"/>
        <v>54.999999999999964</v>
      </c>
      <c r="V37" s="286">
        <f t="shared" si="25"/>
        <v>57.999999999999957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-83.793103448273996</v>
      </c>
      <c r="AF37" s="279">
        <f t="shared" si="9"/>
        <v>0.96508620689655256</v>
      </c>
      <c r="AG37" s="489"/>
    </row>
    <row r="38" spans="1:33" ht="15.75" customHeight="1">
      <c r="A38" s="518" t="s">
        <v>1641</v>
      </c>
      <c r="B38" s="42" t="s">
        <v>80</v>
      </c>
      <c r="C38" s="515" t="s">
        <v>81</v>
      </c>
      <c r="D38" s="515"/>
      <c r="E38" s="42">
        <v>31.29</v>
      </c>
      <c r="F38" s="287">
        <v>4240</v>
      </c>
      <c r="G38" s="276">
        <f t="shared" si="23"/>
        <v>132669.6</v>
      </c>
      <c r="H38" s="291" t="s">
        <v>79</v>
      </c>
      <c r="I38" s="285">
        <v>18</v>
      </c>
      <c r="J38" s="37">
        <v>2400</v>
      </c>
      <c r="K38" s="17">
        <f t="shared" si="1"/>
        <v>133.33333333333334</v>
      </c>
      <c r="L38" s="285">
        <v>18</v>
      </c>
      <c r="M38" s="18">
        <f t="shared" si="24"/>
        <v>2291.891891891893</v>
      </c>
      <c r="N38" s="17">
        <f t="shared" si="3"/>
        <v>127.3273273273274</v>
      </c>
      <c r="O38" s="19">
        <f t="shared" si="4"/>
        <v>0</v>
      </c>
      <c r="P38" s="20">
        <f t="shared" si="5"/>
        <v>-6.006006006005947</v>
      </c>
      <c r="Q38" s="279">
        <f t="shared" si="6"/>
        <v>0.95495495495495542</v>
      </c>
      <c r="R38" s="489"/>
      <c r="S38" s="40">
        <v>0.58888888888888868</v>
      </c>
      <c r="T38" s="40">
        <v>0.66597222222222197</v>
      </c>
      <c r="U38" s="276">
        <f t="shared" si="26"/>
        <v>5.9999999999999787</v>
      </c>
      <c r="V38" s="286">
        <f t="shared" si="25"/>
        <v>110.99999999999993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-108.10810810810699</v>
      </c>
      <c r="AF38" s="279">
        <f t="shared" si="9"/>
        <v>0.95495495495495542</v>
      </c>
      <c r="AG38" s="489"/>
    </row>
    <row r="39" spans="1:33" ht="15.75" customHeight="1">
      <c r="A39" s="518" t="s">
        <v>1641</v>
      </c>
      <c r="B39" s="42" t="s">
        <v>80</v>
      </c>
      <c r="C39" s="515" t="s">
        <v>87</v>
      </c>
      <c r="D39" s="515"/>
      <c r="E39" s="42">
        <v>26.2</v>
      </c>
      <c r="F39" s="287">
        <v>2936</v>
      </c>
      <c r="G39" s="276">
        <f t="shared" si="23"/>
        <v>76923.199999999997</v>
      </c>
      <c r="H39" s="291" t="s">
        <v>79</v>
      </c>
      <c r="I39" s="285">
        <v>18</v>
      </c>
      <c r="J39" s="37">
        <v>2400</v>
      </c>
      <c r="K39" s="17">
        <f t="shared" si="1"/>
        <v>133.33333333333334</v>
      </c>
      <c r="L39" s="285">
        <v>18</v>
      </c>
      <c r="M39" s="18">
        <f t="shared" si="24"/>
        <v>2287.7922077922062</v>
      </c>
      <c r="N39" s="17">
        <f t="shared" si="3"/>
        <v>127.09956709956701</v>
      </c>
      <c r="O39" s="19">
        <f t="shared" si="4"/>
        <v>0</v>
      </c>
      <c r="P39" s="20">
        <f t="shared" si="5"/>
        <v>-6.2337662337663318</v>
      </c>
      <c r="Q39" s="279">
        <f t="shared" si="6"/>
        <v>0.95324675324675257</v>
      </c>
      <c r="R39" s="489"/>
      <c r="S39" s="40">
        <v>0.67013888888888862</v>
      </c>
      <c r="T39" s="40">
        <v>0.72361111111111087</v>
      </c>
      <c r="U39" s="276">
        <f t="shared" si="26"/>
        <v>5.9999999999999787</v>
      </c>
      <c r="V39" s="286">
        <f t="shared" si="25"/>
        <v>77.000000000000043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-112.20779220779377</v>
      </c>
      <c r="AF39" s="279">
        <f t="shared" si="9"/>
        <v>0.95324675324675257</v>
      </c>
      <c r="AG39" s="489"/>
    </row>
    <row r="40" spans="1:33" ht="15.75" customHeight="1">
      <c r="A40" s="518" t="s">
        <v>1641</v>
      </c>
      <c r="B40" s="42" t="s">
        <v>1638</v>
      </c>
      <c r="C40" s="494"/>
      <c r="D40" s="494"/>
      <c r="E40" s="280"/>
      <c r="F40" s="287"/>
      <c r="G40" s="276"/>
      <c r="H40" s="287"/>
      <c r="I40" s="30">
        <v>18.375</v>
      </c>
      <c r="J40" s="37">
        <v>2400</v>
      </c>
      <c r="K40" s="17">
        <f t="shared" si="1"/>
        <v>130.61224489795919</v>
      </c>
      <c r="L40" s="30">
        <v>18.375</v>
      </c>
      <c r="M40" s="18">
        <f>AVERAGE(M32:M39)</f>
        <v>2295.9533943371125</v>
      </c>
      <c r="N40" s="17">
        <f t="shared" si="3"/>
        <v>124.94984458977483</v>
      </c>
      <c r="O40" s="19">
        <f t="shared" si="4"/>
        <v>0</v>
      </c>
      <c r="P40" s="20">
        <f t="shared" si="5"/>
        <v>-5.6624003081843597</v>
      </c>
      <c r="Q40" s="279">
        <f t="shared" si="6"/>
        <v>0.95664724764046349</v>
      </c>
      <c r="R40" s="489"/>
      <c r="S40" s="40"/>
      <c r="T40" s="40"/>
      <c r="U40" s="276"/>
      <c r="V40" s="286"/>
      <c r="W40" s="276"/>
      <c r="X40" s="276"/>
      <c r="Y40" s="31">
        <f>SUM(Y32:Y39)</f>
        <v>0</v>
      </c>
      <c r="Z40" s="31">
        <f>SUM(Z32:Z39)</f>
        <v>0</v>
      </c>
      <c r="AA40" s="495"/>
      <c r="AB40" s="495"/>
      <c r="AC40" s="31">
        <v>10</v>
      </c>
      <c r="AD40" s="31">
        <f>SUM(AD32:AD39)</f>
        <v>0</v>
      </c>
      <c r="AE40" s="19">
        <f t="shared" si="8"/>
        <v>-104.04660566288749</v>
      </c>
      <c r="AF40" s="279">
        <f t="shared" si="9"/>
        <v>0.95664724764046349</v>
      </c>
      <c r="AG40" s="489"/>
    </row>
    <row r="41" spans="1:33" ht="15.75" customHeight="1">
      <c r="A41" s="516" t="s">
        <v>1642</v>
      </c>
      <c r="B41" s="42" t="s">
        <v>80</v>
      </c>
      <c r="C41" s="490" t="s">
        <v>87</v>
      </c>
      <c r="D41" s="490"/>
      <c r="E41" s="42">
        <v>26.2</v>
      </c>
      <c r="F41" s="287">
        <v>4000</v>
      </c>
      <c r="G41" s="276">
        <f t="shared" ref="G41:G48" si="27">E41*F41</f>
        <v>104800</v>
      </c>
      <c r="H41" s="291">
        <v>2</v>
      </c>
      <c r="I41" s="285">
        <v>18</v>
      </c>
      <c r="J41" s="37">
        <v>2400</v>
      </c>
      <c r="K41" s="17">
        <f t="shared" si="1"/>
        <v>133.33333333333334</v>
      </c>
      <c r="L41" s="285">
        <v>18</v>
      </c>
      <c r="M41" s="18">
        <f t="shared" ref="M41:M48" si="28">F41/V41*60</f>
        <v>2285.7142857142858</v>
      </c>
      <c r="N41" s="17">
        <f t="shared" si="3"/>
        <v>126.98412698412699</v>
      </c>
      <c r="O41" s="19">
        <f t="shared" si="4"/>
        <v>0</v>
      </c>
      <c r="P41" s="20">
        <f t="shared" si="5"/>
        <v>-6.3492063492063551</v>
      </c>
      <c r="Q41" s="279">
        <f t="shared" si="6"/>
        <v>0.95238095238095233</v>
      </c>
      <c r="R41" s="489">
        <f>Q49</f>
        <v>0.95695220080858945</v>
      </c>
      <c r="S41" s="40">
        <v>8.3333333333333329E-2</v>
      </c>
      <c r="T41" s="40">
        <v>0.15625</v>
      </c>
      <c r="U41" s="276"/>
      <c r="V41" s="286">
        <f t="shared" ref="V41:V48" si="29">(T41-S41)*24*60</f>
        <v>105</v>
      </c>
      <c r="W41" s="28">
        <f>T41</f>
        <v>0.15625</v>
      </c>
      <c r="X41" s="28">
        <f>S42</f>
        <v>0.17708333333333334</v>
      </c>
      <c r="Y41" s="28"/>
      <c r="Z41" s="28"/>
      <c r="AA41" s="491"/>
      <c r="AB41" s="491"/>
      <c r="AC41" s="154">
        <v>9</v>
      </c>
      <c r="AD41" s="25"/>
      <c r="AE41" s="19">
        <f t="shared" si="8"/>
        <v>-114.28571428571422</v>
      </c>
      <c r="AF41" s="279">
        <f t="shared" si="9"/>
        <v>0.95238095238095244</v>
      </c>
      <c r="AG41" s="489">
        <f>AF49</f>
        <v>0.95695220080858934</v>
      </c>
    </row>
    <row r="42" spans="1:33" ht="15.75" customHeight="1">
      <c r="A42" s="516" t="s">
        <v>1642</v>
      </c>
      <c r="B42" s="42" t="s">
        <v>80</v>
      </c>
      <c r="C42" s="490" t="s">
        <v>88</v>
      </c>
      <c r="D42" s="490"/>
      <c r="E42" s="42">
        <v>26.18</v>
      </c>
      <c r="F42" s="287">
        <v>2439</v>
      </c>
      <c r="G42" s="276">
        <f t="shared" si="27"/>
        <v>63853.02</v>
      </c>
      <c r="H42" s="291" t="s">
        <v>79</v>
      </c>
      <c r="I42" s="285">
        <v>19</v>
      </c>
      <c r="J42" s="37">
        <v>2400</v>
      </c>
      <c r="K42" s="17">
        <f t="shared" si="1"/>
        <v>126.31578947368421</v>
      </c>
      <c r="L42" s="285">
        <v>19</v>
      </c>
      <c r="M42" s="18">
        <f t="shared" si="28"/>
        <v>2286.5624999999995</v>
      </c>
      <c r="N42" s="17">
        <f t="shared" si="3"/>
        <v>120.34539473684208</v>
      </c>
      <c r="O42" s="19">
        <f t="shared" si="4"/>
        <v>0</v>
      </c>
      <c r="P42" s="20">
        <f t="shared" si="5"/>
        <v>-5.970394736842124</v>
      </c>
      <c r="Q42" s="279">
        <f t="shared" si="6"/>
        <v>0.9527343749999998</v>
      </c>
      <c r="R42" s="489"/>
      <c r="S42" s="40">
        <v>0.17708333333333334</v>
      </c>
      <c r="T42" s="40">
        <v>0.2215277777777778</v>
      </c>
      <c r="U42" s="276">
        <f t="shared" ref="U42:U48" si="30">(S42-T41)*24*60</f>
        <v>30.000000000000014</v>
      </c>
      <c r="V42" s="286">
        <f t="shared" si="29"/>
        <v>64.000000000000014</v>
      </c>
      <c r="W42" s="276"/>
      <c r="X42" s="276"/>
      <c r="Y42" s="276"/>
      <c r="Z42" s="276"/>
      <c r="AA42" s="491"/>
      <c r="AB42" s="491"/>
      <c r="AC42" s="154"/>
      <c r="AD42" s="25"/>
      <c r="AE42" s="19">
        <f t="shared" si="8"/>
        <v>-113.43750000000045</v>
      </c>
      <c r="AF42" s="279">
        <f t="shared" si="9"/>
        <v>0.9527343749999998</v>
      </c>
      <c r="AG42" s="489"/>
    </row>
    <row r="43" spans="1:33">
      <c r="A43" s="517" t="s">
        <v>1642</v>
      </c>
      <c r="B43" s="42" t="s">
        <v>80</v>
      </c>
      <c r="C43" s="490" t="s">
        <v>89</v>
      </c>
      <c r="D43" s="490"/>
      <c r="E43" s="42">
        <v>26.39</v>
      </c>
      <c r="F43" s="287">
        <v>3800</v>
      </c>
      <c r="G43" s="276">
        <f t="shared" si="27"/>
        <v>100282</v>
      </c>
      <c r="H43" s="291">
        <v>2</v>
      </c>
      <c r="I43" s="285">
        <v>19</v>
      </c>
      <c r="J43" s="37">
        <v>2400</v>
      </c>
      <c r="K43" s="17">
        <f t="shared" si="1"/>
        <v>126.31578947368421</v>
      </c>
      <c r="L43" s="285">
        <v>19</v>
      </c>
      <c r="M43" s="18">
        <f t="shared" si="28"/>
        <v>2303.0303030303039</v>
      </c>
      <c r="N43" s="17">
        <f t="shared" si="3"/>
        <v>121.21212121212126</v>
      </c>
      <c r="O43" s="19">
        <f t="shared" si="4"/>
        <v>0</v>
      </c>
      <c r="P43" s="20">
        <f t="shared" si="5"/>
        <v>-5.1036682615629445</v>
      </c>
      <c r="Q43" s="279">
        <f t="shared" si="6"/>
        <v>0.95959595959596</v>
      </c>
      <c r="R43" s="489"/>
      <c r="S43" s="40">
        <v>0.22638888888888892</v>
      </c>
      <c r="T43" s="40">
        <v>0.2951388888888889</v>
      </c>
      <c r="U43" s="276">
        <f t="shared" si="30"/>
        <v>7.0000000000000151</v>
      </c>
      <c r="V43" s="286">
        <f t="shared" si="29"/>
        <v>98.999999999999972</v>
      </c>
      <c r="W43" s="276"/>
      <c r="X43" s="276"/>
      <c r="Y43" s="276"/>
      <c r="Z43" s="276"/>
      <c r="AA43" s="491"/>
      <c r="AB43" s="491"/>
      <c r="AC43" s="154"/>
      <c r="AD43" s="25"/>
      <c r="AE43" s="19">
        <f t="shared" si="8"/>
        <v>-96.969696969696088</v>
      </c>
      <c r="AF43" s="279">
        <f t="shared" si="9"/>
        <v>0.95959595959596</v>
      </c>
      <c r="AG43" s="489"/>
    </row>
    <row r="44" spans="1:33">
      <c r="A44" s="517" t="s">
        <v>1642</v>
      </c>
      <c r="B44" s="42" t="s">
        <v>80</v>
      </c>
      <c r="C44" s="490" t="s">
        <v>90</v>
      </c>
      <c r="D44" s="490"/>
      <c r="E44" s="42">
        <v>22.69</v>
      </c>
      <c r="F44" s="287">
        <v>2054</v>
      </c>
      <c r="G44" s="276">
        <f t="shared" si="27"/>
        <v>46605.26</v>
      </c>
      <c r="H44" s="291" t="s">
        <v>79</v>
      </c>
      <c r="I44" s="285">
        <v>15</v>
      </c>
      <c r="J44" s="37">
        <v>2400</v>
      </c>
      <c r="K44" s="17">
        <f t="shared" si="1"/>
        <v>160</v>
      </c>
      <c r="L44" s="285">
        <v>15</v>
      </c>
      <c r="M44" s="18">
        <f t="shared" si="28"/>
        <v>2282.2222222222235</v>
      </c>
      <c r="N44" s="17">
        <f t="shared" si="3"/>
        <v>152.14814814814824</v>
      </c>
      <c r="O44" s="19">
        <f t="shared" si="4"/>
        <v>0</v>
      </c>
      <c r="P44" s="20">
        <f t="shared" si="5"/>
        <v>-7.8518518518517624</v>
      </c>
      <c r="Q44" s="279">
        <f t="shared" si="6"/>
        <v>0.95092592592592651</v>
      </c>
      <c r="R44" s="489"/>
      <c r="S44" s="40">
        <v>0.30069444444444443</v>
      </c>
      <c r="T44" s="40">
        <v>0.33819444444444441</v>
      </c>
      <c r="U44" s="276">
        <f t="shared" si="30"/>
        <v>7.9999999999999716</v>
      </c>
      <c r="V44" s="286">
        <f t="shared" si="29"/>
        <v>53.999999999999972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-117.77777777777646</v>
      </c>
      <c r="AF44" s="279">
        <f t="shared" si="9"/>
        <v>0.95092592592592651</v>
      </c>
      <c r="AG44" s="489"/>
    </row>
    <row r="45" spans="1:33">
      <c r="A45" s="517" t="s">
        <v>1642</v>
      </c>
      <c r="B45" s="42" t="s">
        <v>80</v>
      </c>
      <c r="C45" s="490" t="s">
        <v>91</v>
      </c>
      <c r="D45" s="490"/>
      <c r="E45" s="42">
        <v>24.45</v>
      </c>
      <c r="F45" s="287">
        <v>2778</v>
      </c>
      <c r="G45" s="276">
        <f t="shared" si="27"/>
        <v>67922.099999999991</v>
      </c>
      <c r="H45" s="291" t="s">
        <v>79</v>
      </c>
      <c r="I45" s="285">
        <v>20</v>
      </c>
      <c r="J45" s="37">
        <v>2400</v>
      </c>
      <c r="K45" s="17">
        <f t="shared" si="1"/>
        <v>120</v>
      </c>
      <c r="L45" s="285">
        <v>20</v>
      </c>
      <c r="M45" s="18">
        <f t="shared" si="28"/>
        <v>2315.0000000000005</v>
      </c>
      <c r="N45" s="17">
        <f t="shared" si="3"/>
        <v>115.75000000000003</v>
      </c>
      <c r="O45" s="19">
        <f t="shared" si="4"/>
        <v>0</v>
      </c>
      <c r="P45" s="20">
        <f t="shared" si="5"/>
        <v>-4.2499999999999716</v>
      </c>
      <c r="Q45" s="279">
        <f t="shared" si="6"/>
        <v>0.96458333333333357</v>
      </c>
      <c r="R45" s="489"/>
      <c r="S45" s="40">
        <v>0.34374999999999994</v>
      </c>
      <c r="T45" s="40">
        <v>0.39374999999999993</v>
      </c>
      <c r="U45" s="276">
        <f t="shared" si="30"/>
        <v>7.9999999999999716</v>
      </c>
      <c r="V45" s="286">
        <f t="shared" si="29"/>
        <v>71.999999999999986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-84.999999999999545</v>
      </c>
      <c r="AF45" s="279">
        <f t="shared" si="9"/>
        <v>0.96458333333333357</v>
      </c>
      <c r="AG45" s="489"/>
    </row>
    <row r="46" spans="1:33">
      <c r="A46" s="517" t="s">
        <v>1642</v>
      </c>
      <c r="B46" s="42" t="s">
        <v>80</v>
      </c>
      <c r="C46" s="490" t="s">
        <v>1224</v>
      </c>
      <c r="D46" s="490"/>
      <c r="E46" s="42">
        <v>22.69</v>
      </c>
      <c r="F46" s="287">
        <v>6500</v>
      </c>
      <c r="G46" s="276">
        <f t="shared" si="27"/>
        <v>147485</v>
      </c>
      <c r="H46" s="291">
        <v>2</v>
      </c>
      <c r="I46" s="285">
        <v>16</v>
      </c>
      <c r="J46" s="37">
        <v>2400</v>
      </c>
      <c r="K46" s="17">
        <f t="shared" si="1"/>
        <v>150</v>
      </c>
      <c r="L46" s="285">
        <v>16</v>
      </c>
      <c r="M46" s="18">
        <f t="shared" si="28"/>
        <v>2294.117647058823</v>
      </c>
      <c r="N46" s="17">
        <f t="shared" si="3"/>
        <v>143.38235294117644</v>
      </c>
      <c r="O46" s="19">
        <f t="shared" si="4"/>
        <v>0</v>
      </c>
      <c r="P46" s="20">
        <f t="shared" si="5"/>
        <v>-6.6176470588235645</v>
      </c>
      <c r="Q46" s="279">
        <f t="shared" si="6"/>
        <v>0.95588235294117618</v>
      </c>
      <c r="R46" s="489"/>
      <c r="S46" s="40">
        <v>0.39791666666666659</v>
      </c>
      <c r="T46" s="40">
        <v>0.51597222222222217</v>
      </c>
      <c r="U46" s="276">
        <f t="shared" si="30"/>
        <v>5.9999999999999787</v>
      </c>
      <c r="V46" s="286">
        <f t="shared" si="29"/>
        <v>170.00000000000003</v>
      </c>
      <c r="W46" s="23">
        <f>T46</f>
        <v>0.51597222222222217</v>
      </c>
      <c r="X46" s="23">
        <f>S47</f>
        <v>0.55624999999999991</v>
      </c>
      <c r="Y46" s="23"/>
      <c r="Z46" s="23"/>
      <c r="AA46" s="491"/>
      <c r="AB46" s="491"/>
      <c r="AC46" s="154"/>
      <c r="AD46" s="25"/>
      <c r="AE46" s="19">
        <f t="shared" si="8"/>
        <v>-105.88235294117703</v>
      </c>
      <c r="AF46" s="279">
        <f t="shared" si="9"/>
        <v>0.95588235294117618</v>
      </c>
      <c r="AG46" s="489"/>
    </row>
    <row r="47" spans="1:33">
      <c r="A47" s="517" t="s">
        <v>1642</v>
      </c>
      <c r="B47" s="42" t="s">
        <v>80</v>
      </c>
      <c r="C47" s="490" t="s">
        <v>1224</v>
      </c>
      <c r="D47" s="490"/>
      <c r="E47" s="42">
        <v>22.69</v>
      </c>
      <c r="F47" s="287">
        <v>5620</v>
      </c>
      <c r="G47" s="276">
        <f t="shared" si="27"/>
        <v>127517.8</v>
      </c>
      <c r="H47" s="291" t="s">
        <v>79</v>
      </c>
      <c r="I47" s="285">
        <v>16</v>
      </c>
      <c r="J47" s="37">
        <v>2400</v>
      </c>
      <c r="K47" s="17">
        <f t="shared" si="1"/>
        <v>150</v>
      </c>
      <c r="L47" s="285">
        <v>16</v>
      </c>
      <c r="M47" s="18">
        <f t="shared" si="28"/>
        <v>2293.8775510204086</v>
      </c>
      <c r="N47" s="17">
        <f t="shared" si="3"/>
        <v>143.36734693877554</v>
      </c>
      <c r="O47" s="19">
        <f t="shared" si="4"/>
        <v>0</v>
      </c>
      <c r="P47" s="20">
        <f t="shared" si="5"/>
        <v>-6.6326530612244596</v>
      </c>
      <c r="Q47" s="279">
        <f t="shared" si="6"/>
        <v>0.95578231292517024</v>
      </c>
      <c r="R47" s="489"/>
      <c r="S47" s="40">
        <v>0.55624999999999991</v>
      </c>
      <c r="T47" s="40">
        <v>0.65833333333333321</v>
      </c>
      <c r="U47" s="276">
        <f t="shared" si="30"/>
        <v>57.999999999999957</v>
      </c>
      <c r="V47" s="286">
        <f t="shared" si="29"/>
        <v>146.99999999999994</v>
      </c>
      <c r="W47" s="23"/>
      <c r="X47" s="23"/>
      <c r="Y47" s="26"/>
      <c r="Z47" s="26"/>
      <c r="AA47" s="503"/>
      <c r="AB47" s="504"/>
      <c r="AC47" s="154"/>
      <c r="AD47" s="25"/>
      <c r="AE47" s="19">
        <f t="shared" si="8"/>
        <v>-106.12244897959135</v>
      </c>
      <c r="AF47" s="279">
        <f t="shared" si="9"/>
        <v>0.95578231292517024</v>
      </c>
      <c r="AG47" s="489"/>
    </row>
    <row r="48" spans="1:33">
      <c r="A48" s="517" t="s">
        <v>1642</v>
      </c>
      <c r="B48" s="42" t="s">
        <v>80</v>
      </c>
      <c r="C48" s="490" t="s">
        <v>89</v>
      </c>
      <c r="D48" s="490"/>
      <c r="E48" s="42">
        <v>26.39</v>
      </c>
      <c r="F48" s="287">
        <v>2737</v>
      </c>
      <c r="G48" s="276">
        <f t="shared" si="27"/>
        <v>72229.430000000008</v>
      </c>
      <c r="H48" s="291" t="s">
        <v>79</v>
      </c>
      <c r="I48" s="285">
        <v>19</v>
      </c>
      <c r="J48" s="37">
        <v>2400</v>
      </c>
      <c r="K48" s="17">
        <f t="shared" si="1"/>
        <v>126.31578947368421</v>
      </c>
      <c r="L48" s="285">
        <v>19</v>
      </c>
      <c r="M48" s="18">
        <f t="shared" si="28"/>
        <v>2312.9577464788708</v>
      </c>
      <c r="N48" s="17">
        <f t="shared" si="3"/>
        <v>121.73461823573004</v>
      </c>
      <c r="O48" s="19">
        <f t="shared" si="4"/>
        <v>0</v>
      </c>
      <c r="P48" s="20">
        <f t="shared" si="5"/>
        <v>-4.581171237954166</v>
      </c>
      <c r="Q48" s="279">
        <f t="shared" si="6"/>
        <v>0.96373239436619618</v>
      </c>
      <c r="R48" s="489"/>
      <c r="S48" s="40">
        <v>0.66180555555555542</v>
      </c>
      <c r="T48" s="40">
        <v>0.71111111111111103</v>
      </c>
      <c r="U48" s="276">
        <f t="shared" si="30"/>
        <v>4.9999999999999822</v>
      </c>
      <c r="V48" s="286">
        <f t="shared" si="29"/>
        <v>71.000000000000071</v>
      </c>
      <c r="W48" s="23"/>
      <c r="X48" s="23"/>
      <c r="Y48" s="26"/>
      <c r="Z48" s="26"/>
      <c r="AA48" s="503"/>
      <c r="AB48" s="504"/>
      <c r="AC48" s="154"/>
      <c r="AD48" s="25"/>
      <c r="AE48" s="19">
        <f t="shared" si="8"/>
        <v>-87.042253521129169</v>
      </c>
      <c r="AF48" s="279">
        <f t="shared" si="9"/>
        <v>0.96373239436619618</v>
      </c>
      <c r="AG48" s="489"/>
    </row>
    <row r="49" spans="1:33">
      <c r="A49" s="517" t="s">
        <v>1642</v>
      </c>
      <c r="B49" s="44" t="s">
        <v>1638</v>
      </c>
      <c r="C49" s="494"/>
      <c r="D49" s="494"/>
      <c r="E49" s="280"/>
      <c r="F49" s="44"/>
      <c r="G49" s="17"/>
      <c r="H49" s="287"/>
      <c r="I49" s="30">
        <v>17.75</v>
      </c>
      <c r="J49" s="37">
        <v>2400</v>
      </c>
      <c r="K49" s="17">
        <f t="shared" si="1"/>
        <v>135.21126760563379</v>
      </c>
      <c r="L49" s="30">
        <v>17.75</v>
      </c>
      <c r="M49" s="18">
        <f>AVERAGE(M41:M48)</f>
        <v>2296.6852819406145</v>
      </c>
      <c r="N49" s="17">
        <f t="shared" si="3"/>
        <v>129.3907201093304</v>
      </c>
      <c r="O49" s="19">
        <f t="shared" si="4"/>
        <v>0</v>
      </c>
      <c r="P49" s="20">
        <f t="shared" si="5"/>
        <v>-5.8205474963033907</v>
      </c>
      <c r="Q49" s="279">
        <f t="shared" si="6"/>
        <v>0.95695220080858945</v>
      </c>
      <c r="R49" s="489"/>
      <c r="S49" s="40"/>
      <c r="T49" s="40"/>
      <c r="U49" s="17"/>
      <c r="V49" s="286"/>
      <c r="W49" s="17"/>
      <c r="X49" s="17"/>
      <c r="Y49" s="31">
        <f>SUM(Y41:Y48)</f>
        <v>0</v>
      </c>
      <c r="Z49" s="31">
        <f>SUM(Z41:Z48)</f>
        <v>0</v>
      </c>
      <c r="AA49" s="495"/>
      <c r="AB49" s="495"/>
      <c r="AC49" s="31">
        <v>9</v>
      </c>
      <c r="AD49" s="31">
        <f>SUM(AD41:AD48)</f>
        <v>0</v>
      </c>
      <c r="AE49" s="19">
        <f t="shared" si="8"/>
        <v>-103.31471805938554</v>
      </c>
      <c r="AF49" s="279">
        <f t="shared" si="9"/>
        <v>0.95695220080858934</v>
      </c>
      <c r="AG49" s="489"/>
    </row>
    <row r="50" spans="1:33" ht="15.75" customHeight="1">
      <c r="A50" s="512" t="s">
        <v>1643</v>
      </c>
      <c r="B50" s="42" t="s">
        <v>93</v>
      </c>
      <c r="C50" s="501" t="s">
        <v>94</v>
      </c>
      <c r="D50" s="502"/>
      <c r="E50" s="42">
        <v>21.13</v>
      </c>
      <c r="F50" s="287">
        <v>3300</v>
      </c>
      <c r="G50" s="276">
        <f t="shared" ref="G50:G58" si="31">E50*F50</f>
        <v>69729</v>
      </c>
      <c r="H50" s="291">
        <v>2</v>
      </c>
      <c r="I50" s="285">
        <v>10</v>
      </c>
      <c r="J50" s="37">
        <v>3000</v>
      </c>
      <c r="K50" s="17">
        <f t="shared" si="1"/>
        <v>300</v>
      </c>
      <c r="L50" s="285">
        <v>10</v>
      </c>
      <c r="M50" s="18">
        <f t="shared" ref="M50:M58" si="32">F50/V50*60</f>
        <v>2869.5652173913054</v>
      </c>
      <c r="N50" s="18">
        <f t="shared" si="3"/>
        <v>286.95652173913055</v>
      </c>
      <c r="O50" s="19">
        <f t="shared" si="4"/>
        <v>0</v>
      </c>
      <c r="P50" s="20">
        <f t="shared" si="5"/>
        <v>-13.043478260869449</v>
      </c>
      <c r="Q50" s="279">
        <f t="shared" si="6"/>
        <v>0.95652173913043514</v>
      </c>
      <c r="R50" s="509">
        <f>Q59</f>
        <v>0.95673862009627064</v>
      </c>
      <c r="S50" s="40">
        <v>8.3333333333333329E-2</v>
      </c>
      <c r="T50" s="40">
        <v>0.13124999999999998</v>
      </c>
      <c r="U50" s="28"/>
      <c r="V50" s="286">
        <f t="shared" ref="V50:V58" si="33">(T50-S50)*24*60</f>
        <v>68.999999999999972</v>
      </c>
      <c r="W50" s="23">
        <f>T50</f>
        <v>0.13124999999999998</v>
      </c>
      <c r="X50" s="23">
        <f>S51</f>
        <v>0.15069444444444444</v>
      </c>
      <c r="Y50" s="26"/>
      <c r="Z50" s="26"/>
      <c r="AA50" s="503"/>
      <c r="AB50" s="504"/>
      <c r="AC50" s="154" t="s">
        <v>79</v>
      </c>
      <c r="AD50" s="25"/>
      <c r="AE50" s="19">
        <f t="shared" si="8"/>
        <v>-130.4347826086946</v>
      </c>
      <c r="AF50" s="279">
        <f t="shared" si="9"/>
        <v>0.95652173913043514</v>
      </c>
      <c r="AG50" s="509">
        <f>AF59</f>
        <v>0.95673862009627075</v>
      </c>
    </row>
    <row r="51" spans="1:33" ht="15.75" customHeight="1">
      <c r="A51" s="513" t="s">
        <v>1643</v>
      </c>
      <c r="B51" s="42" t="s">
        <v>93</v>
      </c>
      <c r="C51" s="501" t="s">
        <v>95</v>
      </c>
      <c r="D51" s="502"/>
      <c r="E51" s="42">
        <v>27.17</v>
      </c>
      <c r="F51" s="287">
        <v>4800</v>
      </c>
      <c r="G51" s="276">
        <f t="shared" si="31"/>
        <v>130416.00000000001</v>
      </c>
      <c r="H51" s="291">
        <v>2</v>
      </c>
      <c r="I51" s="285">
        <v>10</v>
      </c>
      <c r="J51" s="37">
        <v>3000</v>
      </c>
      <c r="K51" s="17">
        <f t="shared" si="1"/>
        <v>300</v>
      </c>
      <c r="L51" s="285">
        <v>10</v>
      </c>
      <c r="M51" s="18">
        <f t="shared" si="32"/>
        <v>2851.4851485148515</v>
      </c>
      <c r="N51" s="18">
        <f t="shared" si="3"/>
        <v>285.14851485148517</v>
      </c>
      <c r="O51" s="19">
        <f t="shared" si="4"/>
        <v>0</v>
      </c>
      <c r="P51" s="20">
        <f t="shared" si="5"/>
        <v>-14.851485148514826</v>
      </c>
      <c r="Q51" s="279">
        <f t="shared" si="6"/>
        <v>0.95049504950495056</v>
      </c>
      <c r="R51" s="510"/>
      <c r="S51" s="40">
        <v>0.15069444444444444</v>
      </c>
      <c r="T51" s="40">
        <v>0.22083333333333333</v>
      </c>
      <c r="U51" s="276">
        <f t="shared" ref="U51:U58" si="34">(S51-T50)*24*60</f>
        <v>28.000000000000021</v>
      </c>
      <c r="V51" s="286">
        <f t="shared" si="33"/>
        <v>101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-148.51485148514848</v>
      </c>
      <c r="AF51" s="279">
        <f t="shared" si="9"/>
        <v>0.95049504950495045</v>
      </c>
      <c r="AG51" s="510"/>
    </row>
    <row r="52" spans="1:33" ht="15.75" customHeight="1">
      <c r="A52" s="513" t="s">
        <v>1643</v>
      </c>
      <c r="B52" s="42" t="s">
        <v>93</v>
      </c>
      <c r="C52" s="501" t="s">
        <v>96</v>
      </c>
      <c r="D52" s="502"/>
      <c r="E52" s="42">
        <v>35.119999999999997</v>
      </c>
      <c r="F52" s="287">
        <v>6246</v>
      </c>
      <c r="G52" s="276">
        <f t="shared" si="31"/>
        <v>219359.52</v>
      </c>
      <c r="H52" s="291" t="s">
        <v>79</v>
      </c>
      <c r="I52" s="285">
        <v>10</v>
      </c>
      <c r="J52" s="37">
        <v>3000</v>
      </c>
      <c r="K52" s="17">
        <f t="shared" si="1"/>
        <v>300</v>
      </c>
      <c r="L52" s="285">
        <v>10</v>
      </c>
      <c r="M52" s="18">
        <f t="shared" si="32"/>
        <v>2860.7633587786263</v>
      </c>
      <c r="N52" s="18">
        <f t="shared" si="3"/>
        <v>286.07633587786262</v>
      </c>
      <c r="O52" s="19">
        <f t="shared" si="4"/>
        <v>0</v>
      </c>
      <c r="P52" s="20">
        <f t="shared" si="5"/>
        <v>-13.923664122137382</v>
      </c>
      <c r="Q52" s="279">
        <f t="shared" si="6"/>
        <v>0.9535877862595421</v>
      </c>
      <c r="R52" s="510"/>
      <c r="S52" s="40">
        <v>0.22500000000000001</v>
      </c>
      <c r="T52" s="40">
        <v>0.31597222222222221</v>
      </c>
      <c r="U52" s="276">
        <f t="shared" si="34"/>
        <v>6.0000000000000187</v>
      </c>
      <c r="V52" s="286">
        <f t="shared" si="33"/>
        <v>130.99999999999997</v>
      </c>
      <c r="W52" s="23"/>
      <c r="X52" s="23"/>
      <c r="Y52" s="26"/>
      <c r="Z52" s="26"/>
      <c r="AA52" s="503"/>
      <c r="AB52" s="504"/>
      <c r="AC52" s="154">
        <v>1</v>
      </c>
      <c r="AD52" s="25"/>
      <c r="AE52" s="19">
        <f t="shared" si="8"/>
        <v>-139.2366412213737</v>
      </c>
      <c r="AF52" s="279">
        <f t="shared" si="9"/>
        <v>0.9535877862595421</v>
      </c>
      <c r="AG52" s="510"/>
    </row>
    <row r="53" spans="1:33" ht="15.75" customHeight="1">
      <c r="A53" s="513" t="s">
        <v>1643</v>
      </c>
      <c r="B53" s="42" t="s">
        <v>93</v>
      </c>
      <c r="C53" s="501" t="s">
        <v>110</v>
      </c>
      <c r="D53" s="502"/>
      <c r="E53" s="42">
        <v>26.78</v>
      </c>
      <c r="F53" s="287">
        <v>2856</v>
      </c>
      <c r="G53" s="276">
        <f t="shared" si="31"/>
        <v>76483.680000000008</v>
      </c>
      <c r="H53" s="291" t="s">
        <v>79</v>
      </c>
      <c r="I53" s="285">
        <v>10</v>
      </c>
      <c r="J53" s="37">
        <v>3000</v>
      </c>
      <c r="K53" s="17">
        <f t="shared" si="1"/>
        <v>300</v>
      </c>
      <c r="L53" s="285">
        <v>10</v>
      </c>
      <c r="M53" s="18">
        <f t="shared" si="32"/>
        <v>2855.9999999999986</v>
      </c>
      <c r="N53" s="18">
        <f t="shared" si="3"/>
        <v>285.59999999999985</v>
      </c>
      <c r="O53" s="19">
        <f t="shared" si="4"/>
        <v>0</v>
      </c>
      <c r="P53" s="20">
        <f t="shared" si="5"/>
        <v>-14.400000000000148</v>
      </c>
      <c r="Q53" s="279">
        <f t="shared" si="6"/>
        <v>0.95199999999999951</v>
      </c>
      <c r="R53" s="510"/>
      <c r="S53" s="40">
        <v>0.32013888888888886</v>
      </c>
      <c r="T53" s="40">
        <v>0.36180555555555555</v>
      </c>
      <c r="U53" s="276">
        <f t="shared" si="34"/>
        <v>5.9999999999999787</v>
      </c>
      <c r="V53" s="286">
        <f t="shared" si="33"/>
        <v>60.000000000000028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-144.00000000000136</v>
      </c>
      <c r="AF53" s="279">
        <f t="shared" si="9"/>
        <v>0.95199999999999951</v>
      </c>
      <c r="AG53" s="510"/>
    </row>
    <row r="54" spans="1:33" ht="15.75" customHeight="1">
      <c r="A54" s="513" t="s">
        <v>1643</v>
      </c>
      <c r="B54" s="42" t="s">
        <v>93</v>
      </c>
      <c r="C54" s="501" t="s">
        <v>99</v>
      </c>
      <c r="D54" s="502"/>
      <c r="E54" s="42">
        <v>32.020000000000003</v>
      </c>
      <c r="F54" s="287">
        <v>2693</v>
      </c>
      <c r="G54" s="276">
        <f t="shared" si="31"/>
        <v>86229.860000000015</v>
      </c>
      <c r="H54" s="291" t="s">
        <v>79</v>
      </c>
      <c r="I54" s="285">
        <v>11</v>
      </c>
      <c r="J54" s="37">
        <v>3000</v>
      </c>
      <c r="K54" s="17">
        <f t="shared" si="1"/>
        <v>272.72727272727275</v>
      </c>
      <c r="L54" s="285">
        <v>11</v>
      </c>
      <c r="M54" s="18">
        <f t="shared" si="32"/>
        <v>2885.3571428571408</v>
      </c>
      <c r="N54" s="18">
        <f t="shared" si="3"/>
        <v>262.30519480519462</v>
      </c>
      <c r="O54" s="19">
        <f t="shared" si="4"/>
        <v>0</v>
      </c>
      <c r="P54" s="20">
        <f t="shared" si="5"/>
        <v>-10.422077922078131</v>
      </c>
      <c r="Q54" s="279">
        <f t="shared" si="6"/>
        <v>0.96178571428571358</v>
      </c>
      <c r="R54" s="510"/>
      <c r="S54" s="40">
        <v>0.36736111111111108</v>
      </c>
      <c r="T54" s="40">
        <v>0.40625</v>
      </c>
      <c r="U54" s="276">
        <f t="shared" si="34"/>
        <v>7.9999999999999716</v>
      </c>
      <c r="V54" s="286">
        <f t="shared" si="33"/>
        <v>56.000000000000043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-114.64285714285916</v>
      </c>
      <c r="AF54" s="279">
        <f t="shared" si="9"/>
        <v>0.96178571428571358</v>
      </c>
      <c r="AG54" s="510"/>
    </row>
    <row r="55" spans="1:33" ht="15.75" customHeight="1">
      <c r="A55" s="513" t="s">
        <v>1643</v>
      </c>
      <c r="B55" s="42" t="s">
        <v>93</v>
      </c>
      <c r="C55" s="501" t="s">
        <v>112</v>
      </c>
      <c r="D55" s="502"/>
      <c r="E55" s="42">
        <v>35.869999999999997</v>
      </c>
      <c r="F55" s="287">
        <v>3420</v>
      </c>
      <c r="G55" s="276">
        <f t="shared" si="31"/>
        <v>122675.4</v>
      </c>
      <c r="H55" s="291" t="s">
        <v>79</v>
      </c>
      <c r="I55" s="285">
        <v>9</v>
      </c>
      <c r="J55" s="37">
        <v>3000</v>
      </c>
      <c r="K55" s="17">
        <f t="shared" si="1"/>
        <v>333.33333333333331</v>
      </c>
      <c r="L55" s="285">
        <v>9</v>
      </c>
      <c r="M55" s="18">
        <f t="shared" si="32"/>
        <v>2890.1408450704234</v>
      </c>
      <c r="N55" s="18">
        <f t="shared" si="3"/>
        <v>321.1267605633804</v>
      </c>
      <c r="O55" s="19">
        <f t="shared" si="4"/>
        <v>0</v>
      </c>
      <c r="P55" s="20">
        <f t="shared" si="5"/>
        <v>-12.206572769952913</v>
      </c>
      <c r="Q55" s="279">
        <f t="shared" si="6"/>
        <v>0.96338028169014123</v>
      </c>
      <c r="R55" s="510"/>
      <c r="S55" s="40">
        <v>0.41180555555555554</v>
      </c>
      <c r="T55" s="40">
        <v>0.46111111111111108</v>
      </c>
      <c r="U55" s="276">
        <f t="shared" si="34"/>
        <v>7.9999999999999716</v>
      </c>
      <c r="V55" s="286">
        <f t="shared" si="33"/>
        <v>70.999999999999986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-109.85915492957656</v>
      </c>
      <c r="AF55" s="279">
        <f t="shared" si="9"/>
        <v>0.96338028169014112</v>
      </c>
      <c r="AG55" s="510"/>
    </row>
    <row r="56" spans="1:33" ht="15.75" customHeight="1">
      <c r="A56" s="513" t="s">
        <v>1643</v>
      </c>
      <c r="B56" s="42" t="s">
        <v>93</v>
      </c>
      <c r="C56" s="501" t="s">
        <v>113</v>
      </c>
      <c r="D56" s="502"/>
      <c r="E56" s="42">
        <v>34.36</v>
      </c>
      <c r="F56" s="287">
        <v>1857</v>
      </c>
      <c r="G56" s="276">
        <f t="shared" si="31"/>
        <v>63806.52</v>
      </c>
      <c r="H56" s="291" t="s">
        <v>79</v>
      </c>
      <c r="I56" s="285">
        <v>10</v>
      </c>
      <c r="J56" s="37">
        <v>3000</v>
      </c>
      <c r="K56" s="17">
        <f t="shared" si="1"/>
        <v>300</v>
      </c>
      <c r="L56" s="285">
        <v>10</v>
      </c>
      <c r="M56" s="18">
        <f t="shared" si="32"/>
        <v>2856.9230769230753</v>
      </c>
      <c r="N56" s="18">
        <f t="shared" si="3"/>
        <v>285.69230769230751</v>
      </c>
      <c r="O56" s="19">
        <f t="shared" si="4"/>
        <v>0</v>
      </c>
      <c r="P56" s="20">
        <f t="shared" si="5"/>
        <v>-14.307692307692491</v>
      </c>
      <c r="Q56" s="279">
        <f t="shared" si="6"/>
        <v>0.95230769230769174</v>
      </c>
      <c r="R56" s="510"/>
      <c r="S56" s="40">
        <v>0.46527777777777773</v>
      </c>
      <c r="T56" s="40">
        <v>0.49236111111111108</v>
      </c>
      <c r="U56" s="276">
        <f t="shared" si="34"/>
        <v>5.9999999999999787</v>
      </c>
      <c r="V56" s="286">
        <f t="shared" si="33"/>
        <v>39.000000000000021</v>
      </c>
      <c r="W56" s="23">
        <f>T56</f>
        <v>0.49236111111111108</v>
      </c>
      <c r="X56" s="23">
        <f>S57</f>
        <v>0.5347222222222221</v>
      </c>
      <c r="Y56" s="26"/>
      <c r="Z56" s="26"/>
      <c r="AA56" s="503"/>
      <c r="AB56" s="504"/>
      <c r="AC56" s="154" t="s">
        <v>79</v>
      </c>
      <c r="AD56" s="25"/>
      <c r="AE56" s="19">
        <f t="shared" si="8"/>
        <v>-143.07692307692469</v>
      </c>
      <c r="AF56" s="279">
        <f t="shared" si="9"/>
        <v>0.95230769230769174</v>
      </c>
      <c r="AG56" s="510"/>
    </row>
    <row r="57" spans="1:33" ht="15.75" customHeight="1">
      <c r="A57" s="513" t="s">
        <v>1643</v>
      </c>
      <c r="B57" s="42" t="s">
        <v>93</v>
      </c>
      <c r="C57" s="501" t="s">
        <v>94</v>
      </c>
      <c r="D57" s="502"/>
      <c r="E57" s="42">
        <v>21.13</v>
      </c>
      <c r="F57" s="287">
        <v>2842</v>
      </c>
      <c r="G57" s="276">
        <f t="shared" si="31"/>
        <v>60051.46</v>
      </c>
      <c r="H57" s="291" t="s">
        <v>79</v>
      </c>
      <c r="I57" s="285">
        <v>10</v>
      </c>
      <c r="J57" s="37">
        <v>3000</v>
      </c>
      <c r="K57" s="17">
        <f t="shared" si="1"/>
        <v>300</v>
      </c>
      <c r="L57" s="285">
        <v>10</v>
      </c>
      <c r="M57" s="18">
        <f t="shared" si="32"/>
        <v>2890.1694915254266</v>
      </c>
      <c r="N57" s="18">
        <f t="shared" si="3"/>
        <v>289.01694915254268</v>
      </c>
      <c r="O57" s="19">
        <f t="shared" si="4"/>
        <v>0</v>
      </c>
      <c r="P57" s="20">
        <f t="shared" si="5"/>
        <v>-10.983050847457321</v>
      </c>
      <c r="Q57" s="279">
        <f t="shared" si="6"/>
        <v>0.9633898305084756</v>
      </c>
      <c r="R57" s="510"/>
      <c r="S57" s="40">
        <v>0.5347222222222221</v>
      </c>
      <c r="T57" s="40">
        <v>0.57569444444444429</v>
      </c>
      <c r="U57" s="276">
        <f t="shared" si="34"/>
        <v>60.999999999999865</v>
      </c>
      <c r="V57" s="286">
        <f t="shared" si="33"/>
        <v>58.99999999999995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-109.83050847457343</v>
      </c>
      <c r="AF57" s="279">
        <f t="shared" si="9"/>
        <v>0.96338983050847549</v>
      </c>
      <c r="AG57" s="510"/>
    </row>
    <row r="58" spans="1:33" ht="15.75" customHeight="1">
      <c r="A58" s="513" t="s">
        <v>1643</v>
      </c>
      <c r="B58" s="42" t="s">
        <v>93</v>
      </c>
      <c r="C58" s="501" t="s">
        <v>95</v>
      </c>
      <c r="D58" s="502"/>
      <c r="E58" s="42">
        <v>27.17</v>
      </c>
      <c r="F58" s="287">
        <v>3733</v>
      </c>
      <c r="G58" s="276">
        <f t="shared" si="31"/>
        <v>101425.61</v>
      </c>
      <c r="H58" s="291" t="s">
        <v>79</v>
      </c>
      <c r="I58" s="285">
        <v>10</v>
      </c>
      <c r="J58" s="37">
        <v>3000</v>
      </c>
      <c r="K58" s="17">
        <f t="shared" si="1"/>
        <v>300</v>
      </c>
      <c r="L58" s="285">
        <v>10</v>
      </c>
      <c r="M58" s="18">
        <f t="shared" si="32"/>
        <v>2871.5384615384596</v>
      </c>
      <c r="N58" s="18">
        <f t="shared" si="3"/>
        <v>287.15384615384596</v>
      </c>
      <c r="O58" s="19">
        <f t="shared" si="4"/>
        <v>0</v>
      </c>
      <c r="P58" s="20">
        <f t="shared" si="5"/>
        <v>-12.846153846154039</v>
      </c>
      <c r="Q58" s="279">
        <f t="shared" si="6"/>
        <v>0.95717948717948653</v>
      </c>
      <c r="R58" s="510"/>
      <c r="S58" s="40">
        <v>0.5791666666666665</v>
      </c>
      <c r="T58" s="40">
        <v>0.63333333333333319</v>
      </c>
      <c r="U58" s="276">
        <f t="shared" si="34"/>
        <v>4.9999999999999822</v>
      </c>
      <c r="V58" s="286">
        <f t="shared" si="33"/>
        <v>78.000000000000043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-128.46153846154039</v>
      </c>
      <c r="AF58" s="279">
        <f t="shared" si="9"/>
        <v>0.95717948717948653</v>
      </c>
      <c r="AG58" s="510"/>
    </row>
    <row r="59" spans="1:33" ht="15.75" customHeight="1">
      <c r="A59" s="514" t="s">
        <v>1643</v>
      </c>
      <c r="B59" s="42" t="s">
        <v>1638</v>
      </c>
      <c r="C59" s="492"/>
      <c r="D59" s="493"/>
      <c r="E59" s="277"/>
      <c r="F59" s="287"/>
      <c r="G59" s="276"/>
      <c r="H59" s="287"/>
      <c r="I59" s="30">
        <v>10</v>
      </c>
      <c r="J59" s="37">
        <v>3000</v>
      </c>
      <c r="K59" s="17">
        <f t="shared" si="1"/>
        <v>300</v>
      </c>
      <c r="L59" s="30">
        <v>10</v>
      </c>
      <c r="M59" s="18">
        <f>AVERAGE(M50:M58)</f>
        <v>2870.2158602888121</v>
      </c>
      <c r="N59" s="17">
        <f t="shared" si="3"/>
        <v>287.02158602888119</v>
      </c>
      <c r="O59" s="19">
        <f t="shared" si="4"/>
        <v>0</v>
      </c>
      <c r="P59" s="20">
        <f t="shared" si="5"/>
        <v>-12.978413971118812</v>
      </c>
      <c r="Q59" s="279">
        <f t="shared" si="6"/>
        <v>0.95673862009627064</v>
      </c>
      <c r="R59" s="511"/>
      <c r="S59" s="40"/>
      <c r="T59" s="40"/>
      <c r="U59" s="276"/>
      <c r="V59" s="286"/>
      <c r="W59" s="23"/>
      <c r="X59" s="23"/>
      <c r="Y59" s="31">
        <f>SUM(Y50:Y58)</f>
        <v>0</v>
      </c>
      <c r="Z59" s="31">
        <f>SUM(Z50:Z58)</f>
        <v>0</v>
      </c>
      <c r="AA59" s="505"/>
      <c r="AB59" s="506"/>
      <c r="AC59" s="31">
        <v>1</v>
      </c>
      <c r="AD59" s="31">
        <f>SUM(AD50:AD58)</f>
        <v>0</v>
      </c>
      <c r="AE59" s="19">
        <f t="shared" si="8"/>
        <v>-129.78413971118789</v>
      </c>
      <c r="AF59" s="279">
        <f t="shared" si="9"/>
        <v>0.95673862009627075</v>
      </c>
      <c r="AG59" s="511"/>
    </row>
    <row r="60" spans="1:33" ht="15.75" customHeight="1">
      <c r="A60" s="507" t="s">
        <v>68</v>
      </c>
      <c r="B60" s="42" t="s">
        <v>100</v>
      </c>
      <c r="C60" s="490" t="s">
        <v>101</v>
      </c>
      <c r="D60" s="490"/>
      <c r="E60" s="42">
        <v>46</v>
      </c>
      <c r="F60" s="46">
        <v>1656</v>
      </c>
      <c r="G60" s="276">
        <f t="shared" ref="G60:G67" si="35">E60*F60</f>
        <v>76176</v>
      </c>
      <c r="H60" s="291" t="s">
        <v>79</v>
      </c>
      <c r="I60" s="285">
        <v>17</v>
      </c>
      <c r="J60" s="37">
        <v>2000</v>
      </c>
      <c r="K60" s="17">
        <f t="shared" si="1"/>
        <v>117.64705882352941</v>
      </c>
      <c r="L60" s="285">
        <v>17</v>
      </c>
      <c r="M60" s="18">
        <f t="shared" ref="M60:M67" si="36">F60/V60*60</f>
        <v>1910.7692307692303</v>
      </c>
      <c r="N60" s="18">
        <f t="shared" si="3"/>
        <v>112.39819004524884</v>
      </c>
      <c r="O60" s="19">
        <f t="shared" si="4"/>
        <v>0</v>
      </c>
      <c r="P60" s="20">
        <f t="shared" si="5"/>
        <v>-5.248868778280567</v>
      </c>
      <c r="Q60" s="279">
        <f t="shared" si="6"/>
        <v>0.95538461538461517</v>
      </c>
      <c r="R60" s="489">
        <f>Q68</f>
        <v>0.93228130140281651</v>
      </c>
      <c r="S60" s="40">
        <v>0.20833333333333334</v>
      </c>
      <c r="T60" s="40">
        <v>0.24444444444444446</v>
      </c>
      <c r="U60" s="28"/>
      <c r="V60" s="286">
        <f t="shared" ref="V60:V67" si="37">(T60-S60)*24*60</f>
        <v>52.000000000000014</v>
      </c>
      <c r="W60" s="28"/>
      <c r="X60" s="28"/>
      <c r="Y60" s="28"/>
      <c r="Z60" s="28"/>
      <c r="AA60" s="491"/>
      <c r="AB60" s="491"/>
      <c r="AC60" s="154">
        <v>5</v>
      </c>
      <c r="AD60" s="25"/>
      <c r="AE60" s="19">
        <f t="shared" si="8"/>
        <v>-89.230769230769738</v>
      </c>
      <c r="AF60" s="279">
        <f t="shared" si="9"/>
        <v>0.95538461538461517</v>
      </c>
      <c r="AG60" s="489">
        <f>AF68</f>
        <v>0.93228130140281651</v>
      </c>
    </row>
    <row r="61" spans="1:33" ht="15.75" customHeight="1">
      <c r="A61" s="507" t="s">
        <v>68</v>
      </c>
      <c r="B61" s="42" t="s">
        <v>100</v>
      </c>
      <c r="C61" s="490" t="s">
        <v>102</v>
      </c>
      <c r="D61" s="490"/>
      <c r="E61" s="42">
        <v>46</v>
      </c>
      <c r="F61" s="46">
        <v>1720</v>
      </c>
      <c r="G61" s="276">
        <f t="shared" si="35"/>
        <v>79120</v>
      </c>
      <c r="H61" s="291" t="s">
        <v>79</v>
      </c>
      <c r="I61" s="285">
        <v>17</v>
      </c>
      <c r="J61" s="37">
        <v>2000</v>
      </c>
      <c r="K61" s="17">
        <f t="shared" si="1"/>
        <v>117.64705882352941</v>
      </c>
      <c r="L61" s="285">
        <v>17</v>
      </c>
      <c r="M61" s="18">
        <f t="shared" si="36"/>
        <v>1911.1111111111109</v>
      </c>
      <c r="N61" s="18">
        <f t="shared" si="3"/>
        <v>112.41830065359476</v>
      </c>
      <c r="O61" s="19">
        <f t="shared" si="4"/>
        <v>0</v>
      </c>
      <c r="P61" s="20">
        <f t="shared" si="5"/>
        <v>-5.2287581699346504</v>
      </c>
      <c r="Q61" s="279">
        <f t="shared" si="6"/>
        <v>0.95555555555555549</v>
      </c>
      <c r="R61" s="489"/>
      <c r="S61" s="40">
        <v>0.24930555555555559</v>
      </c>
      <c r="T61" s="40">
        <v>0.28680555555555559</v>
      </c>
      <c r="U61" s="276">
        <f t="shared" ref="U61:U67" si="38">IF(S61=TIME(17,0,0),"",(S61-T60)*24*60)</f>
        <v>7.0000000000000151</v>
      </c>
      <c r="V61" s="286">
        <f t="shared" si="37"/>
        <v>54.000000000000007</v>
      </c>
      <c r="W61" s="23"/>
      <c r="X61" s="23"/>
      <c r="Y61" s="23"/>
      <c r="Z61" s="23"/>
      <c r="AA61" s="491"/>
      <c r="AB61" s="491"/>
      <c r="AC61" s="154"/>
      <c r="AD61" s="25"/>
      <c r="AE61" s="19">
        <f t="shared" si="8"/>
        <v>-88.888888888889142</v>
      </c>
      <c r="AF61" s="279">
        <f t="shared" si="9"/>
        <v>0.95555555555555538</v>
      </c>
      <c r="AG61" s="489"/>
    </row>
    <row r="62" spans="1:33" ht="15.75" customHeight="1">
      <c r="A62" s="507" t="s">
        <v>68</v>
      </c>
      <c r="B62" s="42" t="s">
        <v>103</v>
      </c>
      <c r="C62" s="501" t="s">
        <v>105</v>
      </c>
      <c r="D62" s="502"/>
      <c r="E62" s="42">
        <v>56.43</v>
      </c>
      <c r="F62" s="46">
        <v>2363</v>
      </c>
      <c r="G62" s="276">
        <f t="shared" si="35"/>
        <v>133344.09</v>
      </c>
      <c r="H62" s="291" t="s">
        <v>79</v>
      </c>
      <c r="I62" s="285">
        <v>22</v>
      </c>
      <c r="J62" s="37">
        <v>2000</v>
      </c>
      <c r="K62" s="17">
        <f t="shared" si="1"/>
        <v>90.909090909090907</v>
      </c>
      <c r="L62" s="285">
        <v>22</v>
      </c>
      <c r="M62" s="18">
        <f t="shared" si="36"/>
        <v>1687.8571428571424</v>
      </c>
      <c r="N62" s="18">
        <f t="shared" si="3"/>
        <v>76.720779220779207</v>
      </c>
      <c r="O62" s="19">
        <f t="shared" si="4"/>
        <v>0</v>
      </c>
      <c r="P62" s="20">
        <f t="shared" si="5"/>
        <v>-14.1883116883117</v>
      </c>
      <c r="Q62" s="279">
        <f t="shared" si="6"/>
        <v>0.84392857142857125</v>
      </c>
      <c r="R62" s="489"/>
      <c r="S62" s="40">
        <v>0.29236111111111113</v>
      </c>
      <c r="T62" s="40">
        <v>0.35069444444444448</v>
      </c>
      <c r="U62" s="276">
        <f t="shared" si="38"/>
        <v>7.9999999999999716</v>
      </c>
      <c r="V62" s="286">
        <f t="shared" si="37"/>
        <v>84.000000000000028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-312.14285714285757</v>
      </c>
      <c r="AF62" s="279">
        <f t="shared" si="9"/>
        <v>0.84392857142857125</v>
      </c>
      <c r="AG62" s="489"/>
    </row>
    <row r="63" spans="1:33" ht="15.75" customHeight="1">
      <c r="A63" s="507" t="s">
        <v>68</v>
      </c>
      <c r="B63" s="42" t="s">
        <v>103</v>
      </c>
      <c r="C63" s="281" t="s">
        <v>518</v>
      </c>
      <c r="D63" s="282"/>
      <c r="E63" s="42">
        <v>51.75</v>
      </c>
      <c r="F63" s="46">
        <v>2381</v>
      </c>
      <c r="G63" s="276">
        <f t="shared" si="35"/>
        <v>123216.75</v>
      </c>
      <c r="H63" s="291" t="s">
        <v>79</v>
      </c>
      <c r="I63" s="285">
        <v>25</v>
      </c>
      <c r="J63" s="37">
        <v>2000</v>
      </c>
      <c r="K63" s="17">
        <f t="shared" si="1"/>
        <v>80</v>
      </c>
      <c r="L63" s="285">
        <v>25</v>
      </c>
      <c r="M63" s="18">
        <f t="shared" si="36"/>
        <v>1700.7142857142851</v>
      </c>
      <c r="N63" s="18">
        <f t="shared" si="3"/>
        <v>68.028571428571411</v>
      </c>
      <c r="O63" s="19">
        <f t="shared" si="4"/>
        <v>0</v>
      </c>
      <c r="P63" s="20">
        <f t="shared" si="5"/>
        <v>-11.971428571428589</v>
      </c>
      <c r="Q63" s="279">
        <f t="shared" si="6"/>
        <v>0.85035714285714259</v>
      </c>
      <c r="R63" s="489"/>
      <c r="S63" s="40">
        <v>0.35625000000000001</v>
      </c>
      <c r="T63" s="40">
        <v>0.41458333333333336</v>
      </c>
      <c r="U63" s="276">
        <f t="shared" si="38"/>
        <v>7.9999999999999716</v>
      </c>
      <c r="V63" s="286">
        <f t="shared" si="37"/>
        <v>84.000000000000028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-299.2857142857149</v>
      </c>
      <c r="AF63" s="279">
        <f t="shared" si="9"/>
        <v>0.85035714285714259</v>
      </c>
      <c r="AG63" s="489"/>
    </row>
    <row r="64" spans="1:33" ht="15.75" customHeight="1">
      <c r="A64" s="507" t="s">
        <v>68</v>
      </c>
      <c r="B64" s="42" t="s">
        <v>103</v>
      </c>
      <c r="C64" s="281" t="s">
        <v>106</v>
      </c>
      <c r="D64" s="282"/>
      <c r="E64" s="42">
        <v>55.56</v>
      </c>
      <c r="F64" s="46">
        <v>2239</v>
      </c>
      <c r="G64" s="276">
        <f t="shared" si="35"/>
        <v>124398.84000000001</v>
      </c>
      <c r="H64" s="291" t="s">
        <v>79</v>
      </c>
      <c r="I64" s="285">
        <v>17</v>
      </c>
      <c r="J64" s="37">
        <v>2000</v>
      </c>
      <c r="K64" s="17">
        <f t="shared" si="1"/>
        <v>117.64705882352941</v>
      </c>
      <c r="L64" s="285">
        <v>17</v>
      </c>
      <c r="M64" s="18">
        <f t="shared" si="36"/>
        <v>1919.1428571428551</v>
      </c>
      <c r="N64" s="18">
        <f t="shared" si="3"/>
        <v>112.89075630252088</v>
      </c>
      <c r="O64" s="19">
        <f t="shared" si="4"/>
        <v>0</v>
      </c>
      <c r="P64" s="20">
        <f t="shared" si="5"/>
        <v>-4.7563025210085215</v>
      </c>
      <c r="Q64" s="279">
        <f t="shared" si="6"/>
        <v>0.95957142857142752</v>
      </c>
      <c r="R64" s="489"/>
      <c r="S64" s="40">
        <v>0.70833333333333337</v>
      </c>
      <c r="T64" s="40">
        <v>0.75694444444444453</v>
      </c>
      <c r="U64" s="276" t="str">
        <f t="shared" si="38"/>
        <v/>
      </c>
      <c r="V64" s="286">
        <f t="shared" si="37"/>
        <v>70.000000000000071</v>
      </c>
      <c r="W64" s="23"/>
      <c r="X64" s="23"/>
      <c r="Y64" s="26"/>
      <c r="Z64" s="26"/>
      <c r="AA64" s="491"/>
      <c r="AB64" s="491"/>
      <c r="AC64" s="154"/>
      <c r="AD64" s="25"/>
      <c r="AE64" s="19">
        <f t="shared" si="8"/>
        <v>-80.857142857144936</v>
      </c>
      <c r="AF64" s="279">
        <f t="shared" si="9"/>
        <v>0.95957142857142752</v>
      </c>
      <c r="AG64" s="489"/>
    </row>
    <row r="65" spans="1:33" ht="15.75" customHeight="1">
      <c r="A65" s="507" t="s">
        <v>68</v>
      </c>
      <c r="B65" s="42" t="s">
        <v>103</v>
      </c>
      <c r="C65" s="501" t="s">
        <v>107</v>
      </c>
      <c r="D65" s="502"/>
      <c r="E65" s="42">
        <v>55.32</v>
      </c>
      <c r="F65" s="46">
        <v>1579</v>
      </c>
      <c r="G65" s="276">
        <f t="shared" si="35"/>
        <v>87350.28</v>
      </c>
      <c r="H65" s="291" t="s">
        <v>79</v>
      </c>
      <c r="I65" s="285">
        <v>15</v>
      </c>
      <c r="J65" s="37">
        <v>2000</v>
      </c>
      <c r="K65" s="17">
        <f t="shared" si="1"/>
        <v>133.33333333333334</v>
      </c>
      <c r="L65" s="285">
        <v>15</v>
      </c>
      <c r="M65" s="18">
        <f t="shared" si="36"/>
        <v>1933.4693877551024</v>
      </c>
      <c r="N65" s="18">
        <f t="shared" si="3"/>
        <v>128.89795918367349</v>
      </c>
      <c r="O65" s="19">
        <f t="shared" si="4"/>
        <v>0</v>
      </c>
      <c r="P65" s="20">
        <f t="shared" si="5"/>
        <v>-4.4353741496598502</v>
      </c>
      <c r="Q65" s="279">
        <f t="shared" si="6"/>
        <v>0.96673469387755118</v>
      </c>
      <c r="R65" s="489"/>
      <c r="S65" s="40">
        <v>0.76250000000000007</v>
      </c>
      <c r="T65" s="40">
        <v>0.79652777777777783</v>
      </c>
      <c r="U65" s="276">
        <f t="shared" si="38"/>
        <v>7.9999999999999716</v>
      </c>
      <c r="V65" s="286">
        <f t="shared" si="37"/>
        <v>48.999999999999986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-66.530612244897611</v>
      </c>
      <c r="AF65" s="279">
        <f t="shared" si="9"/>
        <v>0.96673469387755118</v>
      </c>
      <c r="AG65" s="489"/>
    </row>
    <row r="66" spans="1:33" ht="15.75" customHeight="1">
      <c r="A66" s="507" t="s">
        <v>68</v>
      </c>
      <c r="B66" s="42" t="s">
        <v>103</v>
      </c>
      <c r="C66" s="501" t="s">
        <v>108</v>
      </c>
      <c r="D66" s="502"/>
      <c r="E66" s="42">
        <v>54.29</v>
      </c>
      <c r="F66" s="46">
        <v>2620</v>
      </c>
      <c r="G66" s="276">
        <f t="shared" si="35"/>
        <v>142239.79999999999</v>
      </c>
      <c r="H66" s="291" t="s">
        <v>79</v>
      </c>
      <c r="I66" s="285">
        <v>20</v>
      </c>
      <c r="J66" s="37">
        <v>2000</v>
      </c>
      <c r="K66" s="17">
        <f t="shared" si="1"/>
        <v>100</v>
      </c>
      <c r="L66" s="285">
        <v>20</v>
      </c>
      <c r="M66" s="18">
        <f t="shared" si="36"/>
        <v>1917.0731707317066</v>
      </c>
      <c r="N66" s="18">
        <f t="shared" si="3"/>
        <v>95.853658536585328</v>
      </c>
      <c r="O66" s="19">
        <f t="shared" si="4"/>
        <v>0</v>
      </c>
      <c r="P66" s="20">
        <f t="shared" si="5"/>
        <v>-4.1463414634146716</v>
      </c>
      <c r="Q66" s="279">
        <f t="shared" si="6"/>
        <v>0.95853658536585329</v>
      </c>
      <c r="R66" s="489"/>
      <c r="S66" s="40">
        <v>0.8</v>
      </c>
      <c r="T66" s="40">
        <v>0.85694444444444451</v>
      </c>
      <c r="U66" s="276">
        <f t="shared" si="38"/>
        <v>4.9999999999999822</v>
      </c>
      <c r="V66" s="286">
        <f t="shared" si="37"/>
        <v>82.000000000000028</v>
      </c>
      <c r="W66" s="23">
        <f>T66</f>
        <v>0.85694444444444451</v>
      </c>
      <c r="X66" s="23">
        <f>S67</f>
        <v>0.89861111111111114</v>
      </c>
      <c r="Y66" s="26"/>
      <c r="Z66" s="26"/>
      <c r="AA66" s="503"/>
      <c r="AB66" s="504"/>
      <c r="AC66" s="154"/>
      <c r="AD66" s="25"/>
      <c r="AE66" s="19">
        <f t="shared" si="8"/>
        <v>-82.926829268293432</v>
      </c>
      <c r="AF66" s="279">
        <f t="shared" si="9"/>
        <v>0.95853658536585329</v>
      </c>
      <c r="AG66" s="489"/>
    </row>
    <row r="67" spans="1:33" ht="15.75" customHeight="1">
      <c r="A67" s="507" t="s">
        <v>68</v>
      </c>
      <c r="B67" s="42" t="s">
        <v>103</v>
      </c>
      <c r="C67" s="501" t="s">
        <v>140</v>
      </c>
      <c r="D67" s="502"/>
      <c r="E67" s="42">
        <v>50.49</v>
      </c>
      <c r="F67" s="46">
        <v>1065</v>
      </c>
      <c r="G67" s="276">
        <f t="shared" si="35"/>
        <v>53771.85</v>
      </c>
      <c r="H67" s="291" t="s">
        <v>79</v>
      </c>
      <c r="I67" s="285">
        <v>15</v>
      </c>
      <c r="J67" s="37">
        <v>2000</v>
      </c>
      <c r="K67" s="17">
        <f t="shared" si="1"/>
        <v>133.33333333333334</v>
      </c>
      <c r="L67" s="285">
        <v>15</v>
      </c>
      <c r="M67" s="18">
        <f t="shared" si="36"/>
        <v>1936.3636363636338</v>
      </c>
      <c r="N67" s="18">
        <f t="shared" si="3"/>
        <v>129.09090909090892</v>
      </c>
      <c r="O67" s="19">
        <f t="shared" si="4"/>
        <v>0</v>
      </c>
      <c r="P67" s="20">
        <f t="shared" si="5"/>
        <v>-4.2424242424244198</v>
      </c>
      <c r="Q67" s="279">
        <f t="shared" si="6"/>
        <v>0.96818181818181681</v>
      </c>
      <c r="R67" s="489"/>
      <c r="S67" s="40">
        <v>0.89861111111111114</v>
      </c>
      <c r="T67" s="40">
        <v>0.92152777777777783</v>
      </c>
      <c r="U67" s="276">
        <f t="shared" si="38"/>
        <v>59.999999999999943</v>
      </c>
      <c r="V67" s="286">
        <f t="shared" si="37"/>
        <v>33.000000000000043</v>
      </c>
      <c r="W67" s="23"/>
      <c r="X67" s="23"/>
      <c r="Y67" s="26"/>
      <c r="Z67" s="26"/>
      <c r="AA67" s="503"/>
      <c r="AB67" s="504"/>
      <c r="AC67" s="154"/>
      <c r="AD67" s="25"/>
      <c r="AE67" s="19">
        <f t="shared" si="8"/>
        <v>-63.636363636366241</v>
      </c>
      <c r="AF67" s="279">
        <f t="shared" si="9"/>
        <v>0.96818181818181692</v>
      </c>
      <c r="AG67" s="489"/>
    </row>
    <row r="68" spans="1:33">
      <c r="A68" s="508" t="s">
        <v>68</v>
      </c>
      <c r="B68" s="42" t="s">
        <v>1638</v>
      </c>
      <c r="C68" s="494"/>
      <c r="D68" s="494"/>
      <c r="E68" s="280"/>
      <c r="F68" s="44"/>
      <c r="G68" s="17"/>
      <c r="H68" s="287"/>
      <c r="I68" s="30">
        <v>18.5</v>
      </c>
      <c r="J68" s="37">
        <v>2000</v>
      </c>
      <c r="K68" s="17">
        <f t="shared" si="1"/>
        <v>108.10810810810811</v>
      </c>
      <c r="L68" s="30">
        <v>18.5</v>
      </c>
      <c r="M68" s="18">
        <f>AVERAGE(M60:M67)</f>
        <v>1864.5626028056331</v>
      </c>
      <c r="N68" s="17">
        <f t="shared" si="3"/>
        <v>100.7871677192234</v>
      </c>
      <c r="O68" s="19">
        <f t="shared" si="4"/>
        <v>0</v>
      </c>
      <c r="P68" s="20">
        <f t="shared" si="5"/>
        <v>-7.3209403888847078</v>
      </c>
      <c r="Q68" s="279">
        <f t="shared" si="6"/>
        <v>0.93228130140281651</v>
      </c>
      <c r="R68" s="489"/>
      <c r="S68" s="41"/>
      <c r="T68" s="40"/>
      <c r="U68" s="17"/>
      <c r="V68" s="286"/>
      <c r="W68" s="17"/>
      <c r="X68" s="17"/>
      <c r="Y68" s="31">
        <f>SUM(Y60:Y67)</f>
        <v>0</v>
      </c>
      <c r="Z68" s="31">
        <f>SUM(Z60:Z67)</f>
        <v>0</v>
      </c>
      <c r="AA68" s="495"/>
      <c r="AB68" s="495"/>
      <c r="AC68" s="31">
        <v>5</v>
      </c>
      <c r="AD68" s="31">
        <f>SUM(AD60:AD67)</f>
        <v>0</v>
      </c>
      <c r="AE68" s="19">
        <f t="shared" si="8"/>
        <v>-135.43739719436689</v>
      </c>
      <c r="AF68" s="279">
        <f t="shared" si="9"/>
        <v>0.93228130140281651</v>
      </c>
      <c r="AG68" s="489"/>
    </row>
    <row r="69" spans="1:33" ht="15.75" customHeight="1">
      <c r="A69" s="499" t="s">
        <v>1644</v>
      </c>
      <c r="B69" s="287" t="s">
        <v>100</v>
      </c>
      <c r="C69" s="490" t="s">
        <v>109</v>
      </c>
      <c r="D69" s="490"/>
      <c r="E69" s="42">
        <v>26.97</v>
      </c>
      <c r="F69" s="46">
        <v>2538</v>
      </c>
      <c r="G69" s="276">
        <f t="shared" ref="G69:G73" si="39">E69*F69</f>
        <v>68449.86</v>
      </c>
      <c r="H69" s="291" t="s">
        <v>79</v>
      </c>
      <c r="I69" s="285">
        <v>8</v>
      </c>
      <c r="J69" s="37">
        <v>1500</v>
      </c>
      <c r="K69" s="17">
        <f t="shared" ref="K69:K81" si="40">J69/I69</f>
        <v>187.5</v>
      </c>
      <c r="L69" s="285">
        <v>8</v>
      </c>
      <c r="M69" s="18">
        <f t="shared" ref="M69:M73" si="41">F69/V69*60</f>
        <v>1436.6037735849059</v>
      </c>
      <c r="N69" s="17">
        <f t="shared" ref="N69:N81" si="42">M69/L69</f>
        <v>179.57547169811323</v>
      </c>
      <c r="O69" s="19">
        <f t="shared" ref="O69:O81" si="43">L69-I69</f>
        <v>0</v>
      </c>
      <c r="P69" s="20">
        <f t="shared" ref="P69:P81" si="44">N69-K69</f>
        <v>-7.9245283018867667</v>
      </c>
      <c r="Q69" s="279">
        <f t="shared" ref="Q69:Q81" si="45">N69/K69</f>
        <v>0.95773584905660392</v>
      </c>
      <c r="R69" s="489">
        <f>Q74</f>
        <v>0.95966573260951027</v>
      </c>
      <c r="S69" s="40">
        <v>0.20833333333333334</v>
      </c>
      <c r="T69" s="40">
        <v>0.28194444444444444</v>
      </c>
      <c r="U69" s="276"/>
      <c r="V69" s="286">
        <f t="shared" ref="V69:V73" si="46">(T69-S69)*24*60</f>
        <v>105.99999999999999</v>
      </c>
      <c r="W69" s="28"/>
      <c r="X69" s="28"/>
      <c r="Y69" s="28"/>
      <c r="Z69" s="28"/>
      <c r="AA69" s="491"/>
      <c r="AB69" s="491"/>
      <c r="AC69" s="154">
        <v>1</v>
      </c>
      <c r="AD69" s="25"/>
      <c r="AE69" s="19">
        <f t="shared" ref="AE69:AE81" si="47">M69-J69</f>
        <v>-63.396226415094134</v>
      </c>
      <c r="AF69" s="279">
        <f t="shared" ref="AF69:AF81" si="48">M69/J69</f>
        <v>0.95773584905660392</v>
      </c>
      <c r="AG69" s="489">
        <f>AF74</f>
        <v>0.95966573260951005</v>
      </c>
    </row>
    <row r="70" spans="1:33" ht="15.75" customHeight="1">
      <c r="A70" s="499" t="s">
        <v>1644</v>
      </c>
      <c r="B70" s="287" t="s">
        <v>100</v>
      </c>
      <c r="C70" s="490" t="s">
        <v>519</v>
      </c>
      <c r="D70" s="490"/>
      <c r="E70" s="42">
        <v>27.4</v>
      </c>
      <c r="F70" s="46">
        <v>3063</v>
      </c>
      <c r="G70" s="276">
        <f t="shared" si="39"/>
        <v>83926.2</v>
      </c>
      <c r="H70" s="291" t="s">
        <v>79</v>
      </c>
      <c r="I70" s="285">
        <v>10</v>
      </c>
      <c r="J70" s="37">
        <v>1500</v>
      </c>
      <c r="K70" s="17">
        <f t="shared" si="40"/>
        <v>150</v>
      </c>
      <c r="L70" s="285">
        <v>10</v>
      </c>
      <c r="M70" s="18">
        <f t="shared" si="41"/>
        <v>1435.7812499999998</v>
      </c>
      <c r="N70" s="17">
        <f t="shared" si="42"/>
        <v>143.57812499999997</v>
      </c>
      <c r="O70" s="19">
        <f t="shared" si="43"/>
        <v>0</v>
      </c>
      <c r="P70" s="20">
        <f t="shared" si="44"/>
        <v>-6.4218750000000284</v>
      </c>
      <c r="Q70" s="279">
        <f t="shared" si="45"/>
        <v>0.95718749999999986</v>
      </c>
      <c r="R70" s="489"/>
      <c r="S70" s="40">
        <v>0.28749999999999998</v>
      </c>
      <c r="T70" s="40">
        <v>0.37638888888888888</v>
      </c>
      <c r="U70" s="276">
        <f t="shared" ref="U70:U73" si="49">(S70-T69)*24*60</f>
        <v>7.9999999999999716</v>
      </c>
      <c r="V70" s="286">
        <f t="shared" si="46"/>
        <v>128.00000000000003</v>
      </c>
      <c r="W70" s="276"/>
      <c r="X70" s="276"/>
      <c r="Y70" s="276"/>
      <c r="Z70" s="276"/>
      <c r="AA70" s="491"/>
      <c r="AB70" s="491"/>
      <c r="AC70" s="154"/>
      <c r="AD70" s="25"/>
      <c r="AE70" s="19">
        <f t="shared" si="47"/>
        <v>-64.218750000000227</v>
      </c>
      <c r="AF70" s="279">
        <f t="shared" si="48"/>
        <v>0.95718749999999986</v>
      </c>
      <c r="AG70" s="489"/>
    </row>
    <row r="71" spans="1:33" ht="15.75" customHeight="1">
      <c r="A71" s="499" t="s">
        <v>1644</v>
      </c>
      <c r="B71" s="287" t="s">
        <v>93</v>
      </c>
      <c r="C71" s="490" t="s">
        <v>97</v>
      </c>
      <c r="D71" s="490"/>
      <c r="E71" s="42">
        <v>31</v>
      </c>
      <c r="F71" s="46">
        <v>1099</v>
      </c>
      <c r="G71" s="276">
        <f t="shared" si="39"/>
        <v>34069</v>
      </c>
      <c r="H71" s="291" t="s">
        <v>79</v>
      </c>
      <c r="I71" s="285">
        <v>13</v>
      </c>
      <c r="J71" s="37">
        <v>2000</v>
      </c>
      <c r="K71" s="17">
        <f t="shared" si="40"/>
        <v>153.84615384615384</v>
      </c>
      <c r="L71" s="285">
        <v>13</v>
      </c>
      <c r="M71" s="18">
        <f t="shared" si="41"/>
        <v>1939.4117647058802</v>
      </c>
      <c r="N71" s="17">
        <f t="shared" si="42"/>
        <v>149.18552036199077</v>
      </c>
      <c r="O71" s="19">
        <f t="shared" si="43"/>
        <v>0</v>
      </c>
      <c r="P71" s="20">
        <f t="shared" si="44"/>
        <v>-4.6606334841630712</v>
      </c>
      <c r="Q71" s="279">
        <f t="shared" si="45"/>
        <v>0.96970588235294009</v>
      </c>
      <c r="R71" s="489"/>
      <c r="S71" s="40">
        <v>0.38124999999999998</v>
      </c>
      <c r="T71" s="40">
        <v>0.40486111111111112</v>
      </c>
      <c r="U71" s="276">
        <f t="shared" si="49"/>
        <v>6.9999999999999751</v>
      </c>
      <c r="V71" s="286">
        <f t="shared" si="46"/>
        <v>34.000000000000043</v>
      </c>
      <c r="W71" s="276"/>
      <c r="X71" s="276"/>
      <c r="Y71" s="276"/>
      <c r="Z71" s="276"/>
      <c r="AA71" s="491"/>
      <c r="AB71" s="491"/>
      <c r="AC71" s="154" t="s">
        <v>79</v>
      </c>
      <c r="AD71" s="25"/>
      <c r="AE71" s="19">
        <f t="shared" si="47"/>
        <v>-60.588235294119841</v>
      </c>
      <c r="AF71" s="279">
        <f t="shared" si="48"/>
        <v>0.96970588235294009</v>
      </c>
      <c r="AG71" s="489"/>
    </row>
    <row r="72" spans="1:33" ht="15.75" customHeight="1">
      <c r="A72" s="499" t="s">
        <v>1644</v>
      </c>
      <c r="B72" s="287" t="s">
        <v>93</v>
      </c>
      <c r="C72" s="490" t="s">
        <v>1235</v>
      </c>
      <c r="D72" s="490"/>
      <c r="E72" s="42">
        <v>37.85</v>
      </c>
      <c r="F72" s="46">
        <v>3200</v>
      </c>
      <c r="G72" s="276">
        <f t="shared" si="39"/>
        <v>121120</v>
      </c>
      <c r="H72" s="291">
        <v>2</v>
      </c>
      <c r="I72" s="285">
        <v>12</v>
      </c>
      <c r="J72" s="37">
        <v>2000</v>
      </c>
      <c r="K72" s="17">
        <f t="shared" si="40"/>
        <v>166.66666666666666</v>
      </c>
      <c r="L72" s="285">
        <v>12</v>
      </c>
      <c r="M72" s="18">
        <f t="shared" si="41"/>
        <v>1920.0000000000005</v>
      </c>
      <c r="N72" s="17">
        <f t="shared" si="42"/>
        <v>160.00000000000003</v>
      </c>
      <c r="O72" s="19">
        <f t="shared" si="43"/>
        <v>0</v>
      </c>
      <c r="P72" s="20">
        <f t="shared" si="44"/>
        <v>-6.6666666666666288</v>
      </c>
      <c r="Q72" s="279">
        <f t="shared" si="45"/>
        <v>0.96000000000000019</v>
      </c>
      <c r="R72" s="489"/>
      <c r="S72" s="40">
        <v>0.40902777777777777</v>
      </c>
      <c r="T72" s="40">
        <v>0.47847222222222219</v>
      </c>
      <c r="U72" s="276">
        <f t="shared" si="49"/>
        <v>5.9999999999999787</v>
      </c>
      <c r="V72" s="286">
        <f t="shared" si="46"/>
        <v>99.999999999999972</v>
      </c>
      <c r="W72" s="23">
        <f>T72</f>
        <v>0.47847222222222219</v>
      </c>
      <c r="X72" s="23">
        <f>S73</f>
        <v>0.51874999999999993</v>
      </c>
      <c r="Y72" s="276"/>
      <c r="Z72" s="276"/>
      <c r="AA72" s="491"/>
      <c r="AB72" s="491"/>
      <c r="AC72" s="154" t="s">
        <v>79</v>
      </c>
      <c r="AD72" s="25"/>
      <c r="AE72" s="19">
        <f t="shared" si="47"/>
        <v>-79.999999999999545</v>
      </c>
      <c r="AF72" s="279">
        <f t="shared" si="48"/>
        <v>0.96000000000000019</v>
      </c>
      <c r="AG72" s="489"/>
    </row>
    <row r="73" spans="1:33">
      <c r="A73" s="500" t="s">
        <v>1644</v>
      </c>
      <c r="B73" s="287" t="s">
        <v>93</v>
      </c>
      <c r="C73" s="490" t="s">
        <v>1235</v>
      </c>
      <c r="D73" s="490"/>
      <c r="E73" s="42">
        <v>37.85</v>
      </c>
      <c r="F73" s="46">
        <v>2445</v>
      </c>
      <c r="G73" s="276">
        <f t="shared" si="39"/>
        <v>92543.25</v>
      </c>
      <c r="H73" s="291" t="s">
        <v>79</v>
      </c>
      <c r="I73" s="285">
        <v>12</v>
      </c>
      <c r="J73" s="37">
        <v>2000</v>
      </c>
      <c r="K73" s="17">
        <f t="shared" si="40"/>
        <v>166.66666666666666</v>
      </c>
      <c r="L73" s="285">
        <v>12</v>
      </c>
      <c r="M73" s="18">
        <f t="shared" si="41"/>
        <v>1905.1948051948041</v>
      </c>
      <c r="N73" s="17">
        <f t="shared" si="42"/>
        <v>158.76623376623368</v>
      </c>
      <c r="O73" s="19">
        <f t="shared" si="43"/>
        <v>0</v>
      </c>
      <c r="P73" s="20">
        <f t="shared" si="44"/>
        <v>-7.9004329004329747</v>
      </c>
      <c r="Q73" s="279">
        <f t="shared" si="45"/>
        <v>0.95259740259740211</v>
      </c>
      <c r="R73" s="489"/>
      <c r="S73" s="40">
        <v>0.51874999999999993</v>
      </c>
      <c r="T73" s="40">
        <v>0.57222222222222219</v>
      </c>
      <c r="U73" s="276">
        <f t="shared" si="49"/>
        <v>57.999999999999957</v>
      </c>
      <c r="V73" s="286">
        <f t="shared" si="46"/>
        <v>77.000000000000043</v>
      </c>
      <c r="W73" s="23"/>
      <c r="X73" s="23"/>
      <c r="Y73" s="23"/>
      <c r="Z73" s="23"/>
      <c r="AA73" s="491"/>
      <c r="AB73" s="491"/>
      <c r="AC73" s="154" t="s">
        <v>79</v>
      </c>
      <c r="AD73" s="25"/>
      <c r="AE73" s="19">
        <f t="shared" si="47"/>
        <v>-94.805194805195924</v>
      </c>
      <c r="AF73" s="279">
        <f t="shared" si="48"/>
        <v>0.952597402597402</v>
      </c>
      <c r="AG73" s="489"/>
    </row>
    <row r="74" spans="1:33">
      <c r="A74" s="500" t="s">
        <v>1644</v>
      </c>
      <c r="B74" s="42" t="s">
        <v>1638</v>
      </c>
      <c r="C74" s="494"/>
      <c r="D74" s="494"/>
      <c r="E74" s="280"/>
      <c r="F74" s="44"/>
      <c r="G74" s="17"/>
      <c r="H74" s="287"/>
      <c r="I74" s="30">
        <v>11</v>
      </c>
      <c r="J74" s="37">
        <v>1800</v>
      </c>
      <c r="K74" s="17">
        <f t="shared" si="40"/>
        <v>163.63636363636363</v>
      </c>
      <c r="L74" s="30">
        <v>11</v>
      </c>
      <c r="M74" s="18">
        <f>AVERAGE(M69:M73)</f>
        <v>1727.3983186971182</v>
      </c>
      <c r="N74" s="17">
        <f t="shared" si="42"/>
        <v>157.03621079064712</v>
      </c>
      <c r="O74" s="19">
        <f t="shared" si="43"/>
        <v>0</v>
      </c>
      <c r="P74" s="20">
        <f t="shared" si="44"/>
        <v>-6.600152845716508</v>
      </c>
      <c r="Q74" s="279">
        <f t="shared" si="45"/>
        <v>0.95966573260951027</v>
      </c>
      <c r="R74" s="489"/>
      <c r="S74" s="40"/>
      <c r="T74" s="40"/>
      <c r="U74" s="17"/>
      <c r="V74" s="286"/>
      <c r="W74" s="17"/>
      <c r="X74" s="17"/>
      <c r="Y74" s="31">
        <f>SUM(Y69:Y73)</f>
        <v>0</v>
      </c>
      <c r="Z74" s="31">
        <f>SUM(Z69:Z73)</f>
        <v>0</v>
      </c>
      <c r="AA74" s="495"/>
      <c r="AB74" s="495"/>
      <c r="AC74" s="31">
        <v>1</v>
      </c>
      <c r="AD74" s="31">
        <f>SUM(AD69:AD73)</f>
        <v>0</v>
      </c>
      <c r="AE74" s="19">
        <f t="shared" si="47"/>
        <v>-72.601681302881843</v>
      </c>
      <c r="AF74" s="279">
        <f t="shared" si="48"/>
        <v>0.95966573260951005</v>
      </c>
      <c r="AG74" s="489"/>
    </row>
    <row r="75" spans="1:33" ht="15.75" customHeight="1">
      <c r="A75" s="496" t="s">
        <v>1645</v>
      </c>
      <c r="B75" s="287" t="s">
        <v>80</v>
      </c>
      <c r="C75" s="490" t="s">
        <v>115</v>
      </c>
      <c r="D75" s="490"/>
      <c r="E75" s="42">
        <v>20.2</v>
      </c>
      <c r="F75" s="287">
        <v>2334</v>
      </c>
      <c r="G75" s="276">
        <f t="shared" ref="G75:G80" si="50">E75*F75</f>
        <v>47146.799999999996</v>
      </c>
      <c r="H75" s="291" t="s">
        <v>79</v>
      </c>
      <c r="I75" s="285">
        <v>19</v>
      </c>
      <c r="J75" s="37">
        <v>2400</v>
      </c>
      <c r="K75" s="17">
        <f t="shared" si="40"/>
        <v>126.31578947368421</v>
      </c>
      <c r="L75" s="285">
        <v>19</v>
      </c>
      <c r="M75" s="18">
        <f t="shared" ref="M75:M80" si="51">F75/V75*60</f>
        <v>2295.7377049180327</v>
      </c>
      <c r="N75" s="17">
        <f t="shared" si="42"/>
        <v>120.82830025884383</v>
      </c>
      <c r="O75" s="19">
        <f t="shared" si="43"/>
        <v>0</v>
      </c>
      <c r="P75" s="20">
        <f t="shared" si="44"/>
        <v>-5.4874892148403802</v>
      </c>
      <c r="Q75" s="279">
        <f t="shared" si="45"/>
        <v>0.95655737704918031</v>
      </c>
      <c r="R75" s="489">
        <f>Q81</f>
        <v>0.95382590734879824</v>
      </c>
      <c r="S75" s="40">
        <v>8.3333333333333329E-2</v>
      </c>
      <c r="T75" s="40">
        <v>0.12569444444444444</v>
      </c>
      <c r="U75" s="28"/>
      <c r="V75" s="286">
        <f t="shared" ref="V75:V80" si="52">(T75-S75)*24*60</f>
        <v>61</v>
      </c>
      <c r="W75" s="23">
        <f>T75</f>
        <v>0.12569444444444444</v>
      </c>
      <c r="X75" s="23">
        <f>S76</f>
        <v>0.14722222222222223</v>
      </c>
      <c r="Y75" s="23"/>
      <c r="Z75" s="23"/>
      <c r="AA75" s="491"/>
      <c r="AB75" s="491"/>
      <c r="AC75" s="154">
        <v>8</v>
      </c>
      <c r="AD75" s="25"/>
      <c r="AE75" s="19">
        <f t="shared" si="47"/>
        <v>-104.2622950819673</v>
      </c>
      <c r="AF75" s="279">
        <f t="shared" si="48"/>
        <v>0.95655737704918031</v>
      </c>
      <c r="AG75" s="489">
        <f>AF81</f>
        <v>0.95382590734879824</v>
      </c>
    </row>
    <row r="76" spans="1:33" ht="15.75" customHeight="1">
      <c r="A76" s="497" t="s">
        <v>1645</v>
      </c>
      <c r="B76" s="287" t="s">
        <v>80</v>
      </c>
      <c r="C76" s="490" t="s">
        <v>116</v>
      </c>
      <c r="D76" s="490"/>
      <c r="E76" s="42">
        <v>20.52</v>
      </c>
      <c r="F76" s="287">
        <v>3368</v>
      </c>
      <c r="G76" s="276">
        <f t="shared" si="50"/>
        <v>69111.360000000001</v>
      </c>
      <c r="H76" s="291" t="s">
        <v>79</v>
      </c>
      <c r="I76" s="285">
        <v>18</v>
      </c>
      <c r="J76" s="37">
        <v>2400</v>
      </c>
      <c r="K76" s="17">
        <f t="shared" si="40"/>
        <v>133.33333333333334</v>
      </c>
      <c r="L76" s="285">
        <v>18</v>
      </c>
      <c r="M76" s="18">
        <f t="shared" si="51"/>
        <v>2296.3636363636365</v>
      </c>
      <c r="N76" s="17">
        <f t="shared" si="42"/>
        <v>127.57575757575758</v>
      </c>
      <c r="O76" s="19">
        <f t="shared" si="43"/>
        <v>0</v>
      </c>
      <c r="P76" s="20">
        <f t="shared" si="44"/>
        <v>-5.7575757575757649</v>
      </c>
      <c r="Q76" s="279">
        <f t="shared" si="45"/>
        <v>0.95681818181818179</v>
      </c>
      <c r="R76" s="489"/>
      <c r="S76" s="40">
        <v>0.14722222222222223</v>
      </c>
      <c r="T76" s="40">
        <v>0.20833333333333334</v>
      </c>
      <c r="U76" s="276">
        <f t="shared" ref="U76:U80" si="53">(S76-T75)*24*60</f>
        <v>31.000000000000011</v>
      </c>
      <c r="V76" s="286">
        <f t="shared" si="52"/>
        <v>88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7"/>
        <v>-103.63636363636351</v>
      </c>
      <c r="AF76" s="279">
        <f t="shared" si="48"/>
        <v>0.9568181818181819</v>
      </c>
      <c r="AG76" s="489"/>
    </row>
    <row r="77" spans="1:33" ht="15.75" customHeight="1">
      <c r="A77" s="497" t="s">
        <v>1645</v>
      </c>
      <c r="B77" s="287" t="s">
        <v>80</v>
      </c>
      <c r="C77" s="490" t="s">
        <v>118</v>
      </c>
      <c r="D77" s="490"/>
      <c r="E77" s="42">
        <v>20.21</v>
      </c>
      <c r="F77" s="287">
        <v>3958</v>
      </c>
      <c r="G77" s="276">
        <f t="shared" si="50"/>
        <v>79991.180000000008</v>
      </c>
      <c r="H77" s="291" t="s">
        <v>79</v>
      </c>
      <c r="I77" s="285">
        <v>16</v>
      </c>
      <c r="J77" s="37">
        <v>2400</v>
      </c>
      <c r="K77" s="17">
        <f t="shared" si="40"/>
        <v>150</v>
      </c>
      <c r="L77" s="285">
        <v>16</v>
      </c>
      <c r="M77" s="18">
        <f t="shared" si="51"/>
        <v>2283.4615384615381</v>
      </c>
      <c r="N77" s="17">
        <f t="shared" si="42"/>
        <v>142.71634615384613</v>
      </c>
      <c r="O77" s="19">
        <f t="shared" si="43"/>
        <v>0</v>
      </c>
      <c r="P77" s="20">
        <f t="shared" si="44"/>
        <v>-7.283653846153868</v>
      </c>
      <c r="Q77" s="279">
        <f t="shared" si="45"/>
        <v>0.95144230769230753</v>
      </c>
      <c r="R77" s="489"/>
      <c r="S77" s="40">
        <v>0.21388888888888891</v>
      </c>
      <c r="T77" s="40">
        <v>0.28611111111111115</v>
      </c>
      <c r="U77" s="276">
        <f t="shared" si="53"/>
        <v>8.0000000000000107</v>
      </c>
      <c r="V77" s="286">
        <f t="shared" si="52"/>
        <v>104.00000000000003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7"/>
        <v>-116.53846153846189</v>
      </c>
      <c r="AF77" s="279">
        <f t="shared" si="48"/>
        <v>0.95144230769230753</v>
      </c>
      <c r="AG77" s="489"/>
    </row>
    <row r="78" spans="1:33" ht="15.75" customHeight="1">
      <c r="A78" s="497" t="s">
        <v>1645</v>
      </c>
      <c r="B78" s="287" t="s">
        <v>80</v>
      </c>
      <c r="C78" s="490" t="s">
        <v>117</v>
      </c>
      <c r="D78" s="490"/>
      <c r="E78" s="42">
        <v>24.43</v>
      </c>
      <c r="F78" s="287">
        <v>6889</v>
      </c>
      <c r="G78" s="276">
        <f t="shared" si="50"/>
        <v>168298.27</v>
      </c>
      <c r="H78" s="291" t="s">
        <v>79</v>
      </c>
      <c r="I78" s="285">
        <v>14</v>
      </c>
      <c r="J78" s="37">
        <v>2400</v>
      </c>
      <c r="K78" s="17">
        <f t="shared" si="40"/>
        <v>171.42857142857142</v>
      </c>
      <c r="L78" s="285">
        <v>14</v>
      </c>
      <c r="M78" s="18">
        <f t="shared" si="51"/>
        <v>2283.6464088397788</v>
      </c>
      <c r="N78" s="17">
        <f t="shared" si="42"/>
        <v>163.11760063141278</v>
      </c>
      <c r="O78" s="19">
        <f t="shared" si="43"/>
        <v>0</v>
      </c>
      <c r="P78" s="20">
        <f t="shared" si="44"/>
        <v>-8.3109707971586317</v>
      </c>
      <c r="Q78" s="279">
        <f t="shared" si="45"/>
        <v>0.95151933701657465</v>
      </c>
      <c r="R78" s="489"/>
      <c r="S78" s="40">
        <v>0.29166666666666669</v>
      </c>
      <c r="T78" s="40">
        <v>0.41736111111111113</v>
      </c>
      <c r="U78" s="276">
        <f t="shared" si="53"/>
        <v>7.9999999999999716</v>
      </c>
      <c r="V78" s="286">
        <f t="shared" si="52"/>
        <v>181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7"/>
        <v>-116.35359116022119</v>
      </c>
      <c r="AF78" s="279">
        <f t="shared" si="48"/>
        <v>0.95151933701657454</v>
      </c>
      <c r="AG78" s="489"/>
    </row>
    <row r="79" spans="1:33" ht="15.75" customHeight="1">
      <c r="A79" s="497" t="s">
        <v>1645</v>
      </c>
      <c r="B79" s="287" t="s">
        <v>80</v>
      </c>
      <c r="C79" s="490" t="s">
        <v>119</v>
      </c>
      <c r="D79" s="490"/>
      <c r="E79" s="42">
        <v>19.02</v>
      </c>
      <c r="F79" s="287">
        <v>5600</v>
      </c>
      <c r="G79" s="276">
        <f t="shared" si="50"/>
        <v>106512</v>
      </c>
      <c r="H79" s="291">
        <v>2</v>
      </c>
      <c r="I79" s="285">
        <v>15</v>
      </c>
      <c r="J79" s="37">
        <v>2400</v>
      </c>
      <c r="K79" s="17">
        <f t="shared" si="40"/>
        <v>160</v>
      </c>
      <c r="L79" s="285">
        <v>15</v>
      </c>
      <c r="M79" s="18">
        <f t="shared" si="51"/>
        <v>2285.7142857142853</v>
      </c>
      <c r="N79" s="17">
        <f t="shared" si="42"/>
        <v>152.38095238095235</v>
      </c>
      <c r="O79" s="19">
        <f t="shared" si="43"/>
        <v>0</v>
      </c>
      <c r="P79" s="20">
        <f t="shared" si="44"/>
        <v>-7.6190476190476488</v>
      </c>
      <c r="Q79" s="279">
        <f t="shared" si="45"/>
        <v>0.95238095238095222</v>
      </c>
      <c r="R79" s="489"/>
      <c r="S79" s="40">
        <v>0.42083333333333334</v>
      </c>
      <c r="T79" s="40">
        <v>0.5229166666666667</v>
      </c>
      <c r="U79" s="276">
        <f t="shared" si="53"/>
        <v>4.9999999999999822</v>
      </c>
      <c r="V79" s="286">
        <f t="shared" si="52"/>
        <v>147.00000000000003</v>
      </c>
      <c r="W79" s="23">
        <f>T79</f>
        <v>0.5229166666666667</v>
      </c>
      <c r="X79" s="23">
        <f>S80</f>
        <v>0.5625</v>
      </c>
      <c r="Y79" s="23"/>
      <c r="Z79" s="23"/>
      <c r="AA79" s="491"/>
      <c r="AB79" s="491"/>
      <c r="AC79" s="154"/>
      <c r="AD79" s="25"/>
      <c r="AE79" s="19">
        <f t="shared" si="47"/>
        <v>-114.28571428571468</v>
      </c>
      <c r="AF79" s="279">
        <f t="shared" si="48"/>
        <v>0.95238095238095222</v>
      </c>
      <c r="AG79" s="489"/>
    </row>
    <row r="80" spans="1:33" ht="15.75" customHeight="1">
      <c r="A80" s="497" t="s">
        <v>1645</v>
      </c>
      <c r="B80" s="287" t="s">
        <v>80</v>
      </c>
      <c r="C80" s="490" t="s">
        <v>119</v>
      </c>
      <c r="D80" s="490"/>
      <c r="E80" s="42">
        <v>19.02</v>
      </c>
      <c r="F80" s="287">
        <v>4504</v>
      </c>
      <c r="G80" s="276">
        <f t="shared" si="50"/>
        <v>85666.08</v>
      </c>
      <c r="H80" s="291" t="s">
        <v>79</v>
      </c>
      <c r="I80" s="285">
        <v>15</v>
      </c>
      <c r="J80" s="37">
        <v>2400</v>
      </c>
      <c r="K80" s="17">
        <f t="shared" si="40"/>
        <v>160</v>
      </c>
      <c r="L80" s="285">
        <v>15</v>
      </c>
      <c r="M80" s="18">
        <f t="shared" si="51"/>
        <v>2290.1694915254225</v>
      </c>
      <c r="N80" s="17">
        <f t="shared" si="42"/>
        <v>152.67796610169484</v>
      </c>
      <c r="O80" s="19">
        <f t="shared" si="43"/>
        <v>0</v>
      </c>
      <c r="P80" s="20">
        <f t="shared" si="44"/>
        <v>-7.3220338983051647</v>
      </c>
      <c r="Q80" s="279">
        <f t="shared" si="45"/>
        <v>0.95423728813559272</v>
      </c>
      <c r="R80" s="489"/>
      <c r="S80" s="40">
        <v>0.5625</v>
      </c>
      <c r="T80" s="40">
        <v>0.64444444444444449</v>
      </c>
      <c r="U80" s="276">
        <f t="shared" si="53"/>
        <v>56.999999999999957</v>
      </c>
      <c r="V80" s="286">
        <f t="shared" si="52"/>
        <v>118.00000000000006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7"/>
        <v>-109.83050847457753</v>
      </c>
      <c r="AF80" s="279">
        <f t="shared" si="48"/>
        <v>0.95423728813559272</v>
      </c>
      <c r="AG80" s="489"/>
    </row>
    <row r="81" spans="1:33" ht="16.5" customHeight="1">
      <c r="A81" s="498" t="s">
        <v>1645</v>
      </c>
      <c r="B81" s="42" t="s">
        <v>1638</v>
      </c>
      <c r="C81" s="492"/>
      <c r="D81" s="493"/>
      <c r="E81" s="280"/>
      <c r="F81" s="44"/>
      <c r="G81" s="17"/>
      <c r="H81" s="287"/>
      <c r="I81" s="30">
        <v>16.166666666666668</v>
      </c>
      <c r="J81" s="37">
        <v>2400</v>
      </c>
      <c r="K81" s="17">
        <f t="shared" si="40"/>
        <v>148.45360824742266</v>
      </c>
      <c r="L81" s="30">
        <v>16.166666666666668</v>
      </c>
      <c r="M81" s="18">
        <f>AVERAGE(M75:M80)</f>
        <v>2289.1821776371157</v>
      </c>
      <c r="N81" s="17">
        <f t="shared" si="42"/>
        <v>141.59889758580096</v>
      </c>
      <c r="O81" s="19">
        <f t="shared" si="43"/>
        <v>0</v>
      </c>
      <c r="P81" s="20">
        <f t="shared" si="44"/>
        <v>-6.8547106616217093</v>
      </c>
      <c r="Q81" s="279">
        <f t="shared" si="45"/>
        <v>0.95382590734879824</v>
      </c>
      <c r="R81" s="489"/>
      <c r="S81" s="40"/>
      <c r="T81" s="40"/>
      <c r="U81" s="17"/>
      <c r="V81" s="286"/>
      <c r="W81" s="17"/>
      <c r="X81" s="17"/>
      <c r="Y81" s="31">
        <f>SUM(Y75:Y80)</f>
        <v>0</v>
      </c>
      <c r="Z81" s="31">
        <f>SUM(Z75:Z80)</f>
        <v>0</v>
      </c>
      <c r="AA81" s="495"/>
      <c r="AB81" s="495"/>
      <c r="AC81" s="31">
        <v>8</v>
      </c>
      <c r="AD81" s="31">
        <f>SUM(AD75:AD80)</f>
        <v>0</v>
      </c>
      <c r="AE81" s="19">
        <f t="shared" si="47"/>
        <v>-110.81782236288427</v>
      </c>
      <c r="AF81" s="279">
        <f t="shared" si="48"/>
        <v>0.95382590734879824</v>
      </c>
      <c r="AG81" s="489"/>
    </row>
    <row r="82" spans="1:33">
      <c r="D82" s="33"/>
      <c r="E82" s="33"/>
    </row>
  </sheetData>
  <mergeCells count="213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11:AG13"/>
    <mergeCell ref="C12:D12"/>
    <mergeCell ref="AA12:AB12"/>
    <mergeCell ref="C13:D13"/>
    <mergeCell ref="AA13:AB13"/>
    <mergeCell ref="A14:A22"/>
    <mergeCell ref="C14:D14"/>
    <mergeCell ref="R14:R22"/>
    <mergeCell ref="AA14:AB14"/>
    <mergeCell ref="AG14:AG22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23:A31"/>
    <mergeCell ref="C23:D23"/>
    <mergeCell ref="R23:R31"/>
    <mergeCell ref="AA23:AB23"/>
    <mergeCell ref="AA28:AB28"/>
    <mergeCell ref="C29:D29"/>
    <mergeCell ref="AA29:AB29"/>
    <mergeCell ref="C30:D30"/>
    <mergeCell ref="AG23:AG31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30:AB30"/>
    <mergeCell ref="C31:D31"/>
    <mergeCell ref="AA31:AB31"/>
    <mergeCell ref="A32:A40"/>
    <mergeCell ref="C32:D32"/>
    <mergeCell ref="R32:R40"/>
    <mergeCell ref="AA32:AB32"/>
    <mergeCell ref="AA37:AB37"/>
    <mergeCell ref="C38:D38"/>
    <mergeCell ref="AA38:AB38"/>
    <mergeCell ref="AG32:AG40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C39:D39"/>
    <mergeCell ref="AA39:AB39"/>
    <mergeCell ref="C40:D40"/>
    <mergeCell ref="AA40:AB40"/>
    <mergeCell ref="A41:A49"/>
    <mergeCell ref="C41:D41"/>
    <mergeCell ref="R41:R49"/>
    <mergeCell ref="AA41:AB41"/>
    <mergeCell ref="AA46:AB46"/>
    <mergeCell ref="C47:D47"/>
    <mergeCell ref="AG41:AG49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A47:AB47"/>
    <mergeCell ref="C48:D48"/>
    <mergeCell ref="AA48:AB48"/>
    <mergeCell ref="C49:D49"/>
    <mergeCell ref="AA49:AB49"/>
    <mergeCell ref="A50:A59"/>
    <mergeCell ref="C50:D50"/>
    <mergeCell ref="R50:R59"/>
    <mergeCell ref="AA50:AB50"/>
    <mergeCell ref="AA55:AB55"/>
    <mergeCell ref="C56:D56"/>
    <mergeCell ref="AA56:AB56"/>
    <mergeCell ref="C57:D57"/>
    <mergeCell ref="AA57:AB57"/>
    <mergeCell ref="C58:D58"/>
    <mergeCell ref="AA58:AB58"/>
    <mergeCell ref="AG50:AG59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55:D55"/>
    <mergeCell ref="C59:D59"/>
    <mergeCell ref="AA59:AB59"/>
    <mergeCell ref="A60:A68"/>
    <mergeCell ref="C60:D60"/>
    <mergeCell ref="R60:R68"/>
    <mergeCell ref="AA60:AB60"/>
    <mergeCell ref="AA66:AB66"/>
    <mergeCell ref="C67:D67"/>
    <mergeCell ref="AA67:AB67"/>
    <mergeCell ref="C68:D68"/>
    <mergeCell ref="AA68:AB68"/>
    <mergeCell ref="A69:A74"/>
    <mergeCell ref="C69:D69"/>
    <mergeCell ref="R69:R74"/>
    <mergeCell ref="AA69:AB69"/>
    <mergeCell ref="AG69:AG74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AG60:AG68"/>
    <mergeCell ref="C61:D61"/>
    <mergeCell ref="AA61:AB61"/>
    <mergeCell ref="C62:D62"/>
    <mergeCell ref="AA62:AB62"/>
    <mergeCell ref="AA63:AB63"/>
    <mergeCell ref="AA64:AB64"/>
    <mergeCell ref="C65:D65"/>
    <mergeCell ref="AA65:AB65"/>
    <mergeCell ref="C66:D66"/>
    <mergeCell ref="AA78:AB78"/>
    <mergeCell ref="C79:D79"/>
    <mergeCell ref="AA79:AB79"/>
    <mergeCell ref="A75:A81"/>
    <mergeCell ref="C75:D75"/>
    <mergeCell ref="R75:R81"/>
    <mergeCell ref="AA75:AB75"/>
    <mergeCell ref="AG75:AG81"/>
    <mergeCell ref="C76:D76"/>
    <mergeCell ref="AA76:AB76"/>
    <mergeCell ref="C77:D77"/>
    <mergeCell ref="AA77:AB77"/>
    <mergeCell ref="C78:D78"/>
    <mergeCell ref="C80:D80"/>
    <mergeCell ref="AA80:AB80"/>
    <mergeCell ref="C81:D81"/>
    <mergeCell ref="AA81:AB81"/>
  </mergeCells>
  <phoneticPr fontId="3" type="noConversion"/>
  <conditionalFormatting sqref="O68:O69 O72:O81 O5:O11 O13:O15 O59:O65 O22:O55">
    <cfRule type="cellIs" dxfId="1497" priority="77" operator="greaterThan">
      <formula>0</formula>
    </cfRule>
  </conditionalFormatting>
  <conditionalFormatting sqref="P5:P9 P72:P73 AE72:AE73 P75:P80 P32:P39 P69 P11 P13:P15 P23:P30 P60:P65 P41:P55 AE5:AE69 AE75:AE81">
    <cfRule type="cellIs" dxfId="1496" priority="81" operator="lessThan">
      <formula>0</formula>
    </cfRule>
  </conditionalFormatting>
  <conditionalFormatting sqref="AF72:AF73 Q68:Q69 Q72:Q81 Q5:Q11 Q13:Q15 Q59:Q65 Q22:Q55 AF5:AF69 AF75:AF81">
    <cfRule type="cellIs" dxfId="1495" priority="78" operator="greaterThan">
      <formula>1</formula>
    </cfRule>
    <cfRule type="cellIs" dxfId="1494" priority="79" operator="lessThan">
      <formula>0.8</formula>
    </cfRule>
  </conditionalFormatting>
  <conditionalFormatting sqref="AG14:AG15 R14:R15 AG72 R22:R28 AG22:AG28 AG68:AG69 R68:R69 R72:R81 AG5:AG11 R5:R11 R31:R55 AG31:AG55 AG59:AG65 R59:R65">
    <cfRule type="cellIs" dxfId="1493" priority="83" operator="lessThan">
      <formula>0.8</formula>
    </cfRule>
  </conditionalFormatting>
  <conditionalFormatting sqref="AG50">
    <cfRule type="cellIs" dxfId="1492" priority="85" operator="lessThan">
      <formula>0.8</formula>
    </cfRule>
  </conditionalFormatting>
  <conditionalFormatting sqref="AG23:AG28">
    <cfRule type="cellIs" dxfId="1491" priority="82" operator="lessThan">
      <formula>0.8</formula>
    </cfRule>
  </conditionalFormatting>
  <conditionalFormatting sqref="AG32">
    <cfRule type="cellIs" dxfId="1490" priority="84" operator="lessThan">
      <formula>0.8</formula>
    </cfRule>
  </conditionalFormatting>
  <conditionalFormatting sqref="AG41:AG48">
    <cfRule type="cellIs" dxfId="1489" priority="80" operator="lessThan">
      <formula>0.8</formula>
    </cfRule>
  </conditionalFormatting>
  <conditionalFormatting sqref="AE74">
    <cfRule type="cellIs" dxfId="1488" priority="76" operator="lessThan">
      <formula>0</formula>
    </cfRule>
  </conditionalFormatting>
  <conditionalFormatting sqref="AF74">
    <cfRule type="cellIs" dxfId="1487" priority="74" operator="greaterThan">
      <formula>1</formula>
    </cfRule>
    <cfRule type="cellIs" dxfId="1486" priority="75" operator="lessThan">
      <formula>0.8</formula>
    </cfRule>
  </conditionalFormatting>
  <conditionalFormatting sqref="O16:O17">
    <cfRule type="cellIs" dxfId="1485" priority="69" operator="greaterThan">
      <formula>0</formula>
    </cfRule>
  </conditionalFormatting>
  <conditionalFormatting sqref="P16:P17">
    <cfRule type="cellIs" dxfId="1484" priority="72" operator="lessThan">
      <formula>0</formula>
    </cfRule>
  </conditionalFormatting>
  <conditionalFormatting sqref="Q16:Q17">
    <cfRule type="cellIs" dxfId="1483" priority="70" operator="greaterThan">
      <formula>1</formula>
    </cfRule>
    <cfRule type="cellIs" dxfId="1482" priority="71" operator="lessThan">
      <formula>0.8</formula>
    </cfRule>
  </conditionalFormatting>
  <conditionalFormatting sqref="R16:R17 AG16:AG17">
    <cfRule type="cellIs" dxfId="1481" priority="73" operator="lessThan">
      <formula>0.8</formula>
    </cfRule>
  </conditionalFormatting>
  <conditionalFormatting sqref="O12">
    <cfRule type="cellIs" dxfId="1480" priority="65" operator="greaterThan">
      <formula>0</formula>
    </cfRule>
  </conditionalFormatting>
  <conditionalFormatting sqref="P12">
    <cfRule type="cellIs" dxfId="1479" priority="68" operator="lessThan">
      <formula>0</formula>
    </cfRule>
  </conditionalFormatting>
  <conditionalFormatting sqref="Q12">
    <cfRule type="cellIs" dxfId="1478" priority="66" operator="greaterThan">
      <formula>1</formula>
    </cfRule>
    <cfRule type="cellIs" dxfId="1477" priority="67" operator="lessThan">
      <formula>0.8</formula>
    </cfRule>
  </conditionalFormatting>
  <conditionalFormatting sqref="O66">
    <cfRule type="cellIs" dxfId="1476" priority="60" operator="greaterThan">
      <formula>0</formula>
    </cfRule>
  </conditionalFormatting>
  <conditionalFormatting sqref="P66">
    <cfRule type="cellIs" dxfId="1475" priority="63" operator="lessThan">
      <formula>0</formula>
    </cfRule>
  </conditionalFormatting>
  <conditionalFormatting sqref="Q66">
    <cfRule type="cellIs" dxfId="1474" priority="61" operator="greaterThan">
      <formula>1</formula>
    </cfRule>
    <cfRule type="cellIs" dxfId="1473" priority="62" operator="lessThan">
      <formula>0.8</formula>
    </cfRule>
  </conditionalFormatting>
  <conditionalFormatting sqref="R66 AG66">
    <cfRule type="cellIs" dxfId="1472" priority="64" operator="lessThan">
      <formula>0.8</formula>
    </cfRule>
  </conditionalFormatting>
  <conditionalFormatting sqref="AG30 R30">
    <cfRule type="cellIs" dxfId="1471" priority="59" operator="lessThan">
      <formula>0.8</formula>
    </cfRule>
  </conditionalFormatting>
  <conditionalFormatting sqref="O71">
    <cfRule type="cellIs" dxfId="1470" priority="54" operator="greaterThan">
      <formula>0</formula>
    </cfRule>
  </conditionalFormatting>
  <conditionalFormatting sqref="P71 AE71">
    <cfRule type="cellIs" dxfId="1469" priority="57" operator="lessThan">
      <formula>0</formula>
    </cfRule>
  </conditionalFormatting>
  <conditionalFormatting sqref="Q71 AF71">
    <cfRule type="cellIs" dxfId="1468" priority="55" operator="greaterThan">
      <formula>1</formula>
    </cfRule>
    <cfRule type="cellIs" dxfId="1467" priority="56" operator="lessThan">
      <formula>0.8</formula>
    </cfRule>
  </conditionalFormatting>
  <conditionalFormatting sqref="R71 AG71">
    <cfRule type="cellIs" dxfId="1466" priority="58" operator="lessThan">
      <formula>0.8</formula>
    </cfRule>
  </conditionalFormatting>
  <conditionalFormatting sqref="O18:O19">
    <cfRule type="cellIs" dxfId="1465" priority="49" operator="greaterThan">
      <formula>0</formula>
    </cfRule>
  </conditionalFormatting>
  <conditionalFormatting sqref="P18:P19">
    <cfRule type="cellIs" dxfId="1464" priority="52" operator="lessThan">
      <formula>0</formula>
    </cfRule>
  </conditionalFormatting>
  <conditionalFormatting sqref="Q18:Q19">
    <cfRule type="cellIs" dxfId="1463" priority="50" operator="greaterThan">
      <formula>1</formula>
    </cfRule>
    <cfRule type="cellIs" dxfId="1462" priority="51" operator="lessThan">
      <formula>0.8</formula>
    </cfRule>
  </conditionalFormatting>
  <conditionalFormatting sqref="R18:R19 AG18:AG19">
    <cfRule type="cellIs" dxfId="1461" priority="53" operator="lessThan">
      <formula>0.8</formula>
    </cfRule>
  </conditionalFormatting>
  <conditionalFormatting sqref="O56">
    <cfRule type="cellIs" dxfId="1460" priority="43" operator="greaterThan">
      <formula>0</formula>
    </cfRule>
  </conditionalFormatting>
  <conditionalFormatting sqref="P56">
    <cfRule type="cellIs" dxfId="1459" priority="47" operator="lessThan">
      <formula>0</formula>
    </cfRule>
  </conditionalFormatting>
  <conditionalFormatting sqref="Q56">
    <cfRule type="cellIs" dxfId="1458" priority="44" operator="greaterThan">
      <formula>1</formula>
    </cfRule>
    <cfRule type="cellIs" dxfId="1457" priority="45" operator="lessThan">
      <formula>0.8</formula>
    </cfRule>
  </conditionalFormatting>
  <conditionalFormatting sqref="R56 AG56">
    <cfRule type="cellIs" dxfId="1456" priority="48" operator="lessThan">
      <formula>0.8</formula>
    </cfRule>
  </conditionalFormatting>
  <conditionalFormatting sqref="AG56">
    <cfRule type="cellIs" dxfId="1455" priority="46" operator="lessThan">
      <formula>0.8</formula>
    </cfRule>
  </conditionalFormatting>
  <conditionalFormatting sqref="O57">
    <cfRule type="cellIs" dxfId="1454" priority="37" operator="greaterThan">
      <formula>0</formula>
    </cfRule>
  </conditionalFormatting>
  <conditionalFormatting sqref="P57">
    <cfRule type="cellIs" dxfId="1453" priority="41" operator="lessThan">
      <formula>0</formula>
    </cfRule>
  </conditionalFormatting>
  <conditionalFormatting sqref="Q57">
    <cfRule type="cellIs" dxfId="1452" priority="38" operator="greaterThan">
      <formula>1</formula>
    </cfRule>
    <cfRule type="cellIs" dxfId="1451" priority="39" operator="lessThan">
      <formula>0.8</formula>
    </cfRule>
  </conditionalFormatting>
  <conditionalFormatting sqref="R57 AG57">
    <cfRule type="cellIs" dxfId="1450" priority="42" operator="lessThan">
      <formula>0.8</formula>
    </cfRule>
  </conditionalFormatting>
  <conditionalFormatting sqref="AG57">
    <cfRule type="cellIs" dxfId="1449" priority="40" operator="lessThan">
      <formula>0.8</formula>
    </cfRule>
  </conditionalFormatting>
  <conditionalFormatting sqref="O67">
    <cfRule type="cellIs" dxfId="1448" priority="32" operator="greaterThan">
      <formula>0</formula>
    </cfRule>
  </conditionalFormatting>
  <conditionalFormatting sqref="P67">
    <cfRule type="cellIs" dxfId="1447" priority="35" operator="lessThan">
      <formula>0</formula>
    </cfRule>
  </conditionalFormatting>
  <conditionalFormatting sqref="Q67">
    <cfRule type="cellIs" dxfId="1446" priority="33" operator="greaterThan">
      <formula>1</formula>
    </cfRule>
    <cfRule type="cellIs" dxfId="1445" priority="34" operator="lessThan">
      <formula>0.8</formula>
    </cfRule>
  </conditionalFormatting>
  <conditionalFormatting sqref="AG67 R67">
    <cfRule type="cellIs" dxfId="1444" priority="36" operator="lessThan">
      <formula>0.8</formula>
    </cfRule>
  </conditionalFormatting>
  <conditionalFormatting sqref="R29 AG29">
    <cfRule type="cellIs" dxfId="1443" priority="31" operator="lessThan">
      <formula>0.8</formula>
    </cfRule>
  </conditionalFormatting>
  <conditionalFormatting sqref="AG29">
    <cfRule type="cellIs" dxfId="1442" priority="30" operator="lessThan">
      <formula>0.8</formula>
    </cfRule>
  </conditionalFormatting>
  <conditionalFormatting sqref="O58">
    <cfRule type="cellIs" dxfId="1441" priority="24" operator="greaterThan">
      <formula>0</formula>
    </cfRule>
  </conditionalFormatting>
  <conditionalFormatting sqref="P58">
    <cfRule type="cellIs" dxfId="1440" priority="28" operator="lessThan">
      <formula>0</formula>
    </cfRule>
  </conditionalFormatting>
  <conditionalFormatting sqref="Q58">
    <cfRule type="cellIs" dxfId="1439" priority="25" operator="greaterThan">
      <formula>1</formula>
    </cfRule>
    <cfRule type="cellIs" dxfId="1438" priority="26" operator="lessThan">
      <formula>0.8</formula>
    </cfRule>
  </conditionalFormatting>
  <conditionalFormatting sqref="R58 AG58">
    <cfRule type="cellIs" dxfId="1437" priority="29" operator="lessThan">
      <formula>0.8</formula>
    </cfRule>
  </conditionalFormatting>
  <conditionalFormatting sqref="AG58">
    <cfRule type="cellIs" dxfId="1436" priority="27" operator="lessThan">
      <formula>0.8</formula>
    </cfRule>
  </conditionalFormatting>
  <conditionalFormatting sqref="O70">
    <cfRule type="cellIs" dxfId="1435" priority="19" operator="greaterThan">
      <formula>0</formula>
    </cfRule>
  </conditionalFormatting>
  <conditionalFormatting sqref="P70 AE70">
    <cfRule type="cellIs" dxfId="1434" priority="22" operator="lessThan">
      <formula>0</formula>
    </cfRule>
  </conditionalFormatting>
  <conditionalFormatting sqref="Q70 AF70">
    <cfRule type="cellIs" dxfId="1433" priority="20" operator="greaterThan">
      <formula>1</formula>
    </cfRule>
    <cfRule type="cellIs" dxfId="1432" priority="21" operator="lessThan">
      <formula>0.8</formula>
    </cfRule>
  </conditionalFormatting>
  <conditionalFormatting sqref="R70 AG70">
    <cfRule type="cellIs" dxfId="1431" priority="23" operator="lessThan">
      <formula>0.8</formula>
    </cfRule>
  </conditionalFormatting>
  <conditionalFormatting sqref="O20">
    <cfRule type="cellIs" dxfId="1430" priority="14" operator="greaterThan">
      <formula>0</formula>
    </cfRule>
  </conditionalFormatting>
  <conditionalFormatting sqref="P20">
    <cfRule type="cellIs" dxfId="1429" priority="17" operator="lessThan">
      <formula>0</formula>
    </cfRule>
  </conditionalFormatting>
  <conditionalFormatting sqref="Q20">
    <cfRule type="cellIs" dxfId="1428" priority="15" operator="greaterThan">
      <formula>1</formula>
    </cfRule>
    <cfRule type="cellIs" dxfId="1427" priority="16" operator="lessThan">
      <formula>0.8</formula>
    </cfRule>
  </conditionalFormatting>
  <conditionalFormatting sqref="AG20 R20">
    <cfRule type="cellIs" dxfId="1426" priority="18" operator="lessThan">
      <formula>0.8</formula>
    </cfRule>
  </conditionalFormatting>
  <conditionalFormatting sqref="O21">
    <cfRule type="cellIs" dxfId="1425" priority="9" operator="greaterThan">
      <formula>0</formula>
    </cfRule>
  </conditionalFormatting>
  <conditionalFormatting sqref="P21">
    <cfRule type="cellIs" dxfId="1424" priority="12" operator="lessThan">
      <formula>0</formula>
    </cfRule>
  </conditionalFormatting>
  <conditionalFormatting sqref="Q21">
    <cfRule type="cellIs" dxfId="1423" priority="10" operator="greaterThan">
      <formula>1</formula>
    </cfRule>
    <cfRule type="cellIs" dxfId="1422" priority="11" operator="lessThan">
      <formula>0.8</formula>
    </cfRule>
  </conditionalFormatting>
  <conditionalFormatting sqref="AG21 R21">
    <cfRule type="cellIs" dxfId="1421" priority="13" operator="lessThan">
      <formula>0.8</formula>
    </cfRule>
  </conditionalFormatting>
  <conditionalFormatting sqref="P10">
    <cfRule type="cellIs" dxfId="1420" priority="8" operator="lessThan">
      <formula>0</formula>
    </cfRule>
  </conditionalFormatting>
  <conditionalFormatting sqref="P22">
    <cfRule type="cellIs" dxfId="1419" priority="7" operator="lessThan">
      <formula>0</formula>
    </cfRule>
  </conditionalFormatting>
  <conditionalFormatting sqref="P31">
    <cfRule type="cellIs" dxfId="1418" priority="6" operator="lessThan">
      <formula>0</formula>
    </cfRule>
  </conditionalFormatting>
  <conditionalFormatting sqref="P40">
    <cfRule type="cellIs" dxfId="1417" priority="5" operator="lessThan">
      <formula>0</formula>
    </cfRule>
  </conditionalFormatting>
  <conditionalFormatting sqref="P59">
    <cfRule type="cellIs" dxfId="1416" priority="4" operator="lessThan">
      <formula>0</formula>
    </cfRule>
  </conditionalFormatting>
  <conditionalFormatting sqref="P68">
    <cfRule type="cellIs" dxfId="1415" priority="3" operator="lessThan">
      <formula>0</formula>
    </cfRule>
  </conditionalFormatting>
  <conditionalFormatting sqref="P74">
    <cfRule type="cellIs" dxfId="1414" priority="2" operator="lessThan">
      <formula>0</formula>
    </cfRule>
  </conditionalFormatting>
  <conditionalFormatting sqref="P81">
    <cfRule type="cellIs" dxfId="1413" priority="1" operator="lessThan">
      <formula>0</formula>
    </cfRule>
  </conditionalFormatting>
  <dataValidations count="1">
    <dataValidation type="list" allowBlank="1" showInputMessage="1" showErrorMessage="1" sqref="AB10 AA5:AB9 AB73 AA10:AA73 AB12:AB69 AA74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8" sqref="A8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1457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1458</v>
      </c>
      <c r="C3" s="478" t="str">
        <f>TEXT('0117 4度C'!A2,"yyyy.mm.ddaaaa")</f>
        <v>2026.01.17星期六</v>
      </c>
      <c r="D3" s="479"/>
      <c r="E3" s="56" t="s">
        <v>1459</v>
      </c>
      <c r="F3" s="480">
        <f>'0117 4度C'!D1</f>
        <v>146222</v>
      </c>
      <c r="G3" s="481"/>
      <c r="H3" s="56" t="s">
        <v>1460</v>
      </c>
      <c r="I3" s="482">
        <f>'0117 4度C'!F1</f>
        <v>4991478.5899999989</v>
      </c>
      <c r="J3" s="483"/>
      <c r="K3" s="57"/>
      <c r="L3" s="58"/>
      <c r="M3" s="59"/>
      <c r="N3" s="59"/>
    </row>
    <row r="4" spans="2:17" ht="28.5" customHeight="1">
      <c r="B4" s="484" t="s">
        <v>1461</v>
      </c>
      <c r="C4" s="470" t="s">
        <v>1462</v>
      </c>
      <c r="D4" s="471"/>
      <c r="E4" s="487" t="s">
        <v>1463</v>
      </c>
      <c r="F4" s="488"/>
      <c r="G4" s="487" t="s">
        <v>1464</v>
      </c>
      <c r="H4" s="488"/>
      <c r="I4" s="487" t="s">
        <v>1465</v>
      </c>
      <c r="J4" s="488"/>
      <c r="K4" s="468" t="s">
        <v>1466</v>
      </c>
      <c r="L4" s="469"/>
      <c r="M4" s="469" t="s">
        <v>1467</v>
      </c>
      <c r="N4" s="469"/>
    </row>
    <row r="5" spans="2:17" ht="28.5" customHeight="1">
      <c r="B5" s="485"/>
      <c r="C5" s="470" t="s">
        <v>1468</v>
      </c>
      <c r="D5" s="471"/>
      <c r="E5" s="470" t="s">
        <v>1469</v>
      </c>
      <c r="F5" s="471"/>
      <c r="G5" s="472" t="s">
        <v>1470</v>
      </c>
      <c r="H5" s="473"/>
      <c r="I5" s="474" t="s">
        <v>1471</v>
      </c>
      <c r="J5" s="475"/>
      <c r="K5" s="60" t="s">
        <v>1472</v>
      </c>
      <c r="L5" s="61" t="s">
        <v>1473</v>
      </c>
      <c r="M5" s="60" t="s">
        <v>1474</v>
      </c>
      <c r="N5" s="61" t="s">
        <v>1475</v>
      </c>
    </row>
    <row r="6" spans="2:17" ht="28.5" customHeight="1">
      <c r="B6" s="485"/>
      <c r="C6" s="470" t="s">
        <v>144</v>
      </c>
      <c r="D6" s="471"/>
      <c r="E6" s="462">
        <f>AVERAGE(D13:M13)</f>
        <v>141.09201026328731</v>
      </c>
      <c r="F6" s="463">
        <f>AVERAGE(D31:O31,D13:J13)</f>
        <v>142.3035916423498</v>
      </c>
      <c r="G6" s="464">
        <f>AVERAGE(D13:J13)</f>
        <v>142.3035916423498</v>
      </c>
      <c r="H6" s="465"/>
      <c r="I6" s="464">
        <f>AVERAGE(K13:M13)</f>
        <v>138.26498704547487</v>
      </c>
      <c r="J6" s="465"/>
      <c r="K6" s="466">
        <f>'0117 4度C'!Y2</f>
        <v>0</v>
      </c>
      <c r="L6" s="451">
        <f>'0117 4度C'!Z2</f>
        <v>0</v>
      </c>
      <c r="M6" s="467">
        <f>'0117 4度C'!AC2</f>
        <v>35</v>
      </c>
      <c r="N6" s="451">
        <f>'0117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135.15059928160835</v>
      </c>
      <c r="F7" s="455">
        <f>AVERAGE(D32:O32,D14:J14)</f>
        <v>136.35481601709878</v>
      </c>
      <c r="G7" s="456">
        <f>AVERAGE(D14:J14)</f>
        <v>136.35481601709878</v>
      </c>
      <c r="H7" s="457"/>
      <c r="I7" s="456">
        <f>AVERAGE(K14:M14)</f>
        <v>132.34076023213069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0.95713392593427815</v>
      </c>
      <c r="F8" s="459">
        <f>AVERAGE(D15:J15,D33:O33)</f>
        <v>0.95713252478555633</v>
      </c>
      <c r="G8" s="460">
        <f>AVERAGE(D15:J15)</f>
        <v>0.95713252478555633</v>
      </c>
      <c r="H8" s="461"/>
      <c r="I8" s="460">
        <f>AVERAGE(K15:M15)</f>
        <v>0.95713719528129604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1476</v>
      </c>
      <c r="N9" s="59"/>
      <c r="O9" s="59"/>
      <c r="P9" s="59"/>
      <c r="Q9" s="59"/>
    </row>
    <row r="10" spans="2:17" ht="30" customHeight="1">
      <c r="B10" s="434" t="s">
        <v>1477</v>
      </c>
      <c r="C10" s="435"/>
      <c r="D10" s="436" t="s">
        <v>1478</v>
      </c>
      <c r="E10" s="437"/>
      <c r="F10" s="437"/>
      <c r="G10" s="437"/>
      <c r="H10" s="437"/>
      <c r="I10" s="437"/>
      <c r="J10" s="438"/>
      <c r="K10" s="439" t="s">
        <v>1479</v>
      </c>
      <c r="L10" s="440"/>
      <c r="M10" s="441"/>
      <c r="P10" s="65"/>
      <c r="Q10" s="65"/>
    </row>
    <row r="11" spans="2:17" ht="17.25" customHeight="1">
      <c r="B11" s="442" t="s">
        <v>1480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1481</v>
      </c>
      <c r="C13" s="72" t="s">
        <v>1482</v>
      </c>
      <c r="D13" s="73">
        <f>SUMIFS('0117 4度C'!$K:$K,'0117 4度C'!$A:$A,"新豐6線",'0117 4度C'!$B:$B,"平均")</f>
        <v>112.35955056179775</v>
      </c>
      <c r="E13" s="74">
        <f>SUMIFS('0117 4度C'!$K:$K,'0117 4度C'!$A:$A,"新豐2線",'0117 4度C'!$B:$B,"平均")</f>
        <v>83.333333333333329</v>
      </c>
      <c r="F13" s="75">
        <f>SUMIFS('0117 4度C'!$K:$K,'0117 4度C'!$A:$A,"新豐5線",'0117 4度C'!$B:$B,"平均")</f>
        <v>105.0420168067227</v>
      </c>
      <c r="G13" s="75">
        <f>SUMIFS('0117 4度C'!$K:$K,'0117 4度C'!$A:$A,"新豐7線",'0117 4度C'!$B:$B,"平均")</f>
        <v>114.03508771929825</v>
      </c>
      <c r="H13" s="75">
        <f>SUMIFS('0117 4度C'!$K:$K,'0117 4度C'!$A:$A,"新豐3線",'0117 4度C'!$B:$B,"平均")</f>
        <v>273.97260273972603</v>
      </c>
      <c r="I13" s="75">
        <f>SUMIFS('0117 4度C'!$K:$K,'0117 4度C'!$A:$A,"新豐1線",'0117 4度C'!$B:$B,"平均")</f>
        <v>107.38255033557047</v>
      </c>
      <c r="J13" s="76">
        <f>SUMIFS('0117 4度C'!$K:$K,'0117 4度C'!$A:$A,"新豐10線",'0117 4度C'!$B:$B,"平均")</f>
        <v>200</v>
      </c>
      <c r="K13" s="77">
        <f>SUMIFS('0117 4度C'!$K:$K,'0117 4度C'!$A:$A,"新豐8線",'0117 4度C'!$B:$B,"平均")</f>
        <v>131.86813186813188</v>
      </c>
      <c r="L13" s="78">
        <f>SUMIFS('0117 4度C'!$K:$K,'0117 4度C'!$A:$A,"新豐9線",'0117 4度C'!$B:$B,"平均")</f>
        <v>136.58536585365852</v>
      </c>
      <c r="M13" s="76">
        <f>SUMIFS('0117 4度C'!$K:$K,'0117 4度C'!$A:$A,"新豐4線",'0117 4度C'!$B:$B,"平均")</f>
        <v>146.34146341463415</v>
      </c>
    </row>
    <row r="14" spans="2:17" ht="39.6" customHeight="1">
      <c r="B14" s="447"/>
      <c r="C14" s="79" t="s">
        <v>1483</v>
      </c>
      <c r="D14" s="80">
        <f>SUMIFS('0117 4度C'!$N:$N,'0117 4度C'!$A:$A,"新豐6線",'0117 4度C'!$B:$B,"平均")</f>
        <v>108.14672261410202</v>
      </c>
      <c r="E14" s="81">
        <f>SUMIFS('0117 4度C'!$N:$N,'0117 4度C'!$A:$A,"新豐2線",'0117 4度C'!$B:$B,"平均")</f>
        <v>79.442736794171225</v>
      </c>
      <c r="F14" s="81">
        <f>SUMIFS('0117 4度C'!$N:$N,'0117 4度C'!$A:$A,"新豐5線",'0117 4度C'!$B:$B,"平均")</f>
        <v>101.15608312157414</v>
      </c>
      <c r="G14" s="81">
        <f>SUMIFS('0117 4度C'!$N:$N,'0117 4度C'!$A:$A,"新豐7線",'0117 4度C'!$B:$B,"平均")</f>
        <v>110.62290515445245</v>
      </c>
      <c r="H14" s="81">
        <f>SUMIFS('0117 4度C'!$N:$N,'0117 4度C'!$A:$A,"新豐3線",'0117 4度C'!$B:$B,"平均")</f>
        <v>263.67852691248765</v>
      </c>
      <c r="I14" s="81">
        <f>SUMIFS('0117 4度C'!$N:$N,'0117 4度C'!$A:$A,"新豐1線",'0117 4度C'!$B:$B,"平均")</f>
        <v>100.03825968202328</v>
      </c>
      <c r="J14" s="82">
        <f>SUMIFS('0117 4度C'!$N:$N,'0117 4度C'!$A:$A,"新豐10線",'0117 4度C'!$B:$B,"平均")</f>
        <v>191.39847784088062</v>
      </c>
      <c r="K14" s="83">
        <f>SUMIFS('0117 4度C'!$N:$N,'0117 4度C'!$A:$A,"新豐8線",'0117 4度C'!$B:$B,"平均")</f>
        <v>125.99944619594277</v>
      </c>
      <c r="L14" s="84">
        <f>SUMIFS('0117 4度C'!$N:$N,'0117 4度C'!$A:$A,"新豐9線",'0117 4度C'!$B:$B,"平均")</f>
        <v>130.97119465397952</v>
      </c>
      <c r="M14" s="82">
        <f>SUMIFS('0117 4度C'!$N:$N,'0117 4度C'!$A:$A,"新豐4線",'0117 4度C'!$B:$B,"平均")</f>
        <v>140.05163984646975</v>
      </c>
    </row>
    <row r="15" spans="2:17" ht="40.15" customHeight="1">
      <c r="B15" s="448"/>
      <c r="C15" s="85" t="s">
        <v>1484</v>
      </c>
      <c r="D15" s="86">
        <f t="shared" ref="D15:M15" si="0">D14/D13</f>
        <v>0.96250583126550804</v>
      </c>
      <c r="E15" s="87">
        <f t="shared" si="0"/>
        <v>0.9533128415300548</v>
      </c>
      <c r="F15" s="87">
        <f t="shared" si="0"/>
        <v>0.96300591131738578</v>
      </c>
      <c r="G15" s="87">
        <f t="shared" si="0"/>
        <v>0.9700777836621215</v>
      </c>
      <c r="H15" s="87">
        <f t="shared" si="0"/>
        <v>0.96242662323057993</v>
      </c>
      <c r="I15" s="87">
        <f t="shared" si="0"/>
        <v>0.93160629328884181</v>
      </c>
      <c r="J15" s="88">
        <f t="shared" si="0"/>
        <v>0.9569923892044031</v>
      </c>
      <c r="K15" s="86">
        <f t="shared" si="0"/>
        <v>0.95549580031923254</v>
      </c>
      <c r="L15" s="87">
        <f t="shared" si="0"/>
        <v>0.95889624657377881</v>
      </c>
      <c r="M15" s="88">
        <f t="shared" si="0"/>
        <v>0.95701953895087666</v>
      </c>
    </row>
    <row r="16" spans="2:17" ht="17.25" customHeight="1">
      <c r="B16" s="449" t="s">
        <v>1485</v>
      </c>
      <c r="C16" s="89" t="s">
        <v>1486</v>
      </c>
      <c r="D16" s="90">
        <f>VLOOKUP("新豐6線",'0117 4度C'!$A:$T,19,0)</f>
        <v>0.70833333333333337</v>
      </c>
      <c r="E16" s="91">
        <f>VLOOKUP("新豐2線",'0117 4度C'!$A:$T,19,0)</f>
        <v>0.16666666666666666</v>
      </c>
      <c r="F16" s="91">
        <f>VLOOKUP("新豐5線",'0117 4度C'!$A:$T,19,0)</f>
        <v>0.20833333333333334</v>
      </c>
      <c r="G16" s="91">
        <f>VLOOKUP("新豐7線",'0117 4度C'!$A:$T,19,0)</f>
        <v>0.20833333333333334</v>
      </c>
      <c r="H16" s="91">
        <f>VLOOKUP("新豐3線",'0117 4度C'!$A:$T,19,0)</f>
        <v>8.3333333333333329E-2</v>
      </c>
      <c r="I16" s="91">
        <f>VLOOKUP("新豐1線",'0117 4度C'!$A:$T,19,0)</f>
        <v>0.20833333333333334</v>
      </c>
      <c r="J16" s="92">
        <f>VLOOKUP("新豐10線",'0117 4度C'!$A:$T,19,0)</f>
        <v>0.20833333333333334</v>
      </c>
      <c r="K16" s="93">
        <f>VLOOKUP("新豐8線",'0117 4度C'!$A:$T,19,0)</f>
        <v>8.3333333333333329E-2</v>
      </c>
      <c r="L16" s="94">
        <f>VLOOKUP("新豐9線",'0117 4度C'!$A:$T,19,0)</f>
        <v>8.3333333333333329E-2</v>
      </c>
      <c r="M16" s="95">
        <f>VLOOKUP("新豐4線",'0117 4度C'!$A:$T,19,0)</f>
        <v>8.3333333333333329E-2</v>
      </c>
    </row>
    <row r="17" spans="2:13" ht="17.25" customHeight="1">
      <c r="B17" s="450"/>
      <c r="C17" s="89" t="s">
        <v>1487</v>
      </c>
      <c r="D17" s="93">
        <f>LOOKUP(2,1/(('0117 4度C'!$A:$A="新豐6線")*('0117 4度C'!$T:$T&lt;&gt;"")),'0117 4度C'!$T:$T)</f>
        <v>0.86319444444444449</v>
      </c>
      <c r="E17" s="91">
        <f>LOOKUP(2,1/(('0117 4度C'!$A:$A="新豐2線")*('0117 4度C'!$T:$T&lt;&gt;"")),'0117 4度C'!$T:$T)</f>
        <v>0.40347222222222223</v>
      </c>
      <c r="F17" s="91">
        <f>LOOKUP(2,1/(('0117 4度C'!$A:$A="新豐5線")*('0117 4度C'!$T:$T&lt;&gt;"")),'0117 4度C'!$T:$T)</f>
        <v>0.85763888888888884</v>
      </c>
      <c r="G17" s="91">
        <f>LOOKUP(2,1/(('0117 4度C'!$A:$A="新豐7線")*('0117 4度C'!$T:$T&lt;&gt;"")),'0117 4度C'!$T:$T)</f>
        <v>0.86319444444444438</v>
      </c>
      <c r="H17" s="91">
        <f>LOOKUP(2,1/(('0117 4度C'!$A:$A="新豐3線")*('0117 4度C'!$T:$T&lt;&gt;"")),'0117 4度C'!$T:$T)</f>
        <v>0.47916666666666652</v>
      </c>
      <c r="I17" s="91">
        <f>LOOKUP(2,1/(('0117 4度C'!$A:$A="新豐1線")*('0117 4度C'!$T:$T&lt;&gt;"")),'0117 4度C'!$T:$T)</f>
        <v>0.85763888888888884</v>
      </c>
      <c r="J17" s="92">
        <f>LOOKUP(2,1/(('0117 4度C'!$A:$A="新豐10線")*('0117 4度C'!$T:$T&lt;&gt;"")),'0117 4度C'!$T:$T)</f>
        <v>0.48541666666666661</v>
      </c>
      <c r="K17" s="90">
        <f>LOOKUP(2,1/(('0117 4度C'!$A:$A="新豐8線")*('0117 4度C'!$T:$T&lt;&gt;"")),'0117 4度C'!$T:$T)</f>
        <v>0.47916666666666669</v>
      </c>
      <c r="L17" s="91">
        <f>LOOKUP(2,1/(('0117 4度C'!$A:$A="新豐9線")*('0117 4度C'!$T:$T&lt;&gt;"")),'0117 4度C'!$T:$T)</f>
        <v>0.59027777777777779</v>
      </c>
      <c r="M17" s="92">
        <f>LOOKUP(2,1/(('0117 4度C'!$A:$A="新豐4線")*('0117 4度C'!$T:$T&lt;&gt;"")),'0117 4度C'!$T:$T)</f>
        <v>0.47916666666666663</v>
      </c>
    </row>
    <row r="18" spans="2:13" ht="17.25" customHeight="1">
      <c r="B18" s="428" t="s">
        <v>1488</v>
      </c>
      <c r="C18" s="96" t="s">
        <v>1489</v>
      </c>
      <c r="D18" s="97">
        <f>SUMIFS('0117 4度C'!$Y:$Y,'0117 4度C'!$A:$A,"新豐6線",'0117 4度C'!$B:$B,"平均")</f>
        <v>0</v>
      </c>
      <c r="E18" s="98">
        <f>SUMIFS('0117 4度C'!$Y:$Y,'0117 4度C'!$A:$A,"新豐2線",'0117 4度C'!$B:$B,"平均")</f>
        <v>0</v>
      </c>
      <c r="F18" s="98">
        <f>SUMIFS('0117 4度C'!$Y:$Y,'0117 4度C'!$A:$A,"新豐5線",'0117 4度C'!$B:$B,"平均")</f>
        <v>0</v>
      </c>
      <c r="G18" s="98">
        <f>SUMIFS('0117 4度C'!$Y:$Y,'0117 4度C'!$A:$A,"新豐7線",'0117 4度C'!$B:$B,"平均")</f>
        <v>0</v>
      </c>
      <c r="H18" s="98">
        <f>SUMIFS('0117 4度C'!$Y:$Y,'0117 4度C'!$A:$A,"新豐3線",'0117 4度C'!$B:$B,"平均")</f>
        <v>0</v>
      </c>
      <c r="I18" s="98">
        <f>SUMIFS('0117 4度C'!$Y:$Y,'0117 4度C'!$A:$A,"新豐1線",'0117 4度C'!$B:$B,"平均")</f>
        <v>0</v>
      </c>
      <c r="J18" s="99">
        <f>SUMIFS('0117 4度C'!$Y:$Y,'0117 4度C'!$A:$A,"新豐10線",'0117 4度C'!$B:$B,"平均")</f>
        <v>0</v>
      </c>
      <c r="K18" s="100">
        <f>SUMIFS('0117 4度C'!$Y:$Y,'0117 4度C'!$A:$A,"新豐8線",'0117 4度C'!$B:$B,"平均")</f>
        <v>0</v>
      </c>
      <c r="L18" s="98">
        <f>SUMIFS('0117 4度C'!$Y:$Y,'0117 4度C'!$A:$A,"新豐9線",'0117 4度C'!$B:$B,"平均")</f>
        <v>0</v>
      </c>
      <c r="M18" s="99">
        <f>SUMIFS('0117 4度C'!$Y:$Y,'0117 4度C'!$A:$A,"新豐4線",'0117 4度C'!$B:$B,"平均")</f>
        <v>0</v>
      </c>
    </row>
    <row r="19" spans="2:13" ht="17.25" customHeight="1">
      <c r="B19" s="429"/>
      <c r="C19" s="96" t="s">
        <v>1490</v>
      </c>
      <c r="D19" s="97">
        <f>SUMIFS('0117 4度C'!$Z:$Z,'0117 4度C'!$A:$A,"新豐6線",'0117 4度C'!$B:$B,"平均")</f>
        <v>0</v>
      </c>
      <c r="E19" s="98">
        <f>SUMIFS('0117 4度C'!$Z:$Z,'0117 4度C'!$A:$A,"新豐2線",'0117 4度C'!$B:$B,"平均")</f>
        <v>0</v>
      </c>
      <c r="F19" s="98">
        <f>SUMIFS('0117 4度C'!$Z:$Z,'0117 4度C'!$A:$A,"新豐5線",'0117 4度C'!$B:$B,"平均")</f>
        <v>0</v>
      </c>
      <c r="G19" s="98">
        <f>SUMIFS('0117 4度C'!$Z:$Z,'0117 4度C'!$A:$A,"新豐7線",'0117 4度C'!$B:$B,"平均")</f>
        <v>0</v>
      </c>
      <c r="H19" s="98">
        <f>SUMIFS('0117 4度C'!$Z:$Z,'0117 4度C'!$A:$A,"新豐3線",'0117 4度C'!$B:$B,"平均")</f>
        <v>0</v>
      </c>
      <c r="I19" s="98">
        <f>SUMIFS('0117 4度C'!$Z:$Z,'0117 4度C'!$A:$A,"新豐1線",'0117 4度C'!$B:$B,"平均")</f>
        <v>0</v>
      </c>
      <c r="J19" s="99">
        <f>SUMIFS('0117 4度C'!$Z:$Z,'0117 4度C'!$A:$A,"新豐10線",'0117 4度C'!$B:$B,"平均")</f>
        <v>0</v>
      </c>
      <c r="K19" s="100">
        <f>SUMIFS('0117 4度C'!$Z:$Z,'0117 4度C'!$A:$A,"新豐8線",'0117 4度C'!$B:$B,"平均")</f>
        <v>0</v>
      </c>
      <c r="L19" s="98">
        <f>SUMIFS('0117 4度C'!$Z:$Z,'0117 4度C'!$A:$A,"新豐9線",'0117 4度C'!$B:$B,"平均")</f>
        <v>0</v>
      </c>
      <c r="M19" s="99">
        <f>SUMIFS('0117 4度C'!$Z:$Z,'0117 4度C'!$A:$A,"新豐4線",'0117 4度C'!$B:$B,"平均")</f>
        <v>0</v>
      </c>
    </row>
    <row r="20" spans="2:13" ht="17.25" customHeight="1">
      <c r="B20" s="428" t="s">
        <v>1491</v>
      </c>
      <c r="C20" s="96" t="s">
        <v>1489</v>
      </c>
      <c r="D20" s="97">
        <f>SUMIFS('0117 4度C'!$AC:$AC,'0117 4度C'!$A:$A,"新豐6線",'0117 4度C'!$B:$B,"平均")</f>
        <v>2</v>
      </c>
      <c r="E20" s="98">
        <f>SUMIFS('0117 4度C'!$AC:$AC,'0117 4度C'!$A:$A,"新豐2線",'0117 4度C'!$B:$B,"平均")</f>
        <v>2</v>
      </c>
      <c r="F20" s="98">
        <f>SUMIFS('0117 4度C'!$AC:$AC,'0117 4度C'!$A:$A,"新豐5線",'0117 4度C'!$B:$B,"平均")</f>
        <v>3</v>
      </c>
      <c r="G20" s="98">
        <f>SUMIFS('0117 4度C'!$AC:$AC,'0117 4度C'!$A:$A,"新豐7線",'0117 4度C'!$B:$B,"平均")</f>
        <v>3</v>
      </c>
      <c r="H20" s="98">
        <f>SUMIFS('0117 4度C'!$AC:$AC,'0117 4度C'!$A:$A,"新豐3線",'0117 4度C'!$B:$B,"平均")</f>
        <v>1</v>
      </c>
      <c r="I20" s="98">
        <f>SUMIFS('0117 4度C'!$AC:$AC,'0117 4度C'!$A:$A,"新豐1線",'0117 4度C'!$B:$B,"平均")</f>
        <v>4</v>
      </c>
      <c r="J20" s="99">
        <f>SUMIFS('0117 4度C'!$AC:$AC,'0117 4度C'!$A:$A,"新豐10線",'0117 4度C'!$B:$B,"平均")</f>
        <v>1</v>
      </c>
      <c r="K20" s="100">
        <f>SUMIFS('0117 4度C'!$AC:$AC,'0117 4度C'!$A:$A,"新豐8線",'0117 4度C'!$B:$B,"平均")</f>
        <v>6</v>
      </c>
      <c r="L20" s="98">
        <f>SUMIFS('0117 4度C'!$AC:$AC,'0117 4度C'!$A:$A,"新豐9線",'0117 4度C'!$B:$B,"平均")</f>
        <v>7</v>
      </c>
      <c r="M20" s="99">
        <f>SUMIFS('0117 4度C'!$AC:$AC,'0117 4度C'!$A:$A,"新豐4線",'0117 4度C'!$B:$B,"平均")</f>
        <v>6</v>
      </c>
    </row>
    <row r="21" spans="2:13" ht="17.25" customHeight="1">
      <c r="B21" s="429"/>
      <c r="C21" s="96" t="s">
        <v>1492</v>
      </c>
      <c r="D21" s="97">
        <f>SUMIFS('0117 4度C'!$AD:$AD,'0117 4度C'!$A:$A,"新豐6線",'0117 4度C'!$B:$B,"平均")</f>
        <v>0</v>
      </c>
      <c r="E21" s="98">
        <f>SUMIFS('0117 4度C'!$AD:$AD,'0117 4度C'!$A:$A,"新豐2線",'0117 4度C'!$B:$B,"平均")</f>
        <v>0</v>
      </c>
      <c r="F21" s="98">
        <f>SUMIFS('0117 4度C'!$AD:$AD,'0117 4度C'!$A:$A,"新豐5線",'0117 4度C'!$B:$B,"平均")</f>
        <v>0</v>
      </c>
      <c r="G21" s="98">
        <f>SUMIFS('0117 4度C'!$AD:$AD,'0117 4度C'!$A:$A,"新豐7線",'0117 4度C'!$B:$B,"平均")</f>
        <v>0</v>
      </c>
      <c r="H21" s="98">
        <f>SUMIFS('0117 4度C'!$AD:$AD,'0117 4度C'!$A:$A,"新豐3線",'0117 4度C'!$B:$B,"平均")</f>
        <v>0</v>
      </c>
      <c r="I21" s="98">
        <f>SUMIFS('0117 4度C'!$AD:$AD,'0117 4度C'!$A:$A,"新豐1線",'0117 4度C'!$B:$B,"平均")</f>
        <v>0</v>
      </c>
      <c r="J21" s="99">
        <f>SUMIFS('0117 4度C'!$AD:$AD,'0117 4度C'!$A:$A,"新豐10線",'0117 4度C'!$B:$B,"平均")</f>
        <v>0</v>
      </c>
      <c r="K21" s="100">
        <f>SUMIFS('0117 4度C'!$AD:$AD,'0117 4度C'!$A:$A,"新豐8線",'0117 4度C'!$B:$B,"平均")</f>
        <v>0</v>
      </c>
      <c r="L21" s="98">
        <f>SUMIFS('0117 4度C'!$AD:$AD,'0117 4度C'!$A:$A,"新豐9線",'0117 4度C'!$B:$B,"平均")</f>
        <v>0</v>
      </c>
      <c r="M21" s="99">
        <f>SUMIFS('0117 4度C'!$AD:$AD,'0117 4度C'!$A:$A,"新豐4線",'0117 4度C'!$B:$B,"平均")</f>
        <v>0</v>
      </c>
    </row>
    <row r="22" spans="2:13" ht="17.25" customHeight="1">
      <c r="B22" s="430" t="s">
        <v>1493</v>
      </c>
      <c r="C22" s="431"/>
      <c r="D22" s="101">
        <f>SUMIFS('0117 4度C'!$I:$I,'0117 4度C'!$A:$A,"新豐6線",'0117 4度C'!$B:$B,"平均")</f>
        <v>17.8</v>
      </c>
      <c r="E22" s="102">
        <f>SUMIFS('0117 4度C'!$I:$I,'0117 4度C'!$A:$A,"新豐2線",'0117 4度C'!$B:$B,"平均")</f>
        <v>18</v>
      </c>
      <c r="F22" s="102">
        <f>SUMIFS('0117 4度C'!$I:$I,'0117 4度C'!$A:$A,"新豐5線",'0117 4度C'!$B:$B,"平均")</f>
        <v>17</v>
      </c>
      <c r="G22" s="102">
        <f>SUMIFS('0117 4度C'!$I:$I,'0117 4度C'!$A:$A,"新豐7線",'0117 4度C'!$B:$B,"平均")</f>
        <v>16.285714285714285</v>
      </c>
      <c r="H22" s="102">
        <f>SUMIFS('0117 4度C'!$I:$I,'0117 4度C'!$A:$A,"新豐3線",'0117 4度C'!$B:$B,"平均")</f>
        <v>10.428571428571429</v>
      </c>
      <c r="I22" s="102">
        <f>SUMIFS('0117 4度C'!$I:$I,'0117 4度C'!$A:$A,"新豐1線",'0117 4度C'!$B:$B,"平均")</f>
        <v>18.625</v>
      </c>
      <c r="J22" s="103">
        <f>SUMIFS('0117 4度C'!$I:$I,'0117 4度C'!$A:$A,"新豐10線",'0117 4度C'!$B:$B,"平均")</f>
        <v>10</v>
      </c>
      <c r="K22" s="101">
        <f>SUMIFS('0117 4度C'!$I:$I,'0117 4度C'!$A:$A,"新豐8線",'0117 4度C'!$B:$B,"平均")</f>
        <v>18.2</v>
      </c>
      <c r="L22" s="102">
        <f>SUMIFS('0117 4度C'!$I:$I,'0117 4度C'!$A:$A,"新豐9線",'0117 4度C'!$B:$B,"平均")</f>
        <v>17.571428571428573</v>
      </c>
      <c r="M22" s="103">
        <f>SUMIFS('0117 4度C'!$I:$I,'0117 4度C'!$A:$A,"新豐4線",'0117 4度C'!$B:$B,"平均")</f>
        <v>16.399999999999999</v>
      </c>
    </row>
    <row r="23" spans="2:13" ht="17.25" customHeight="1">
      <c r="B23" s="430" t="s">
        <v>1494</v>
      </c>
      <c r="C23" s="431"/>
      <c r="D23" s="104" t="s">
        <v>157</v>
      </c>
      <c r="E23" s="105" t="s">
        <v>158</v>
      </c>
      <c r="F23" s="105" t="s">
        <v>1495</v>
      </c>
      <c r="G23" s="105" t="s">
        <v>1495</v>
      </c>
      <c r="H23" s="105" t="s">
        <v>159</v>
      </c>
      <c r="I23" s="105" t="s">
        <v>157</v>
      </c>
      <c r="J23" s="106" t="s">
        <v>159</v>
      </c>
      <c r="K23" s="104" t="s">
        <v>1496</v>
      </c>
      <c r="L23" s="105" t="s">
        <v>1496</v>
      </c>
      <c r="M23" s="106" t="s">
        <v>1496</v>
      </c>
    </row>
    <row r="24" spans="2:13" ht="17.25" customHeight="1">
      <c r="B24" s="430" t="s">
        <v>1497</v>
      </c>
      <c r="C24" s="431"/>
      <c r="D24" s="104"/>
      <c r="E24" s="105"/>
      <c r="F24" s="105" t="s">
        <v>1498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1499</v>
      </c>
      <c r="C25" s="433"/>
      <c r="D25" s="107"/>
      <c r="E25" s="108" t="s">
        <v>1500</v>
      </c>
      <c r="F25" s="426" t="s">
        <v>1501</v>
      </c>
      <c r="G25" s="427"/>
      <c r="H25" s="108" t="s">
        <v>1502</v>
      </c>
      <c r="I25" s="108" t="s">
        <v>1503</v>
      </c>
      <c r="J25" s="109" t="s">
        <v>1502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1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2"/>
  <sheetViews>
    <sheetView zoomScale="80" zoomScaleNormal="80" workbookViewId="0">
      <pane ySplit="4" topLeftCell="A38" activePane="bottomLeft" state="frozen"/>
      <selection activeCell="A8" sqref="A8"/>
      <selection pane="bottomLeft" activeCell="A5" sqref="A5:A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38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1504</v>
      </c>
      <c r="D1" s="3">
        <f>SUM(F5:F71)</f>
        <v>146222</v>
      </c>
      <c r="E1" s="264" t="s">
        <v>1505</v>
      </c>
      <c r="F1" s="1">
        <f>SUM(G5:G71)</f>
        <v>4991478.5899999989</v>
      </c>
      <c r="G1" s="1" t="s">
        <v>1506</v>
      </c>
      <c r="H1" s="289">
        <f>L10+L13+L51+L60+L21+L65+L35+L43+L29+L71</f>
        <v>160.31071428571428</v>
      </c>
      <c r="I1" s="542" t="s">
        <v>1507</v>
      </c>
      <c r="J1" s="542"/>
      <c r="K1" s="542"/>
      <c r="L1" s="542" t="s">
        <v>1508</v>
      </c>
      <c r="M1" s="542"/>
      <c r="N1" s="542"/>
      <c r="O1" s="542" t="s">
        <v>1509</v>
      </c>
      <c r="P1" s="542"/>
      <c r="Q1" s="542"/>
      <c r="R1" s="542"/>
      <c r="S1" s="542" t="s">
        <v>1510</v>
      </c>
      <c r="T1" s="542"/>
      <c r="U1" s="542"/>
      <c r="V1" s="542"/>
      <c r="W1" s="542"/>
      <c r="X1" s="542"/>
      <c r="Y1" s="6" t="s">
        <v>1511</v>
      </c>
      <c r="Z1" s="7" t="s">
        <v>1512</v>
      </c>
      <c r="AA1" s="543" t="s">
        <v>1513</v>
      </c>
      <c r="AB1" s="543"/>
      <c r="AC1" s="8" t="s">
        <v>1511</v>
      </c>
      <c r="AD1" s="7" t="s">
        <v>1514</v>
      </c>
      <c r="AE1" s="542" t="s">
        <v>1515</v>
      </c>
      <c r="AF1" s="544"/>
      <c r="AG1" s="544"/>
    </row>
    <row r="2" spans="1:33" ht="26.25" customHeight="1">
      <c r="A2" s="49">
        <v>46039</v>
      </c>
      <c r="B2" s="50" t="s">
        <v>382</v>
      </c>
      <c r="C2" s="2" t="s">
        <v>1516</v>
      </c>
      <c r="D2" s="10">
        <f>AVERAGE(N10,N13,N51,N60,N21,N65,N29,N35,N43,N71)</f>
        <v>135.15059928160835</v>
      </c>
      <c r="E2" s="11" t="s">
        <v>14</v>
      </c>
      <c r="F2" s="12">
        <f>F1/D1</f>
        <v>34.136303634200047</v>
      </c>
      <c r="G2" s="1" t="s">
        <v>1517</v>
      </c>
      <c r="H2" s="290">
        <f>COUNT(H5:H71)</f>
        <v>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SUM(Y10+Y13+Y21+Y29+Y35+Y43+Y51+Y60+Y65+Y71)</f>
        <v>0</v>
      </c>
      <c r="Z2" s="14">
        <f>SUM(Z10+Z13+Z21+Z29+Z35+Z43+Z51+Z60+Z65+Z71)</f>
        <v>0</v>
      </c>
      <c r="AA2" s="543"/>
      <c r="AB2" s="543"/>
      <c r="AC2" s="14">
        <v>35</v>
      </c>
      <c r="AD2" s="14">
        <f>SUM(AD10+AD13+AD21+AD29+AD35+AD43+AD51+AD60+AD65+AD71)</f>
        <v>0</v>
      </c>
      <c r="AE2" s="544"/>
      <c r="AF2" s="544"/>
      <c r="AG2" s="544"/>
    </row>
    <row r="3" spans="1:33" ht="40.5" customHeight="1">
      <c r="A3" s="491" t="s">
        <v>1518</v>
      </c>
      <c r="B3" s="491" t="s">
        <v>1519</v>
      </c>
      <c r="C3" s="491" t="s">
        <v>1520</v>
      </c>
      <c r="D3" s="491"/>
      <c r="E3" s="540" t="s">
        <v>1521</v>
      </c>
      <c r="F3" s="491" t="s">
        <v>20</v>
      </c>
      <c r="G3" s="540" t="s">
        <v>1522</v>
      </c>
      <c r="H3" s="545" t="s">
        <v>1523</v>
      </c>
      <c r="I3" s="531" t="s">
        <v>278</v>
      </c>
      <c r="J3" s="528" t="s">
        <v>24</v>
      </c>
      <c r="K3" s="538" t="s">
        <v>1516</v>
      </c>
      <c r="L3" s="531" t="s">
        <v>278</v>
      </c>
      <c r="M3" s="528" t="s">
        <v>1524</v>
      </c>
      <c r="N3" s="538" t="s">
        <v>1525</v>
      </c>
      <c r="O3" s="531" t="s">
        <v>1526</v>
      </c>
      <c r="P3" s="538" t="s">
        <v>1525</v>
      </c>
      <c r="Q3" s="529" t="s">
        <v>25</v>
      </c>
      <c r="R3" s="507" t="s">
        <v>26</v>
      </c>
      <c r="S3" s="539" t="s">
        <v>27</v>
      </c>
      <c r="T3" s="539"/>
      <c r="U3" s="533" t="s">
        <v>28</v>
      </c>
      <c r="V3" s="533" t="s">
        <v>1527</v>
      </c>
      <c r="W3" s="491" t="s">
        <v>1528</v>
      </c>
      <c r="X3" s="491"/>
      <c r="Y3" s="534" t="s">
        <v>1529</v>
      </c>
      <c r="Z3" s="495"/>
      <c r="AA3" s="535" t="s">
        <v>32</v>
      </c>
      <c r="AB3" s="536"/>
      <c r="AC3" s="534" t="s">
        <v>1530</v>
      </c>
      <c r="AD3" s="495"/>
      <c r="AE3" s="528" t="s">
        <v>1531</v>
      </c>
      <c r="AF3" s="529" t="s">
        <v>1532</v>
      </c>
      <c r="AG3" s="507" t="s">
        <v>26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45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65" t="s">
        <v>37</v>
      </c>
      <c r="T4" s="265" t="s">
        <v>38</v>
      </c>
      <c r="U4" s="533"/>
      <c r="V4" s="533"/>
      <c r="W4" s="264" t="s">
        <v>1533</v>
      </c>
      <c r="X4" s="264" t="s">
        <v>1534</v>
      </c>
      <c r="Y4" s="269" t="s">
        <v>1535</v>
      </c>
      <c r="Z4" s="269" t="s">
        <v>1536</v>
      </c>
      <c r="AA4" s="537"/>
      <c r="AB4" s="536"/>
      <c r="AC4" s="269" t="s">
        <v>1537</v>
      </c>
      <c r="AD4" s="269" t="s">
        <v>1538</v>
      </c>
      <c r="AE4" s="528"/>
      <c r="AF4" s="529"/>
      <c r="AG4" s="507"/>
    </row>
    <row r="5" spans="1:33">
      <c r="A5" s="530" t="s">
        <v>1539</v>
      </c>
      <c r="B5" s="42" t="s">
        <v>103</v>
      </c>
      <c r="C5" s="532" t="s">
        <v>120</v>
      </c>
      <c r="D5" s="532"/>
      <c r="E5" s="42">
        <v>50.67</v>
      </c>
      <c r="F5" s="265">
        <v>1273</v>
      </c>
      <c r="G5" s="264">
        <f t="shared" ref="G5:G9" si="0">E5*F5</f>
        <v>64502.91</v>
      </c>
      <c r="H5" s="125" t="s">
        <v>79</v>
      </c>
      <c r="I5" s="267">
        <v>17</v>
      </c>
      <c r="J5" s="37">
        <v>2000</v>
      </c>
      <c r="K5" s="17">
        <f t="shared" ref="K5:K68" si="1">J5/I5</f>
        <v>117.64705882352941</v>
      </c>
      <c r="L5" s="267">
        <v>17</v>
      </c>
      <c r="M5" s="18">
        <f t="shared" ref="M5:M9" si="2">F5/V5*60</f>
        <v>1909.4999999999993</v>
      </c>
      <c r="N5" s="17">
        <f t="shared" ref="N5:N68" si="3">M5/L5</f>
        <v>112.32352941176467</v>
      </c>
      <c r="O5" s="19">
        <f t="shared" ref="O5:O68" si="4">L5-I5</f>
        <v>0</v>
      </c>
      <c r="P5" s="20">
        <f t="shared" ref="P5:P68" si="5">N5-K5</f>
        <v>-5.3235294117647385</v>
      </c>
      <c r="Q5" s="268">
        <f t="shared" ref="Q5:Q68" si="6">N5/K5</f>
        <v>0.95474999999999977</v>
      </c>
      <c r="R5" s="489">
        <f>Q10</f>
        <v>0.96250583126550804</v>
      </c>
      <c r="S5" s="40">
        <v>0.70833333333333337</v>
      </c>
      <c r="T5" s="40">
        <v>0.73611111111111116</v>
      </c>
      <c r="U5" s="264"/>
      <c r="V5" s="266">
        <f t="shared" ref="V5:V9" si="7">(T5-S5)*24*60</f>
        <v>40.000000000000014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-90.500000000000682</v>
      </c>
      <c r="AF5" s="268">
        <f t="shared" ref="AF5:AF68" si="9">M5/J5</f>
        <v>0.95474999999999965</v>
      </c>
      <c r="AG5" s="489">
        <f>AF10</f>
        <v>0.96250583126550804</v>
      </c>
    </row>
    <row r="6" spans="1:33">
      <c r="A6" s="531" t="s">
        <v>46</v>
      </c>
      <c r="B6" s="42" t="s">
        <v>103</v>
      </c>
      <c r="C6" s="532" t="s">
        <v>121</v>
      </c>
      <c r="D6" s="532"/>
      <c r="E6" s="42">
        <v>54.09</v>
      </c>
      <c r="F6" s="265">
        <v>1255</v>
      </c>
      <c r="G6" s="264">
        <f t="shared" si="0"/>
        <v>67882.95</v>
      </c>
      <c r="H6" s="125" t="s">
        <v>79</v>
      </c>
      <c r="I6" s="267">
        <v>19</v>
      </c>
      <c r="J6" s="37">
        <v>2000</v>
      </c>
      <c r="K6" s="17">
        <f t="shared" si="1"/>
        <v>105.26315789473684</v>
      </c>
      <c r="L6" s="267">
        <v>19</v>
      </c>
      <c r="M6" s="18">
        <f t="shared" si="2"/>
        <v>1930.7692307692296</v>
      </c>
      <c r="N6" s="17">
        <f t="shared" si="3"/>
        <v>101.61943319838051</v>
      </c>
      <c r="O6" s="19">
        <f t="shared" si="4"/>
        <v>0</v>
      </c>
      <c r="P6" s="20">
        <f t="shared" si="5"/>
        <v>-3.6437246963563297</v>
      </c>
      <c r="Q6" s="268">
        <f t="shared" si="6"/>
        <v>0.96538461538461484</v>
      </c>
      <c r="R6" s="489"/>
      <c r="S6" s="40">
        <v>0.73958333333333337</v>
      </c>
      <c r="T6" s="40">
        <v>0.76666666666666672</v>
      </c>
      <c r="U6" s="264">
        <f t="shared" ref="U6:U9" si="10">IF(S6=TIME(17,0,0),"",(S6-T5)*24*60)</f>
        <v>4.9999999999999822</v>
      </c>
      <c r="V6" s="266">
        <f t="shared" si="7"/>
        <v>39.000000000000021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-69.23076923077042</v>
      </c>
      <c r="AF6" s="268">
        <f t="shared" si="9"/>
        <v>0.96538461538461484</v>
      </c>
      <c r="AG6" s="489"/>
    </row>
    <row r="7" spans="1:33">
      <c r="A7" s="531" t="s">
        <v>46</v>
      </c>
      <c r="B7" s="42" t="s">
        <v>103</v>
      </c>
      <c r="C7" s="523" t="s">
        <v>515</v>
      </c>
      <c r="D7" s="524"/>
      <c r="E7" s="42">
        <v>50.67</v>
      </c>
      <c r="F7" s="265">
        <v>1254</v>
      </c>
      <c r="G7" s="264">
        <f t="shared" si="0"/>
        <v>63540.18</v>
      </c>
      <c r="H7" s="125" t="s">
        <v>79</v>
      </c>
      <c r="I7" s="267">
        <v>21</v>
      </c>
      <c r="J7" s="37">
        <v>2000</v>
      </c>
      <c r="K7" s="17">
        <f t="shared" si="1"/>
        <v>95.238095238095241</v>
      </c>
      <c r="L7" s="267">
        <v>21</v>
      </c>
      <c r="M7" s="18">
        <f t="shared" si="2"/>
        <v>1929.2307692307684</v>
      </c>
      <c r="N7" s="17">
        <f t="shared" si="3"/>
        <v>91.868131868131826</v>
      </c>
      <c r="O7" s="19">
        <f t="shared" si="4"/>
        <v>0</v>
      </c>
      <c r="P7" s="20">
        <f t="shared" si="5"/>
        <v>-3.3699633699634148</v>
      </c>
      <c r="Q7" s="268">
        <f t="shared" si="6"/>
        <v>0.9646153846153841</v>
      </c>
      <c r="R7" s="489"/>
      <c r="S7" s="40">
        <v>0.77013888888888893</v>
      </c>
      <c r="T7" s="40">
        <v>0.79722222222222228</v>
      </c>
      <c r="U7" s="264">
        <f t="shared" si="10"/>
        <v>4.9999999999999822</v>
      </c>
      <c r="V7" s="266">
        <f t="shared" si="7"/>
        <v>39.000000000000021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-70.769230769231626</v>
      </c>
      <c r="AF7" s="268">
        <f t="shared" si="9"/>
        <v>0.96461538461538421</v>
      </c>
      <c r="AG7" s="489"/>
    </row>
    <row r="8" spans="1:33">
      <c r="A8" s="531" t="s">
        <v>1539</v>
      </c>
      <c r="B8" s="42" t="s">
        <v>103</v>
      </c>
      <c r="C8" s="523" t="s">
        <v>122</v>
      </c>
      <c r="D8" s="524"/>
      <c r="E8" s="42">
        <v>50.29</v>
      </c>
      <c r="F8" s="265">
        <v>1006</v>
      </c>
      <c r="G8" s="264">
        <f t="shared" si="0"/>
        <v>50591.74</v>
      </c>
      <c r="H8" s="125" t="s">
        <v>79</v>
      </c>
      <c r="I8" s="267">
        <v>16</v>
      </c>
      <c r="J8" s="37">
        <v>2000</v>
      </c>
      <c r="K8" s="17">
        <f t="shared" si="1"/>
        <v>125</v>
      </c>
      <c r="L8" s="267">
        <v>16</v>
      </c>
      <c r="M8" s="18">
        <f t="shared" si="2"/>
        <v>1947.0967741935451</v>
      </c>
      <c r="N8" s="17">
        <f t="shared" si="3"/>
        <v>121.69354838709657</v>
      </c>
      <c r="O8" s="19">
        <f t="shared" si="4"/>
        <v>0</v>
      </c>
      <c r="P8" s="20">
        <f t="shared" si="5"/>
        <v>-3.3064516129034303</v>
      </c>
      <c r="Q8" s="268">
        <f t="shared" si="6"/>
        <v>0.9735483870967726</v>
      </c>
      <c r="R8" s="489"/>
      <c r="S8" s="40">
        <v>0.80208333333333337</v>
      </c>
      <c r="T8" s="40">
        <v>0.82361111111111118</v>
      </c>
      <c r="U8" s="264">
        <f t="shared" si="10"/>
        <v>6.9999999999999751</v>
      </c>
      <c r="V8" s="266">
        <f t="shared" si="7"/>
        <v>31.00000000000005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-52.903225806454884</v>
      </c>
      <c r="AF8" s="268">
        <f t="shared" si="9"/>
        <v>0.9735483870967726</v>
      </c>
      <c r="AG8" s="489"/>
    </row>
    <row r="9" spans="1:33">
      <c r="A9" s="531" t="s">
        <v>1540</v>
      </c>
      <c r="B9" s="42" t="s">
        <v>103</v>
      </c>
      <c r="C9" s="523" t="s">
        <v>123</v>
      </c>
      <c r="D9" s="524"/>
      <c r="E9" s="42">
        <v>50.98</v>
      </c>
      <c r="F9" s="265">
        <v>1654</v>
      </c>
      <c r="G9" s="264">
        <f t="shared" si="0"/>
        <v>84320.92</v>
      </c>
      <c r="H9" s="125" t="s">
        <v>79</v>
      </c>
      <c r="I9" s="267">
        <v>16</v>
      </c>
      <c r="J9" s="37">
        <v>2000</v>
      </c>
      <c r="K9" s="17">
        <f t="shared" si="1"/>
        <v>125</v>
      </c>
      <c r="L9" s="267">
        <v>16</v>
      </c>
      <c r="M9" s="18">
        <f t="shared" si="2"/>
        <v>1908.4615384615395</v>
      </c>
      <c r="N9" s="17">
        <f t="shared" si="3"/>
        <v>119.27884615384622</v>
      </c>
      <c r="O9" s="19">
        <f t="shared" si="4"/>
        <v>0</v>
      </c>
      <c r="P9" s="20">
        <f t="shared" si="5"/>
        <v>-5.7211538461537828</v>
      </c>
      <c r="Q9" s="268">
        <f t="shared" si="6"/>
        <v>0.95423076923076977</v>
      </c>
      <c r="R9" s="489"/>
      <c r="S9" s="40">
        <v>0.82708333333333339</v>
      </c>
      <c r="T9" s="40">
        <v>0.86319444444444449</v>
      </c>
      <c r="U9" s="264">
        <f t="shared" si="10"/>
        <v>4.9999999999999822</v>
      </c>
      <c r="V9" s="266">
        <f t="shared" si="7"/>
        <v>51.999999999999972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-91.538461538460524</v>
      </c>
      <c r="AF9" s="268">
        <f t="shared" si="9"/>
        <v>0.95423076923076977</v>
      </c>
      <c r="AG9" s="489"/>
    </row>
    <row r="10" spans="1:33">
      <c r="A10" s="531" t="s">
        <v>1540</v>
      </c>
      <c r="B10" s="42" t="s">
        <v>71</v>
      </c>
      <c r="C10" s="494"/>
      <c r="D10" s="494"/>
      <c r="E10" s="270"/>
      <c r="F10" s="44"/>
      <c r="G10" s="17"/>
      <c r="H10" s="265"/>
      <c r="I10" s="30">
        <v>17.8</v>
      </c>
      <c r="J10" s="37">
        <v>2000</v>
      </c>
      <c r="K10" s="17">
        <f t="shared" si="1"/>
        <v>112.35955056179775</v>
      </c>
      <c r="L10" s="30">
        <v>17.8</v>
      </c>
      <c r="M10" s="18">
        <f>AVERAGE(M5:M9)</f>
        <v>1925.0116625310161</v>
      </c>
      <c r="N10" s="17">
        <f t="shared" si="3"/>
        <v>108.14672261410202</v>
      </c>
      <c r="O10" s="19">
        <f t="shared" si="4"/>
        <v>0</v>
      </c>
      <c r="P10" s="20">
        <f t="shared" si="5"/>
        <v>-4.2128279476957289</v>
      </c>
      <c r="Q10" s="268">
        <f t="shared" si="6"/>
        <v>0.96250583126550804</v>
      </c>
      <c r="R10" s="489"/>
      <c r="S10" s="40"/>
      <c r="T10" s="40"/>
      <c r="U10" s="264"/>
      <c r="V10" s="266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2</v>
      </c>
      <c r="AD10" s="31">
        <f>SUM(AD5:AD9)</f>
        <v>0</v>
      </c>
      <c r="AE10" s="19">
        <f t="shared" si="8"/>
        <v>-74.9883374689839</v>
      </c>
      <c r="AF10" s="268">
        <f t="shared" si="9"/>
        <v>0.96250583126550804</v>
      </c>
      <c r="AG10" s="489"/>
    </row>
    <row r="11" spans="1:33" ht="15.75" customHeight="1">
      <c r="A11" s="527" t="s">
        <v>1541</v>
      </c>
      <c r="B11" s="42" t="s">
        <v>100</v>
      </c>
      <c r="C11" s="523" t="s">
        <v>124</v>
      </c>
      <c r="D11" s="524"/>
      <c r="E11" s="42">
        <v>39.619999999999997</v>
      </c>
      <c r="F11" s="265">
        <v>2905</v>
      </c>
      <c r="G11" s="264">
        <f t="shared" ref="G11:G12" si="11">E11*F11</f>
        <v>115096.09999999999</v>
      </c>
      <c r="H11" s="125" t="s">
        <v>79</v>
      </c>
      <c r="I11" s="267">
        <v>19</v>
      </c>
      <c r="J11" s="37">
        <v>1500</v>
      </c>
      <c r="K11" s="17">
        <f t="shared" si="1"/>
        <v>78.94736842105263</v>
      </c>
      <c r="L11" s="267">
        <v>19</v>
      </c>
      <c r="M11" s="18">
        <f t="shared" ref="M11:M12" si="12">F11/V11*60</f>
        <v>1428.688524590164</v>
      </c>
      <c r="N11" s="17">
        <f t="shared" si="3"/>
        <v>75.194132873166524</v>
      </c>
      <c r="O11" s="19">
        <f t="shared" si="4"/>
        <v>0</v>
      </c>
      <c r="P11" s="20">
        <f t="shared" si="5"/>
        <v>-3.7532355478861064</v>
      </c>
      <c r="Q11" s="268">
        <f t="shared" si="6"/>
        <v>0.95245901639344266</v>
      </c>
      <c r="R11" s="489">
        <f>Q13</f>
        <v>0.9533128415300548</v>
      </c>
      <c r="S11" s="40">
        <v>0.16666666666666666</v>
      </c>
      <c r="T11" s="40">
        <v>0.25138888888888888</v>
      </c>
      <c r="U11" s="264"/>
      <c r="V11" s="266">
        <f t="shared" ref="V11:V12" si="13">(T11-S11)*24*60</f>
        <v>122</v>
      </c>
      <c r="W11" s="23">
        <f>T11</f>
        <v>0.25138888888888888</v>
      </c>
      <c r="X11" s="23">
        <f>S12</f>
        <v>0.27013888888888887</v>
      </c>
      <c r="Y11" s="23"/>
      <c r="Z11" s="23"/>
      <c r="AA11" s="491"/>
      <c r="AB11" s="491"/>
      <c r="AC11" s="154">
        <v>2</v>
      </c>
      <c r="AD11" s="25"/>
      <c r="AE11" s="19">
        <f t="shared" si="8"/>
        <v>-71.311475409836021</v>
      </c>
      <c r="AF11" s="268">
        <f t="shared" si="9"/>
        <v>0.95245901639344266</v>
      </c>
      <c r="AG11" s="489">
        <f>AF13</f>
        <v>0.95331284153005469</v>
      </c>
    </row>
    <row r="12" spans="1:33" ht="15.75" customHeight="1">
      <c r="A12" s="527" t="s">
        <v>50</v>
      </c>
      <c r="B12" s="42" t="s">
        <v>100</v>
      </c>
      <c r="C12" s="523" t="s">
        <v>125</v>
      </c>
      <c r="D12" s="524"/>
      <c r="E12" s="42">
        <v>39.799999999999997</v>
      </c>
      <c r="F12" s="265">
        <v>4580</v>
      </c>
      <c r="G12" s="264">
        <f t="shared" si="11"/>
        <v>182284</v>
      </c>
      <c r="H12" s="125" t="s">
        <v>79</v>
      </c>
      <c r="I12" s="267">
        <v>17</v>
      </c>
      <c r="J12" s="37">
        <v>1500</v>
      </c>
      <c r="K12" s="17">
        <f t="shared" si="1"/>
        <v>88.235294117647058</v>
      </c>
      <c r="L12" s="267">
        <v>17</v>
      </c>
      <c r="M12" s="18">
        <f t="shared" si="12"/>
        <v>1431.2499999999998</v>
      </c>
      <c r="N12" s="17">
        <f t="shared" si="3"/>
        <v>84.191176470588218</v>
      </c>
      <c r="O12" s="19">
        <f t="shared" si="4"/>
        <v>0</v>
      </c>
      <c r="P12" s="20">
        <f t="shared" si="5"/>
        <v>-4.0441176470588402</v>
      </c>
      <c r="Q12" s="268">
        <f t="shared" si="6"/>
        <v>0.9541666666666665</v>
      </c>
      <c r="R12" s="489"/>
      <c r="S12" s="40">
        <v>0.27013888888888887</v>
      </c>
      <c r="T12" s="40">
        <v>0.40347222222222223</v>
      </c>
      <c r="U12" s="264">
        <f t="shared" ref="U12" si="14">IF(S12=TIME(17,0,0),"",(S12-T11)*24*60)</f>
        <v>26.999999999999986</v>
      </c>
      <c r="V12" s="266">
        <f t="shared" si="13"/>
        <v>192.00000000000003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-68.750000000000227</v>
      </c>
      <c r="AF12" s="268">
        <f t="shared" si="9"/>
        <v>0.9541666666666665</v>
      </c>
      <c r="AG12" s="489"/>
    </row>
    <row r="13" spans="1:33" ht="16.5" customHeight="1">
      <c r="A13" s="527" t="s">
        <v>50</v>
      </c>
      <c r="B13" s="42" t="s">
        <v>71</v>
      </c>
      <c r="C13" s="494"/>
      <c r="D13" s="494"/>
      <c r="E13" s="270"/>
      <c r="F13" s="37"/>
      <c r="G13" s="18"/>
      <c r="H13" s="265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1429.969262295082</v>
      </c>
      <c r="N13" s="17">
        <f t="shared" si="3"/>
        <v>79.442736794171225</v>
      </c>
      <c r="O13" s="19">
        <f t="shared" si="4"/>
        <v>0</v>
      </c>
      <c r="P13" s="20">
        <f t="shared" si="5"/>
        <v>-3.8905965391621038</v>
      </c>
      <c r="Q13" s="268">
        <f t="shared" si="6"/>
        <v>0.9533128415300548</v>
      </c>
      <c r="R13" s="489"/>
      <c r="S13" s="40"/>
      <c r="T13" s="40"/>
      <c r="U13" s="17"/>
      <c r="V13" s="266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-70.03073770491801</v>
      </c>
      <c r="AF13" s="268">
        <f t="shared" si="9"/>
        <v>0.95331284153005469</v>
      </c>
      <c r="AG13" s="489"/>
    </row>
    <row r="14" spans="1:33" ht="16.5" customHeight="1">
      <c r="A14" s="525" t="s">
        <v>1542</v>
      </c>
      <c r="B14" s="265" t="s">
        <v>126</v>
      </c>
      <c r="C14" s="515" t="s">
        <v>127</v>
      </c>
      <c r="D14" s="515"/>
      <c r="E14" s="42">
        <v>41</v>
      </c>
      <c r="F14" s="265">
        <v>2017</v>
      </c>
      <c r="G14" s="264">
        <f t="shared" ref="G14:G20" si="15">E14*F14</f>
        <v>82697</v>
      </c>
      <c r="H14" s="125" t="s">
        <v>79</v>
      </c>
      <c r="I14" s="267">
        <v>26</v>
      </c>
      <c r="J14" s="37">
        <v>1500</v>
      </c>
      <c r="K14" s="17">
        <f t="shared" si="1"/>
        <v>57.692307692307693</v>
      </c>
      <c r="L14" s="267">
        <v>26</v>
      </c>
      <c r="M14" s="18">
        <f t="shared" ref="M14:M20" si="16">F14/V14*60</f>
        <v>1440.714285714286</v>
      </c>
      <c r="N14" s="17">
        <f t="shared" si="3"/>
        <v>55.412087912087927</v>
      </c>
      <c r="O14" s="19">
        <f t="shared" si="4"/>
        <v>0</v>
      </c>
      <c r="P14" s="20">
        <f t="shared" si="5"/>
        <v>-2.2802197802197668</v>
      </c>
      <c r="Q14" s="268">
        <f t="shared" si="6"/>
        <v>0.96047619047619071</v>
      </c>
      <c r="R14" s="489">
        <f>Q21</f>
        <v>0.96300591131738578</v>
      </c>
      <c r="S14" s="40">
        <v>0.20833333333333334</v>
      </c>
      <c r="T14" s="40">
        <v>0.26666666666666666</v>
      </c>
      <c r="U14" s="264"/>
      <c r="V14" s="266">
        <f t="shared" ref="V14:V20" si="17">(T14-S14)*24*60</f>
        <v>83.999999999999986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-59.285714285713993</v>
      </c>
      <c r="AF14" s="268">
        <f t="shared" si="9"/>
        <v>0.96047619047619071</v>
      </c>
      <c r="AG14" s="489">
        <f>AF21</f>
        <v>0.96300591131738578</v>
      </c>
    </row>
    <row r="15" spans="1:33" ht="16.5" customHeight="1">
      <c r="A15" s="526" t="s">
        <v>1543</v>
      </c>
      <c r="B15" s="265" t="s">
        <v>128</v>
      </c>
      <c r="C15" s="515" t="s">
        <v>129</v>
      </c>
      <c r="D15" s="515"/>
      <c r="E15" s="42">
        <v>72.400000000000006</v>
      </c>
      <c r="F15" s="265">
        <v>997</v>
      </c>
      <c r="G15" s="264">
        <f t="shared" si="15"/>
        <v>72182.8</v>
      </c>
      <c r="H15" s="125" t="s">
        <v>79</v>
      </c>
      <c r="I15" s="267">
        <v>18</v>
      </c>
      <c r="J15" s="37">
        <v>1500</v>
      </c>
      <c r="K15" s="17">
        <f t="shared" si="1"/>
        <v>83.333333333333329</v>
      </c>
      <c r="L15" s="267">
        <v>18</v>
      </c>
      <c r="M15" s="18">
        <f t="shared" si="16"/>
        <v>1459.024390243902</v>
      </c>
      <c r="N15" s="17">
        <f t="shared" si="3"/>
        <v>81.056910569105668</v>
      </c>
      <c r="O15" s="19">
        <f t="shared" si="4"/>
        <v>0</v>
      </c>
      <c r="P15" s="20">
        <f t="shared" si="5"/>
        <v>-2.2764227642276609</v>
      </c>
      <c r="Q15" s="268">
        <f t="shared" si="6"/>
        <v>0.97268292682926805</v>
      </c>
      <c r="R15" s="489"/>
      <c r="S15" s="40">
        <v>0.27013888888888887</v>
      </c>
      <c r="T15" s="40">
        <v>0.2986111111111111</v>
      </c>
      <c r="U15" s="264">
        <f t="shared" ref="U15:U20" si="18">IF(S15=TIME(17,0,0),"",(S15-T14)*24*60)</f>
        <v>4.9999999999999822</v>
      </c>
      <c r="V15" s="266">
        <f t="shared" si="17"/>
        <v>41.000000000000014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-40.975609756098038</v>
      </c>
      <c r="AF15" s="268">
        <f t="shared" si="9"/>
        <v>0.97268292682926794</v>
      </c>
      <c r="AG15" s="489"/>
    </row>
    <row r="16" spans="1:33" ht="16.5" customHeight="1">
      <c r="A16" s="526" t="s">
        <v>52</v>
      </c>
      <c r="B16" s="265" t="s">
        <v>130</v>
      </c>
      <c r="C16" s="515" t="s">
        <v>131</v>
      </c>
      <c r="D16" s="515"/>
      <c r="E16" s="42">
        <v>50.67</v>
      </c>
      <c r="F16" s="265">
        <v>1112</v>
      </c>
      <c r="G16" s="264">
        <f t="shared" si="15"/>
        <v>56345.04</v>
      </c>
      <c r="H16" s="125" t="s">
        <v>79</v>
      </c>
      <c r="I16" s="267">
        <v>16</v>
      </c>
      <c r="J16" s="37">
        <v>1500</v>
      </c>
      <c r="K16" s="17">
        <f t="shared" si="1"/>
        <v>93.75</v>
      </c>
      <c r="L16" s="267">
        <v>16</v>
      </c>
      <c r="M16" s="18">
        <f t="shared" si="16"/>
        <v>1450.4347826086957</v>
      </c>
      <c r="N16" s="17">
        <f t="shared" si="3"/>
        <v>90.652173913043484</v>
      </c>
      <c r="O16" s="19">
        <f t="shared" si="4"/>
        <v>0</v>
      </c>
      <c r="P16" s="20">
        <f t="shared" si="5"/>
        <v>-3.0978260869565162</v>
      </c>
      <c r="Q16" s="268">
        <f t="shared" si="6"/>
        <v>0.96695652173913049</v>
      </c>
      <c r="R16" s="489"/>
      <c r="S16" s="40">
        <v>0.30208333333333331</v>
      </c>
      <c r="T16" s="40">
        <v>0.33402777777777776</v>
      </c>
      <c r="U16" s="264">
        <f t="shared" si="18"/>
        <v>4.9999999999999822</v>
      </c>
      <c r="V16" s="266">
        <f t="shared" si="17"/>
        <v>46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-49.565217391304259</v>
      </c>
      <c r="AF16" s="268">
        <f t="shared" si="9"/>
        <v>0.96695652173913049</v>
      </c>
      <c r="AG16" s="489"/>
    </row>
    <row r="17" spans="1:33" ht="16.5" customHeight="1">
      <c r="A17" s="526" t="s">
        <v>52</v>
      </c>
      <c r="B17" s="265" t="s">
        <v>103</v>
      </c>
      <c r="C17" s="515" t="s">
        <v>123</v>
      </c>
      <c r="D17" s="515"/>
      <c r="E17" s="42">
        <v>50.98</v>
      </c>
      <c r="F17" s="265">
        <v>700</v>
      </c>
      <c r="G17" s="264">
        <f t="shared" si="15"/>
        <v>35686</v>
      </c>
      <c r="H17" s="125">
        <v>2</v>
      </c>
      <c r="I17" s="267">
        <v>16</v>
      </c>
      <c r="J17" s="37">
        <v>2000</v>
      </c>
      <c r="K17" s="17">
        <f t="shared" si="1"/>
        <v>125</v>
      </c>
      <c r="L17" s="267">
        <v>16</v>
      </c>
      <c r="M17" s="18">
        <f t="shared" si="16"/>
        <v>1909.0909090909158</v>
      </c>
      <c r="N17" s="17">
        <f t="shared" si="3"/>
        <v>119.31818181818224</v>
      </c>
      <c r="O17" s="19">
        <f t="shared" si="4"/>
        <v>0</v>
      </c>
      <c r="P17" s="20">
        <f t="shared" si="5"/>
        <v>-5.6818181818177607</v>
      </c>
      <c r="Q17" s="268">
        <f t="shared" si="6"/>
        <v>0.95454545454545792</v>
      </c>
      <c r="R17" s="489"/>
      <c r="S17" s="40">
        <v>0.70833333333333337</v>
      </c>
      <c r="T17" s="40">
        <v>0.72361111111111109</v>
      </c>
      <c r="U17" s="264" t="str">
        <f t="shared" si="18"/>
        <v/>
      </c>
      <c r="V17" s="266">
        <f t="shared" si="17"/>
        <v>21.999999999999922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-90.909090909084171</v>
      </c>
      <c r="AF17" s="268">
        <f t="shared" si="9"/>
        <v>0.95454545454545792</v>
      </c>
      <c r="AG17" s="489"/>
    </row>
    <row r="18" spans="1:33" ht="16.5" customHeight="1">
      <c r="A18" s="526" t="s">
        <v>1543</v>
      </c>
      <c r="B18" s="265" t="s">
        <v>103</v>
      </c>
      <c r="C18" s="515" t="s">
        <v>132</v>
      </c>
      <c r="D18" s="515"/>
      <c r="E18" s="42">
        <v>50.92</v>
      </c>
      <c r="F18" s="265">
        <v>2233</v>
      </c>
      <c r="G18" s="264">
        <f t="shared" si="15"/>
        <v>113704.36</v>
      </c>
      <c r="H18" s="125" t="s">
        <v>79</v>
      </c>
      <c r="I18" s="267">
        <v>15</v>
      </c>
      <c r="J18" s="37">
        <v>2000</v>
      </c>
      <c r="K18" s="17">
        <f t="shared" si="1"/>
        <v>133.33333333333334</v>
      </c>
      <c r="L18" s="267">
        <v>15</v>
      </c>
      <c r="M18" s="18">
        <f t="shared" si="16"/>
        <v>1913.999999999998</v>
      </c>
      <c r="N18" s="17">
        <f t="shared" si="3"/>
        <v>127.59999999999987</v>
      </c>
      <c r="O18" s="19">
        <f t="shared" si="4"/>
        <v>0</v>
      </c>
      <c r="P18" s="20">
        <f t="shared" si="5"/>
        <v>-5.7333333333334764</v>
      </c>
      <c r="Q18" s="268">
        <f t="shared" si="6"/>
        <v>0.95699999999999896</v>
      </c>
      <c r="R18" s="489"/>
      <c r="S18" s="40">
        <v>0.72916666666666663</v>
      </c>
      <c r="T18" s="40">
        <v>0.77777777777777779</v>
      </c>
      <c r="U18" s="264">
        <f t="shared" si="18"/>
        <v>7.9999999999999716</v>
      </c>
      <c r="V18" s="266">
        <f t="shared" si="17"/>
        <v>70.000000000000071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-86.000000000002046</v>
      </c>
      <c r="AF18" s="268">
        <f t="shared" si="9"/>
        <v>0.95699999999999896</v>
      </c>
      <c r="AG18" s="489"/>
    </row>
    <row r="19" spans="1:33" ht="16.5" customHeight="1">
      <c r="A19" s="526" t="s">
        <v>1543</v>
      </c>
      <c r="B19" s="265" t="s">
        <v>103</v>
      </c>
      <c r="C19" s="521" t="s">
        <v>133</v>
      </c>
      <c r="D19" s="522"/>
      <c r="E19" s="42">
        <v>50.67</v>
      </c>
      <c r="F19" s="265">
        <v>1451</v>
      </c>
      <c r="G19" s="264">
        <f t="shared" si="15"/>
        <v>73522.17</v>
      </c>
      <c r="H19" s="125" t="s">
        <v>79</v>
      </c>
      <c r="I19" s="267">
        <v>15</v>
      </c>
      <c r="J19" s="37">
        <v>2000</v>
      </c>
      <c r="K19" s="17">
        <f t="shared" si="1"/>
        <v>133.33333333333334</v>
      </c>
      <c r="L19" s="267">
        <v>15</v>
      </c>
      <c r="M19" s="18">
        <f t="shared" si="16"/>
        <v>1934.6666666666667</v>
      </c>
      <c r="N19" s="17">
        <f t="shared" si="3"/>
        <v>128.97777777777779</v>
      </c>
      <c r="O19" s="19">
        <f t="shared" si="4"/>
        <v>0</v>
      </c>
      <c r="P19" s="20">
        <f t="shared" si="5"/>
        <v>-4.3555555555555543</v>
      </c>
      <c r="Q19" s="268">
        <f t="shared" si="6"/>
        <v>0.96733333333333338</v>
      </c>
      <c r="R19" s="489"/>
      <c r="S19" s="40">
        <v>0.78263888888888888</v>
      </c>
      <c r="T19" s="40">
        <v>0.81388888888888888</v>
      </c>
      <c r="U19" s="264">
        <f t="shared" si="18"/>
        <v>6.9999999999999751</v>
      </c>
      <c r="V19" s="266">
        <f t="shared" si="17"/>
        <v>45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-65.333333333333258</v>
      </c>
      <c r="AF19" s="268">
        <f t="shared" si="9"/>
        <v>0.96733333333333338</v>
      </c>
      <c r="AG19" s="489"/>
    </row>
    <row r="20" spans="1:33" ht="16.5" customHeight="1">
      <c r="A20" s="526" t="s">
        <v>1543</v>
      </c>
      <c r="B20" s="265" t="s">
        <v>103</v>
      </c>
      <c r="C20" s="271" t="s">
        <v>134</v>
      </c>
      <c r="D20" s="272"/>
      <c r="E20" s="42">
        <v>57.3</v>
      </c>
      <c r="F20" s="265">
        <v>1801</v>
      </c>
      <c r="G20" s="264">
        <f t="shared" si="15"/>
        <v>103197.29999999999</v>
      </c>
      <c r="H20" s="125" t="s">
        <v>79</v>
      </c>
      <c r="I20" s="267">
        <v>13</v>
      </c>
      <c r="J20" s="37">
        <v>2000</v>
      </c>
      <c r="K20" s="17">
        <f t="shared" si="1"/>
        <v>153.84615384615384</v>
      </c>
      <c r="L20" s="267">
        <v>13</v>
      </c>
      <c r="M20" s="18">
        <f t="shared" si="16"/>
        <v>1929.6428571428587</v>
      </c>
      <c r="N20" s="17">
        <f t="shared" si="3"/>
        <v>148.43406593406604</v>
      </c>
      <c r="O20" s="19">
        <f t="shared" si="4"/>
        <v>0</v>
      </c>
      <c r="P20" s="20">
        <f t="shared" si="5"/>
        <v>-5.4120879120877987</v>
      </c>
      <c r="Q20" s="268">
        <f t="shared" si="6"/>
        <v>0.96482142857142927</v>
      </c>
      <c r="R20" s="489"/>
      <c r="S20" s="40">
        <v>0.81874999999999998</v>
      </c>
      <c r="T20" s="40">
        <v>0.85763888888888884</v>
      </c>
      <c r="U20" s="264">
        <f t="shared" si="18"/>
        <v>6.9999999999999751</v>
      </c>
      <c r="V20" s="266">
        <f t="shared" si="17"/>
        <v>55.999999999999957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-70.357142857141298</v>
      </c>
      <c r="AF20" s="268">
        <f t="shared" si="9"/>
        <v>0.96482142857142938</v>
      </c>
      <c r="AG20" s="489"/>
    </row>
    <row r="21" spans="1:33" ht="16.5" customHeight="1">
      <c r="A21" s="526" t="s">
        <v>52</v>
      </c>
      <c r="B21" s="42" t="s">
        <v>71</v>
      </c>
      <c r="C21" s="494"/>
      <c r="D21" s="494"/>
      <c r="E21" s="270"/>
      <c r="F21" s="44"/>
      <c r="G21" s="17"/>
      <c r="H21" s="265"/>
      <c r="I21" s="30">
        <v>17</v>
      </c>
      <c r="J21" s="37">
        <v>1785.7142857142858</v>
      </c>
      <c r="K21" s="17">
        <f t="shared" si="1"/>
        <v>105.0420168067227</v>
      </c>
      <c r="L21" s="30">
        <v>17</v>
      </c>
      <c r="M21" s="18">
        <f>AVERAGE(M14:M20)</f>
        <v>1719.6534130667603</v>
      </c>
      <c r="N21" s="17">
        <f t="shared" si="3"/>
        <v>101.15608312157414</v>
      </c>
      <c r="O21" s="19">
        <f t="shared" si="4"/>
        <v>0</v>
      </c>
      <c r="P21" s="20">
        <f t="shared" si="5"/>
        <v>-3.885933685148558</v>
      </c>
      <c r="Q21" s="268">
        <f t="shared" si="6"/>
        <v>0.96300591131738578</v>
      </c>
      <c r="R21" s="489"/>
      <c r="S21" s="40"/>
      <c r="T21" s="40"/>
      <c r="U21" s="264"/>
      <c r="V21" s="266"/>
      <c r="W21" s="17"/>
      <c r="X21" s="17"/>
      <c r="Y21" s="31">
        <f>SUM(Y14:Y20)</f>
        <v>0</v>
      </c>
      <c r="Z21" s="31">
        <f>SUM(Z14:Z20)</f>
        <v>0</v>
      </c>
      <c r="AA21" s="495"/>
      <c r="AB21" s="495"/>
      <c r="AC21" s="31">
        <v>3</v>
      </c>
      <c r="AD21" s="31">
        <f>SUM(AD14:AD20)</f>
        <v>0</v>
      </c>
      <c r="AE21" s="19">
        <f t="shared" si="8"/>
        <v>-66.060872647525457</v>
      </c>
      <c r="AF21" s="268">
        <f t="shared" si="9"/>
        <v>0.96300591131738578</v>
      </c>
      <c r="AG21" s="489"/>
    </row>
    <row r="22" spans="1:33" ht="15.75" customHeight="1">
      <c r="A22" s="519" t="s">
        <v>56</v>
      </c>
      <c r="B22" s="42" t="s">
        <v>126</v>
      </c>
      <c r="C22" s="515" t="s">
        <v>135</v>
      </c>
      <c r="D22" s="515"/>
      <c r="E22" s="42">
        <v>43.14</v>
      </c>
      <c r="F22" s="265">
        <v>939</v>
      </c>
      <c r="G22" s="264">
        <f t="shared" ref="G22:G28" si="19">E22*F22</f>
        <v>40508.46</v>
      </c>
      <c r="H22" s="125" t="s">
        <v>79</v>
      </c>
      <c r="I22" s="267">
        <v>17</v>
      </c>
      <c r="J22" s="37">
        <v>2000</v>
      </c>
      <c r="K22" s="17">
        <f t="shared" si="1"/>
        <v>117.64705882352941</v>
      </c>
      <c r="L22" s="267">
        <v>17</v>
      </c>
      <c r="M22" s="18">
        <f t="shared" ref="M22:M28" si="20">F22/V22*60</f>
        <v>1942.758620689654</v>
      </c>
      <c r="N22" s="17">
        <f t="shared" si="3"/>
        <v>114.2799188640973</v>
      </c>
      <c r="O22" s="19">
        <f t="shared" si="4"/>
        <v>0</v>
      </c>
      <c r="P22" s="20">
        <f t="shared" si="5"/>
        <v>-3.3671399594321088</v>
      </c>
      <c r="Q22" s="268">
        <f t="shared" si="6"/>
        <v>0.97137931034482705</v>
      </c>
      <c r="R22" s="489">
        <f>Q29</f>
        <v>0.9700777836621215</v>
      </c>
      <c r="S22" s="40">
        <v>0.20833333333333334</v>
      </c>
      <c r="T22" s="40">
        <v>0.22847222222222224</v>
      </c>
      <c r="U22" s="264"/>
      <c r="V22" s="266">
        <f t="shared" ref="V22:V28" si="21">(T22-S22)*24*60</f>
        <v>29.000000000000018</v>
      </c>
      <c r="W22" s="28"/>
      <c r="X22" s="28"/>
      <c r="Y22" s="28"/>
      <c r="Z22" s="28"/>
      <c r="AA22" s="491"/>
      <c r="AB22" s="491"/>
      <c r="AC22" s="154">
        <v>3</v>
      </c>
      <c r="AD22" s="25"/>
      <c r="AE22" s="19">
        <f t="shared" si="8"/>
        <v>-57.241379310346019</v>
      </c>
      <c r="AF22" s="268">
        <f t="shared" si="9"/>
        <v>0.97137931034482694</v>
      </c>
      <c r="AG22" s="489">
        <f>AF29</f>
        <v>0.9700777836621215</v>
      </c>
    </row>
    <row r="23" spans="1:33" ht="15.75" customHeight="1">
      <c r="A23" s="520" t="s">
        <v>1544</v>
      </c>
      <c r="B23" s="42" t="s">
        <v>103</v>
      </c>
      <c r="C23" s="515" t="s">
        <v>137</v>
      </c>
      <c r="D23" s="515"/>
      <c r="E23" s="42">
        <v>57.73</v>
      </c>
      <c r="F23" s="265">
        <v>2305</v>
      </c>
      <c r="G23" s="264">
        <f t="shared" si="19"/>
        <v>133067.65</v>
      </c>
      <c r="H23" s="125" t="s">
        <v>79</v>
      </c>
      <c r="I23" s="267">
        <v>14</v>
      </c>
      <c r="J23" s="37">
        <v>2000</v>
      </c>
      <c r="K23" s="17">
        <f t="shared" si="1"/>
        <v>142.85714285714286</v>
      </c>
      <c r="L23" s="267">
        <v>14</v>
      </c>
      <c r="M23" s="18">
        <f t="shared" si="20"/>
        <v>1920.8333333333328</v>
      </c>
      <c r="N23" s="17">
        <f t="shared" si="3"/>
        <v>137.20238095238091</v>
      </c>
      <c r="O23" s="19">
        <f t="shared" si="4"/>
        <v>0</v>
      </c>
      <c r="P23" s="20">
        <f t="shared" si="5"/>
        <v>-5.6547619047619548</v>
      </c>
      <c r="Q23" s="268">
        <f t="shared" si="6"/>
        <v>0.96041666666666636</v>
      </c>
      <c r="R23" s="489"/>
      <c r="S23" s="40">
        <v>0.23402777777777781</v>
      </c>
      <c r="T23" s="40">
        <v>0.28402777777777782</v>
      </c>
      <c r="U23" s="264">
        <f t="shared" ref="U23:U28" si="22">IF(S23=TIME(17,0,0),"",(S23-T22)*24*60)</f>
        <v>8.0000000000000107</v>
      </c>
      <c r="V23" s="266">
        <f t="shared" si="21"/>
        <v>72.000000000000028</v>
      </c>
      <c r="W23" s="23"/>
      <c r="X23" s="264"/>
      <c r="Y23" s="264"/>
      <c r="Z23" s="264"/>
      <c r="AA23" s="491"/>
      <c r="AB23" s="491"/>
      <c r="AC23" s="154"/>
      <c r="AD23" s="25"/>
      <c r="AE23" s="19">
        <f t="shared" si="8"/>
        <v>-79.166666666667197</v>
      </c>
      <c r="AF23" s="268">
        <f t="shared" si="9"/>
        <v>0.96041666666666636</v>
      </c>
      <c r="AG23" s="489"/>
    </row>
    <row r="24" spans="1:33" ht="15.75" customHeight="1">
      <c r="A24" s="520" t="s">
        <v>56</v>
      </c>
      <c r="B24" s="42" t="s">
        <v>103</v>
      </c>
      <c r="C24" s="515" t="s">
        <v>138</v>
      </c>
      <c r="D24" s="515"/>
      <c r="E24" s="42">
        <v>53.68</v>
      </c>
      <c r="F24" s="265">
        <v>1357</v>
      </c>
      <c r="G24" s="264">
        <f t="shared" si="19"/>
        <v>72843.759999999995</v>
      </c>
      <c r="H24" s="125" t="s">
        <v>79</v>
      </c>
      <c r="I24" s="267">
        <v>16</v>
      </c>
      <c r="J24" s="37">
        <v>2000</v>
      </c>
      <c r="K24" s="17">
        <f t="shared" si="1"/>
        <v>125</v>
      </c>
      <c r="L24" s="267">
        <v>16</v>
      </c>
      <c r="M24" s="18">
        <f t="shared" si="20"/>
        <v>1938.5714285714278</v>
      </c>
      <c r="N24" s="17">
        <f t="shared" si="3"/>
        <v>121.16071428571423</v>
      </c>
      <c r="O24" s="19">
        <f t="shared" si="4"/>
        <v>0</v>
      </c>
      <c r="P24" s="20">
        <f t="shared" si="5"/>
        <v>-3.839285714285765</v>
      </c>
      <c r="Q24" s="268">
        <f t="shared" si="6"/>
        <v>0.96928571428571386</v>
      </c>
      <c r="R24" s="489"/>
      <c r="S24" s="40">
        <v>0.28958333333333336</v>
      </c>
      <c r="T24" s="40">
        <v>0.31875000000000003</v>
      </c>
      <c r="U24" s="264">
        <f t="shared" si="22"/>
        <v>7.9999999999999716</v>
      </c>
      <c r="V24" s="266">
        <f t="shared" si="21"/>
        <v>42.000000000000014</v>
      </c>
      <c r="W24" s="23"/>
      <c r="X24" s="264"/>
      <c r="Y24" s="264"/>
      <c r="Z24" s="264"/>
      <c r="AA24" s="491"/>
      <c r="AB24" s="491"/>
      <c r="AC24" s="154"/>
      <c r="AD24" s="25"/>
      <c r="AE24" s="19">
        <f t="shared" si="8"/>
        <v>-61.428571428572241</v>
      </c>
      <c r="AF24" s="268">
        <f t="shared" si="9"/>
        <v>0.96928571428571386</v>
      </c>
      <c r="AG24" s="489"/>
    </row>
    <row r="25" spans="1:33" ht="15.75" customHeight="1">
      <c r="A25" s="520" t="s">
        <v>1544</v>
      </c>
      <c r="B25" s="42" t="s">
        <v>103</v>
      </c>
      <c r="C25" s="515" t="s">
        <v>140</v>
      </c>
      <c r="D25" s="515"/>
      <c r="E25" s="42">
        <v>50.49</v>
      </c>
      <c r="F25" s="265">
        <v>1863</v>
      </c>
      <c r="G25" s="264">
        <f t="shared" si="19"/>
        <v>94062.87000000001</v>
      </c>
      <c r="H25" s="125" t="s">
        <v>79</v>
      </c>
      <c r="I25" s="267">
        <v>15</v>
      </c>
      <c r="J25" s="37">
        <v>2000</v>
      </c>
      <c r="K25" s="17">
        <f t="shared" si="1"/>
        <v>133.33333333333334</v>
      </c>
      <c r="L25" s="267">
        <v>15</v>
      </c>
      <c r="M25" s="18">
        <f t="shared" si="20"/>
        <v>1927.241379310346</v>
      </c>
      <c r="N25" s="17">
        <f t="shared" si="3"/>
        <v>128.48275862068974</v>
      </c>
      <c r="O25" s="19">
        <f t="shared" si="4"/>
        <v>0</v>
      </c>
      <c r="P25" s="20">
        <f t="shared" si="5"/>
        <v>-4.8505747126436063</v>
      </c>
      <c r="Q25" s="268">
        <f t="shared" si="6"/>
        <v>0.963620689655173</v>
      </c>
      <c r="R25" s="489"/>
      <c r="S25" s="40">
        <v>0.70833333333333337</v>
      </c>
      <c r="T25" s="40">
        <v>0.74861111111111112</v>
      </c>
      <c r="U25" s="264" t="str">
        <f t="shared" si="22"/>
        <v/>
      </c>
      <c r="V25" s="266">
        <f t="shared" si="21"/>
        <v>57.999999999999957</v>
      </c>
      <c r="W25" s="23"/>
      <c r="X25" s="264"/>
      <c r="Y25" s="264"/>
      <c r="Z25" s="264"/>
      <c r="AA25" s="491"/>
      <c r="AB25" s="491"/>
      <c r="AC25" s="154"/>
      <c r="AD25" s="25"/>
      <c r="AE25" s="19">
        <f t="shared" si="8"/>
        <v>-72.758620689653981</v>
      </c>
      <c r="AF25" s="268">
        <f t="shared" si="9"/>
        <v>0.963620689655173</v>
      </c>
      <c r="AG25" s="489"/>
    </row>
    <row r="26" spans="1:33" ht="15.75" customHeight="1">
      <c r="A26" s="520" t="s">
        <v>56</v>
      </c>
      <c r="B26" s="42" t="s">
        <v>103</v>
      </c>
      <c r="C26" s="515" t="s">
        <v>141</v>
      </c>
      <c r="D26" s="515"/>
      <c r="E26" s="42">
        <v>57.73</v>
      </c>
      <c r="F26" s="265">
        <v>1085</v>
      </c>
      <c r="G26" s="264">
        <f t="shared" si="19"/>
        <v>62637.049999999996</v>
      </c>
      <c r="H26" s="125" t="s">
        <v>79</v>
      </c>
      <c r="I26" s="267">
        <v>16</v>
      </c>
      <c r="J26" s="37">
        <v>1500</v>
      </c>
      <c r="K26" s="17">
        <f t="shared" si="1"/>
        <v>93.75</v>
      </c>
      <c r="L26" s="267">
        <v>16</v>
      </c>
      <c r="M26" s="18">
        <f t="shared" si="20"/>
        <v>1446.6666666666667</v>
      </c>
      <c r="N26" s="17">
        <f t="shared" si="3"/>
        <v>90.416666666666671</v>
      </c>
      <c r="O26" s="19">
        <f t="shared" si="4"/>
        <v>0</v>
      </c>
      <c r="P26" s="20">
        <f t="shared" si="5"/>
        <v>-3.3333333333333286</v>
      </c>
      <c r="Q26" s="268">
        <f t="shared" si="6"/>
        <v>0.96444444444444455</v>
      </c>
      <c r="R26" s="489"/>
      <c r="S26" s="40">
        <v>0.75277777777777777</v>
      </c>
      <c r="T26" s="40">
        <v>0.78402777777777777</v>
      </c>
      <c r="U26" s="264">
        <f t="shared" si="22"/>
        <v>5.9999999999999787</v>
      </c>
      <c r="V26" s="266">
        <f t="shared" si="21"/>
        <v>45</v>
      </c>
      <c r="W26" s="23"/>
      <c r="X26" s="264"/>
      <c r="Y26" s="264"/>
      <c r="Z26" s="264"/>
      <c r="AA26" s="491"/>
      <c r="AB26" s="491"/>
      <c r="AC26" s="154"/>
      <c r="AD26" s="25"/>
      <c r="AE26" s="19">
        <f t="shared" si="8"/>
        <v>-53.333333333333258</v>
      </c>
      <c r="AF26" s="268">
        <f t="shared" si="9"/>
        <v>0.96444444444444455</v>
      </c>
      <c r="AG26" s="489"/>
    </row>
    <row r="27" spans="1:33" ht="15.75" customHeight="1">
      <c r="A27" s="520" t="s">
        <v>56</v>
      </c>
      <c r="B27" s="42" t="s">
        <v>103</v>
      </c>
      <c r="C27" s="515" t="s">
        <v>108</v>
      </c>
      <c r="D27" s="515"/>
      <c r="E27" s="42">
        <v>54.29</v>
      </c>
      <c r="F27" s="265">
        <v>600</v>
      </c>
      <c r="G27" s="264">
        <f t="shared" si="19"/>
        <v>32574</v>
      </c>
      <c r="H27" s="125">
        <v>2</v>
      </c>
      <c r="I27" s="267">
        <v>20</v>
      </c>
      <c r="J27" s="37">
        <v>2000</v>
      </c>
      <c r="K27" s="17">
        <f t="shared" si="1"/>
        <v>100</v>
      </c>
      <c r="L27" s="267">
        <v>20</v>
      </c>
      <c r="M27" s="18">
        <f t="shared" si="20"/>
        <v>2000.000000000007</v>
      </c>
      <c r="N27" s="17">
        <f t="shared" si="3"/>
        <v>100.00000000000036</v>
      </c>
      <c r="O27" s="19">
        <f t="shared" si="4"/>
        <v>0</v>
      </c>
      <c r="P27" s="20">
        <f t="shared" si="5"/>
        <v>3.5527136788005009E-13</v>
      </c>
      <c r="Q27" s="268">
        <f t="shared" si="6"/>
        <v>1.0000000000000036</v>
      </c>
      <c r="R27" s="489"/>
      <c r="S27" s="40">
        <v>0.7895833333333333</v>
      </c>
      <c r="T27" s="40">
        <v>0.80208333333333326</v>
      </c>
      <c r="U27" s="264">
        <f t="shared" si="22"/>
        <v>7.9999999999999716</v>
      </c>
      <c r="V27" s="266">
        <f t="shared" si="21"/>
        <v>17.999999999999936</v>
      </c>
      <c r="W27" s="23"/>
      <c r="X27" s="28"/>
      <c r="Y27" s="28"/>
      <c r="Z27" s="28"/>
      <c r="AA27" s="491"/>
      <c r="AB27" s="491"/>
      <c r="AC27" s="154"/>
      <c r="AD27" s="25"/>
      <c r="AE27" s="19">
        <f t="shared" si="8"/>
        <v>7.0485839387401938E-12</v>
      </c>
      <c r="AF27" s="268">
        <f t="shared" si="9"/>
        <v>1.0000000000000036</v>
      </c>
      <c r="AG27" s="489"/>
    </row>
    <row r="28" spans="1:33" ht="15.75" customHeight="1">
      <c r="A28" s="520" t="s">
        <v>56</v>
      </c>
      <c r="B28" s="42" t="s">
        <v>103</v>
      </c>
      <c r="C28" s="515" t="s">
        <v>142</v>
      </c>
      <c r="D28" s="515"/>
      <c r="E28" s="42">
        <v>53.68</v>
      </c>
      <c r="F28" s="265">
        <v>1985</v>
      </c>
      <c r="G28" s="264">
        <f t="shared" si="19"/>
        <v>106554.8</v>
      </c>
      <c r="H28" s="125" t="s">
        <v>79</v>
      </c>
      <c r="I28" s="267">
        <v>16</v>
      </c>
      <c r="J28" s="37">
        <v>1500</v>
      </c>
      <c r="K28" s="17">
        <f t="shared" si="1"/>
        <v>93.75</v>
      </c>
      <c r="L28" s="267">
        <v>16</v>
      </c>
      <c r="M28" s="18">
        <f t="shared" si="20"/>
        <v>1434.9397590361441</v>
      </c>
      <c r="N28" s="17">
        <f t="shared" si="3"/>
        <v>89.683734939759006</v>
      </c>
      <c r="O28" s="19">
        <f t="shared" si="4"/>
        <v>0</v>
      </c>
      <c r="P28" s="20">
        <f t="shared" si="5"/>
        <v>-4.066265060240994</v>
      </c>
      <c r="Q28" s="268">
        <f t="shared" si="6"/>
        <v>0.95662650602409605</v>
      </c>
      <c r="R28" s="489"/>
      <c r="S28" s="40">
        <v>0.80555555555555547</v>
      </c>
      <c r="T28" s="40">
        <v>0.86319444444444438</v>
      </c>
      <c r="U28" s="264">
        <f t="shared" si="22"/>
        <v>4.9999999999999822</v>
      </c>
      <c r="V28" s="266">
        <f t="shared" si="21"/>
        <v>83.000000000000028</v>
      </c>
      <c r="W28" s="23"/>
      <c r="X28" s="28"/>
      <c r="Y28" s="29"/>
      <c r="Z28" s="29"/>
      <c r="AA28" s="503"/>
      <c r="AB28" s="504"/>
      <c r="AC28" s="154"/>
      <c r="AD28" s="25"/>
      <c r="AE28" s="19">
        <f t="shared" si="8"/>
        <v>-65.060240963855904</v>
      </c>
      <c r="AF28" s="268">
        <f t="shared" si="9"/>
        <v>0.95662650602409605</v>
      </c>
      <c r="AG28" s="489"/>
    </row>
    <row r="29" spans="1:33" ht="15.75" customHeight="1">
      <c r="A29" s="520" t="s">
        <v>1544</v>
      </c>
      <c r="B29" s="42" t="s">
        <v>1545</v>
      </c>
      <c r="C29" s="494"/>
      <c r="D29" s="494"/>
      <c r="E29" s="270"/>
      <c r="F29" s="265"/>
      <c r="G29" s="264"/>
      <c r="H29" s="265"/>
      <c r="I29" s="30">
        <v>16.285714285714285</v>
      </c>
      <c r="J29" s="37">
        <v>1857.1428571428571</v>
      </c>
      <c r="K29" s="17">
        <f t="shared" si="1"/>
        <v>114.03508771929825</v>
      </c>
      <c r="L29" s="30">
        <v>16.285714285714285</v>
      </c>
      <c r="M29" s="18">
        <f>AVERAGE(M22:M28)</f>
        <v>1801.5730268010827</v>
      </c>
      <c r="N29" s="17">
        <f t="shared" si="3"/>
        <v>110.62290515445245</v>
      </c>
      <c r="O29" s="19">
        <f t="shared" si="4"/>
        <v>0</v>
      </c>
      <c r="P29" s="20">
        <f t="shared" si="5"/>
        <v>-3.4121825648457929</v>
      </c>
      <c r="Q29" s="268">
        <f t="shared" si="6"/>
        <v>0.9700777836621215</v>
      </c>
      <c r="R29" s="489"/>
      <c r="S29" s="40"/>
      <c r="T29" s="40"/>
      <c r="U29" s="17"/>
      <c r="V29" s="266"/>
      <c r="W29" s="17"/>
      <c r="X29" s="17"/>
      <c r="Y29" s="31">
        <f>SUM(Y22:Y28)</f>
        <v>0</v>
      </c>
      <c r="Z29" s="31">
        <f>SUM(Z22:Z28)</f>
        <v>0</v>
      </c>
      <c r="AA29" s="495"/>
      <c r="AB29" s="495"/>
      <c r="AC29" s="31">
        <v>3</v>
      </c>
      <c r="AD29" s="31">
        <f>SUM(AD22:AD28)</f>
        <v>0</v>
      </c>
      <c r="AE29" s="19">
        <f t="shared" si="8"/>
        <v>-55.569830341774377</v>
      </c>
      <c r="AF29" s="268">
        <f t="shared" si="9"/>
        <v>0.9700777836621215</v>
      </c>
      <c r="AG29" s="489"/>
    </row>
    <row r="30" spans="1:33" ht="15.75" customHeight="1">
      <c r="A30" s="518" t="s">
        <v>1546</v>
      </c>
      <c r="B30" s="42" t="s">
        <v>80</v>
      </c>
      <c r="C30" s="515" t="s">
        <v>81</v>
      </c>
      <c r="D30" s="515"/>
      <c r="E30" s="42">
        <v>31.29</v>
      </c>
      <c r="F30" s="265">
        <v>7153</v>
      </c>
      <c r="G30" s="264">
        <f t="shared" ref="G30:G34" si="23">E30*F30</f>
        <v>223817.37</v>
      </c>
      <c r="H30" s="125" t="s">
        <v>79</v>
      </c>
      <c r="I30" s="267">
        <v>18</v>
      </c>
      <c r="J30" s="37">
        <v>2400</v>
      </c>
      <c r="K30" s="17">
        <f t="shared" si="1"/>
        <v>133.33333333333334</v>
      </c>
      <c r="L30" s="267">
        <v>18</v>
      </c>
      <c r="M30" s="18">
        <f t="shared" ref="M30:M34" si="24">F30/V30*60</f>
        <v>2282.8723404255311</v>
      </c>
      <c r="N30" s="17">
        <f t="shared" si="3"/>
        <v>126.82624113475173</v>
      </c>
      <c r="O30" s="19">
        <f t="shared" si="4"/>
        <v>0</v>
      </c>
      <c r="P30" s="20">
        <f t="shared" si="5"/>
        <v>-6.507092198581617</v>
      </c>
      <c r="Q30" s="268">
        <f t="shared" si="6"/>
        <v>0.95119680851063793</v>
      </c>
      <c r="R30" s="489">
        <f>Q35</f>
        <v>0.95549580031923254</v>
      </c>
      <c r="S30" s="40">
        <v>8.3333333333333329E-2</v>
      </c>
      <c r="T30" s="40">
        <v>0.21388888888888891</v>
      </c>
      <c r="U30" s="264"/>
      <c r="V30" s="266">
        <f t="shared" ref="V30:V34" si="25">(T30-S30)*24*60</f>
        <v>188.00000000000006</v>
      </c>
      <c r="W30" s="23">
        <f>T30</f>
        <v>0.21388888888888891</v>
      </c>
      <c r="X30" s="23">
        <f>S31</f>
        <v>0.23333333333333334</v>
      </c>
      <c r="Y30" s="23"/>
      <c r="Z30" s="23"/>
      <c r="AA30" s="491"/>
      <c r="AB30" s="491"/>
      <c r="AC30" s="154">
        <v>6</v>
      </c>
      <c r="AD30" s="25"/>
      <c r="AE30" s="19">
        <f t="shared" si="8"/>
        <v>-117.12765957446891</v>
      </c>
      <c r="AF30" s="268">
        <f t="shared" si="9"/>
        <v>0.95119680851063793</v>
      </c>
      <c r="AG30" s="489">
        <f>AF35</f>
        <v>0.95549580031923254</v>
      </c>
    </row>
    <row r="31" spans="1:33" ht="15.75" customHeight="1">
      <c r="A31" s="518" t="s">
        <v>1546</v>
      </c>
      <c r="B31" s="42" t="s">
        <v>80</v>
      </c>
      <c r="C31" s="515" t="s">
        <v>82</v>
      </c>
      <c r="D31" s="515"/>
      <c r="E31" s="42">
        <v>26.2</v>
      </c>
      <c r="F31" s="265">
        <v>3857</v>
      </c>
      <c r="G31" s="264">
        <f t="shared" si="23"/>
        <v>101053.4</v>
      </c>
      <c r="H31" s="125" t="s">
        <v>79</v>
      </c>
      <c r="I31" s="267">
        <v>20</v>
      </c>
      <c r="J31" s="37">
        <v>2400</v>
      </c>
      <c r="K31" s="17">
        <f t="shared" si="1"/>
        <v>120</v>
      </c>
      <c r="L31" s="267">
        <v>20</v>
      </c>
      <c r="M31" s="18">
        <f t="shared" si="24"/>
        <v>2291.2871287128705</v>
      </c>
      <c r="N31" s="17">
        <f t="shared" si="3"/>
        <v>114.56435643564353</v>
      </c>
      <c r="O31" s="19">
        <f t="shared" si="4"/>
        <v>0</v>
      </c>
      <c r="P31" s="20">
        <f t="shared" si="5"/>
        <v>-5.435643564356468</v>
      </c>
      <c r="Q31" s="268">
        <f t="shared" si="6"/>
        <v>0.95470297029702944</v>
      </c>
      <c r="R31" s="489"/>
      <c r="S31" s="40">
        <v>0.23333333333333334</v>
      </c>
      <c r="T31" s="40">
        <v>0.30347222222222225</v>
      </c>
      <c r="U31" s="264">
        <f t="shared" ref="U31:U34" si="26">(S31-T30)*24*60</f>
        <v>27.999999999999979</v>
      </c>
      <c r="V31" s="266">
        <f t="shared" si="25"/>
        <v>101.00000000000004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-108.71287128712947</v>
      </c>
      <c r="AF31" s="268">
        <f t="shared" si="9"/>
        <v>0.95470297029702944</v>
      </c>
      <c r="AG31" s="489"/>
    </row>
    <row r="32" spans="1:33" ht="15.75" customHeight="1">
      <c r="A32" s="518" t="s">
        <v>1546</v>
      </c>
      <c r="B32" s="42" t="s">
        <v>80</v>
      </c>
      <c r="C32" s="515" t="s">
        <v>83</v>
      </c>
      <c r="D32" s="515"/>
      <c r="E32" s="42">
        <v>25.99</v>
      </c>
      <c r="F32" s="265">
        <v>3377</v>
      </c>
      <c r="G32" s="264">
        <f t="shared" si="23"/>
        <v>87768.23</v>
      </c>
      <c r="H32" s="125" t="s">
        <v>79</v>
      </c>
      <c r="I32" s="267">
        <v>14</v>
      </c>
      <c r="J32" s="37">
        <v>2400</v>
      </c>
      <c r="K32" s="17">
        <f t="shared" si="1"/>
        <v>171.42857142857142</v>
      </c>
      <c r="L32" s="267">
        <v>14</v>
      </c>
      <c r="M32" s="18">
        <f t="shared" si="24"/>
        <v>2302.5</v>
      </c>
      <c r="N32" s="17">
        <f t="shared" si="3"/>
        <v>164.46428571428572</v>
      </c>
      <c r="O32" s="19">
        <f t="shared" si="4"/>
        <v>0</v>
      </c>
      <c r="P32" s="20">
        <f t="shared" si="5"/>
        <v>-6.964285714285694</v>
      </c>
      <c r="Q32" s="268">
        <f t="shared" si="6"/>
        <v>0.95937500000000009</v>
      </c>
      <c r="R32" s="489"/>
      <c r="S32" s="40">
        <v>0.30694444444444446</v>
      </c>
      <c r="T32" s="40">
        <v>0.36805555555555558</v>
      </c>
      <c r="U32" s="264">
        <f t="shared" si="26"/>
        <v>4.9999999999999822</v>
      </c>
      <c r="V32" s="266">
        <f t="shared" si="25"/>
        <v>88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-97.5</v>
      </c>
      <c r="AF32" s="268">
        <f t="shared" si="9"/>
        <v>0.95937499999999998</v>
      </c>
      <c r="AG32" s="489"/>
    </row>
    <row r="33" spans="1:33" ht="15.75" customHeight="1">
      <c r="A33" s="518" t="s">
        <v>1546</v>
      </c>
      <c r="B33" s="42" t="s">
        <v>80</v>
      </c>
      <c r="C33" s="515" t="s">
        <v>84</v>
      </c>
      <c r="D33" s="515"/>
      <c r="E33" s="42">
        <v>20.52</v>
      </c>
      <c r="F33" s="265">
        <v>3134</v>
      </c>
      <c r="G33" s="264">
        <f t="shared" si="23"/>
        <v>64309.68</v>
      </c>
      <c r="H33" s="125" t="s">
        <v>79</v>
      </c>
      <c r="I33" s="267">
        <v>18</v>
      </c>
      <c r="J33" s="37">
        <v>2400</v>
      </c>
      <c r="K33" s="17">
        <f t="shared" si="1"/>
        <v>133.33333333333334</v>
      </c>
      <c r="L33" s="267">
        <v>18</v>
      </c>
      <c r="M33" s="18">
        <f t="shared" si="24"/>
        <v>2293.170731707316</v>
      </c>
      <c r="N33" s="17">
        <f t="shared" si="3"/>
        <v>127.39837398373977</v>
      </c>
      <c r="O33" s="19">
        <f t="shared" si="4"/>
        <v>0</v>
      </c>
      <c r="P33" s="20">
        <f t="shared" si="5"/>
        <v>-5.9349593495935693</v>
      </c>
      <c r="Q33" s="268">
        <f t="shared" si="6"/>
        <v>0.95548780487804819</v>
      </c>
      <c r="R33" s="489"/>
      <c r="S33" s="40">
        <v>0.37222222222222223</v>
      </c>
      <c r="T33" s="40">
        <v>0.4291666666666667</v>
      </c>
      <c r="U33" s="264">
        <f t="shared" si="26"/>
        <v>5.9999999999999787</v>
      </c>
      <c r="V33" s="266">
        <f t="shared" si="25"/>
        <v>82.000000000000028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-106.82926829268399</v>
      </c>
      <c r="AF33" s="268">
        <f t="shared" si="9"/>
        <v>0.9554878048780483</v>
      </c>
      <c r="AG33" s="489"/>
    </row>
    <row r="34" spans="1:33" ht="15.75" customHeight="1">
      <c r="A34" s="518" t="s">
        <v>1546</v>
      </c>
      <c r="B34" s="42" t="s">
        <v>80</v>
      </c>
      <c r="C34" s="515" t="s">
        <v>85</v>
      </c>
      <c r="D34" s="515"/>
      <c r="E34" s="42">
        <v>25.98</v>
      </c>
      <c r="F34" s="265">
        <v>2564</v>
      </c>
      <c r="G34" s="264">
        <f t="shared" si="23"/>
        <v>66612.72</v>
      </c>
      <c r="H34" s="125" t="s">
        <v>79</v>
      </c>
      <c r="I34" s="267">
        <v>21</v>
      </c>
      <c r="J34" s="37">
        <v>2400</v>
      </c>
      <c r="K34" s="17">
        <f t="shared" si="1"/>
        <v>114.28571428571429</v>
      </c>
      <c r="L34" s="267">
        <v>21</v>
      </c>
      <c r="M34" s="18">
        <f t="shared" si="24"/>
        <v>2296.1194029850744</v>
      </c>
      <c r="N34" s="17">
        <f t="shared" si="3"/>
        <v>109.33901918976545</v>
      </c>
      <c r="O34" s="19">
        <f t="shared" si="4"/>
        <v>0</v>
      </c>
      <c r="P34" s="20">
        <f t="shared" si="5"/>
        <v>-4.94669509594884</v>
      </c>
      <c r="Q34" s="268">
        <f t="shared" si="6"/>
        <v>0.9567164179104477</v>
      </c>
      <c r="R34" s="489"/>
      <c r="S34" s="40">
        <v>0.43263888888888891</v>
      </c>
      <c r="T34" s="40">
        <v>0.47916666666666669</v>
      </c>
      <c r="U34" s="264">
        <f t="shared" si="26"/>
        <v>4.9999999999999822</v>
      </c>
      <c r="V34" s="266">
        <f t="shared" si="25"/>
        <v>67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-103.88059701492557</v>
      </c>
      <c r="AF34" s="268">
        <f t="shared" si="9"/>
        <v>0.9567164179104477</v>
      </c>
      <c r="AG34" s="489"/>
    </row>
    <row r="35" spans="1:33" ht="15.75" customHeight="1">
      <c r="A35" s="518" t="s">
        <v>1546</v>
      </c>
      <c r="B35" s="42" t="s">
        <v>1545</v>
      </c>
      <c r="C35" s="494"/>
      <c r="D35" s="494"/>
      <c r="E35" s="270"/>
      <c r="F35" s="265"/>
      <c r="G35" s="264"/>
      <c r="H35" s="265"/>
      <c r="I35" s="30">
        <v>18.2</v>
      </c>
      <c r="J35" s="37">
        <v>2400</v>
      </c>
      <c r="K35" s="17">
        <f t="shared" si="1"/>
        <v>131.86813186813188</v>
      </c>
      <c r="L35" s="30">
        <v>18.2</v>
      </c>
      <c r="M35" s="18">
        <f>AVERAGE(M30:M34)</f>
        <v>2293.1899207661581</v>
      </c>
      <c r="N35" s="17">
        <f t="shared" si="3"/>
        <v>125.99944619594277</v>
      </c>
      <c r="O35" s="19">
        <f t="shared" si="4"/>
        <v>0</v>
      </c>
      <c r="P35" s="20">
        <f t="shared" si="5"/>
        <v>-5.8686856721891161</v>
      </c>
      <c r="Q35" s="268">
        <f t="shared" si="6"/>
        <v>0.95549580031923254</v>
      </c>
      <c r="R35" s="489"/>
      <c r="S35" s="40"/>
      <c r="T35" s="40"/>
      <c r="U35" s="264"/>
      <c r="V35" s="266"/>
      <c r="W35" s="264"/>
      <c r="X35" s="264"/>
      <c r="Y35" s="31">
        <f>SUM(Y30:Y34)</f>
        <v>0</v>
      </c>
      <c r="Z35" s="31">
        <f>SUM(Z30:Z34)</f>
        <v>0</v>
      </c>
      <c r="AA35" s="495"/>
      <c r="AB35" s="495"/>
      <c r="AC35" s="31">
        <v>6</v>
      </c>
      <c r="AD35" s="31">
        <f>SUM(AD30:AD34)</f>
        <v>0</v>
      </c>
      <c r="AE35" s="19">
        <f t="shared" si="8"/>
        <v>-106.81007923384186</v>
      </c>
      <c r="AF35" s="268">
        <f t="shared" si="9"/>
        <v>0.95549580031923254</v>
      </c>
      <c r="AG35" s="489"/>
    </row>
    <row r="36" spans="1:33" ht="15.75" customHeight="1">
      <c r="A36" s="516" t="s">
        <v>61</v>
      </c>
      <c r="B36" s="42" t="s">
        <v>80</v>
      </c>
      <c r="C36" s="490" t="s">
        <v>87</v>
      </c>
      <c r="D36" s="490"/>
      <c r="E36" s="42">
        <v>26.2</v>
      </c>
      <c r="F36" s="265">
        <v>4959</v>
      </c>
      <c r="G36" s="264">
        <f t="shared" ref="G36:G42" si="27">E36*F36</f>
        <v>129925.8</v>
      </c>
      <c r="H36" s="125" t="s">
        <v>79</v>
      </c>
      <c r="I36" s="267">
        <v>18</v>
      </c>
      <c r="J36" s="37">
        <v>2400</v>
      </c>
      <c r="K36" s="17">
        <f t="shared" si="1"/>
        <v>133.33333333333334</v>
      </c>
      <c r="L36" s="267">
        <v>18</v>
      </c>
      <c r="M36" s="18">
        <f t="shared" ref="M36:M42" si="28">F36/V36*60</f>
        <v>2288.7692307692305</v>
      </c>
      <c r="N36" s="17">
        <f t="shared" si="3"/>
        <v>127.15384615384613</v>
      </c>
      <c r="O36" s="19">
        <f t="shared" si="4"/>
        <v>0</v>
      </c>
      <c r="P36" s="20">
        <f t="shared" si="5"/>
        <v>-6.1794871794872108</v>
      </c>
      <c r="Q36" s="268">
        <f t="shared" si="6"/>
        <v>0.95365384615384596</v>
      </c>
      <c r="R36" s="489">
        <f>Q43</f>
        <v>0.95889624657377881</v>
      </c>
      <c r="S36" s="40">
        <v>8.3333333333333329E-2</v>
      </c>
      <c r="T36" s="40">
        <v>0.1736111111111111</v>
      </c>
      <c r="U36" s="264"/>
      <c r="V36" s="266">
        <f t="shared" ref="V36:V42" si="29">(T36-S36)*24*60</f>
        <v>130</v>
      </c>
      <c r="W36" s="28">
        <f>T36</f>
        <v>0.1736111111111111</v>
      </c>
      <c r="X36" s="28">
        <f>S37</f>
        <v>0.19236111111111109</v>
      </c>
      <c r="Y36" s="28"/>
      <c r="Z36" s="28"/>
      <c r="AA36" s="491"/>
      <c r="AB36" s="491"/>
      <c r="AC36" s="154">
        <v>7</v>
      </c>
      <c r="AD36" s="25"/>
      <c r="AE36" s="19">
        <f t="shared" si="8"/>
        <v>-111.23076923076951</v>
      </c>
      <c r="AF36" s="268">
        <f t="shared" si="9"/>
        <v>0.95365384615384607</v>
      </c>
      <c r="AG36" s="489">
        <f>AF43</f>
        <v>0.9588962465737787</v>
      </c>
    </row>
    <row r="37" spans="1:33" ht="15.75" customHeight="1">
      <c r="A37" s="516" t="s">
        <v>61</v>
      </c>
      <c r="B37" s="42" t="s">
        <v>80</v>
      </c>
      <c r="C37" s="490" t="s">
        <v>88</v>
      </c>
      <c r="D37" s="490"/>
      <c r="E37" s="42">
        <v>26.18</v>
      </c>
      <c r="F37" s="265">
        <v>1626</v>
      </c>
      <c r="G37" s="264">
        <f t="shared" si="27"/>
        <v>42568.68</v>
      </c>
      <c r="H37" s="125" t="s">
        <v>79</v>
      </c>
      <c r="I37" s="267">
        <v>19</v>
      </c>
      <c r="J37" s="37">
        <v>2400</v>
      </c>
      <c r="K37" s="17">
        <f t="shared" si="1"/>
        <v>126.31578947368421</v>
      </c>
      <c r="L37" s="267">
        <v>19</v>
      </c>
      <c r="M37" s="18">
        <f t="shared" si="28"/>
        <v>2322.8571428571422</v>
      </c>
      <c r="N37" s="17">
        <f t="shared" si="3"/>
        <v>122.25563909774432</v>
      </c>
      <c r="O37" s="19">
        <f t="shared" si="4"/>
        <v>0</v>
      </c>
      <c r="P37" s="20">
        <f t="shared" si="5"/>
        <v>-4.0601503759398838</v>
      </c>
      <c r="Q37" s="268">
        <f t="shared" si="6"/>
        <v>0.96785714285714264</v>
      </c>
      <c r="R37" s="489"/>
      <c r="S37" s="40">
        <v>0.19236111111111109</v>
      </c>
      <c r="T37" s="40">
        <v>0.22152777777777777</v>
      </c>
      <c r="U37" s="264">
        <f t="shared" ref="U37:U42" si="30">(S37-T36)*24*60</f>
        <v>26.999999999999986</v>
      </c>
      <c r="V37" s="266">
        <f t="shared" si="29"/>
        <v>42.000000000000014</v>
      </c>
      <c r="W37" s="264"/>
      <c r="X37" s="264"/>
      <c r="Y37" s="264"/>
      <c r="Z37" s="264"/>
      <c r="AA37" s="491"/>
      <c r="AB37" s="491"/>
      <c r="AC37" s="154"/>
      <c r="AD37" s="25"/>
      <c r="AE37" s="19">
        <f t="shared" si="8"/>
        <v>-77.142857142857792</v>
      </c>
      <c r="AF37" s="268">
        <f t="shared" si="9"/>
        <v>0.96785714285714264</v>
      </c>
      <c r="AG37" s="489"/>
    </row>
    <row r="38" spans="1:33">
      <c r="A38" s="517" t="s">
        <v>61</v>
      </c>
      <c r="B38" s="42" t="s">
        <v>80</v>
      </c>
      <c r="C38" s="490" t="s">
        <v>89</v>
      </c>
      <c r="D38" s="490"/>
      <c r="E38" s="42">
        <v>26.39</v>
      </c>
      <c r="F38" s="265">
        <v>4843</v>
      </c>
      <c r="G38" s="264">
        <f t="shared" si="27"/>
        <v>127806.77</v>
      </c>
      <c r="H38" s="125" t="s">
        <v>79</v>
      </c>
      <c r="I38" s="267">
        <v>19</v>
      </c>
      <c r="J38" s="37">
        <v>2400</v>
      </c>
      <c r="K38" s="17">
        <f t="shared" si="1"/>
        <v>126.31578947368421</v>
      </c>
      <c r="L38" s="267">
        <v>19</v>
      </c>
      <c r="M38" s="18">
        <f t="shared" si="28"/>
        <v>2288.0314960629926</v>
      </c>
      <c r="N38" s="17">
        <f t="shared" si="3"/>
        <v>120.42271031910487</v>
      </c>
      <c r="O38" s="19">
        <f t="shared" si="4"/>
        <v>0</v>
      </c>
      <c r="P38" s="20">
        <f t="shared" si="5"/>
        <v>-5.8930791545793397</v>
      </c>
      <c r="Q38" s="268">
        <f t="shared" si="6"/>
        <v>0.95334645669291351</v>
      </c>
      <c r="R38" s="489"/>
      <c r="S38" s="40">
        <v>0.22638888888888889</v>
      </c>
      <c r="T38" s="40">
        <v>0.31458333333333333</v>
      </c>
      <c r="U38" s="264">
        <f t="shared" si="30"/>
        <v>7.0000000000000151</v>
      </c>
      <c r="V38" s="266">
        <f t="shared" si="29"/>
        <v>126.99999999999997</v>
      </c>
      <c r="W38" s="264"/>
      <c r="X38" s="264"/>
      <c r="Y38" s="264"/>
      <c r="Z38" s="264"/>
      <c r="AA38" s="491"/>
      <c r="AB38" s="491"/>
      <c r="AC38" s="154"/>
      <c r="AD38" s="25"/>
      <c r="AE38" s="19">
        <f t="shared" si="8"/>
        <v>-111.96850393700743</v>
      </c>
      <c r="AF38" s="268">
        <f t="shared" si="9"/>
        <v>0.95334645669291362</v>
      </c>
      <c r="AG38" s="489"/>
    </row>
    <row r="39" spans="1:33">
      <c r="A39" s="517" t="s">
        <v>1547</v>
      </c>
      <c r="B39" s="42" t="s">
        <v>80</v>
      </c>
      <c r="C39" s="490" t="s">
        <v>90</v>
      </c>
      <c r="D39" s="490"/>
      <c r="E39" s="42">
        <v>22.69</v>
      </c>
      <c r="F39" s="265">
        <v>1396</v>
      </c>
      <c r="G39" s="264">
        <f t="shared" si="27"/>
        <v>31675.24</v>
      </c>
      <c r="H39" s="125" t="s">
        <v>79</v>
      </c>
      <c r="I39" s="267">
        <v>15</v>
      </c>
      <c r="J39" s="37">
        <v>2400</v>
      </c>
      <c r="K39" s="17">
        <f t="shared" si="1"/>
        <v>160</v>
      </c>
      <c r="L39" s="267">
        <v>15</v>
      </c>
      <c r="M39" s="18">
        <f t="shared" si="28"/>
        <v>2326.6666666666652</v>
      </c>
      <c r="N39" s="17">
        <f t="shared" si="3"/>
        <v>155.111111111111</v>
      </c>
      <c r="O39" s="19">
        <f t="shared" si="4"/>
        <v>0</v>
      </c>
      <c r="P39" s="20">
        <f t="shared" si="5"/>
        <v>-4.8888888888889994</v>
      </c>
      <c r="Q39" s="268">
        <f t="shared" si="6"/>
        <v>0.96944444444444378</v>
      </c>
      <c r="R39" s="489"/>
      <c r="S39" s="40">
        <v>0.31805555555555554</v>
      </c>
      <c r="T39" s="40">
        <v>0.34305555555555556</v>
      </c>
      <c r="U39" s="264">
        <f t="shared" si="30"/>
        <v>4.9999999999999822</v>
      </c>
      <c r="V39" s="266">
        <f t="shared" si="29"/>
        <v>36.000000000000028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-73.333333333334849</v>
      </c>
      <c r="AF39" s="268">
        <f t="shared" si="9"/>
        <v>0.96944444444444378</v>
      </c>
      <c r="AG39" s="489"/>
    </row>
    <row r="40" spans="1:33">
      <c r="A40" s="517" t="s">
        <v>61</v>
      </c>
      <c r="B40" s="42" t="s">
        <v>80</v>
      </c>
      <c r="C40" s="490" t="s">
        <v>91</v>
      </c>
      <c r="D40" s="490"/>
      <c r="E40" s="42">
        <v>24.45</v>
      </c>
      <c r="F40" s="265">
        <v>1884</v>
      </c>
      <c r="G40" s="264">
        <f t="shared" si="27"/>
        <v>46063.799999999996</v>
      </c>
      <c r="H40" s="125" t="s">
        <v>79</v>
      </c>
      <c r="I40" s="267">
        <v>20</v>
      </c>
      <c r="J40" s="37">
        <v>2400</v>
      </c>
      <c r="K40" s="17">
        <f t="shared" si="1"/>
        <v>120</v>
      </c>
      <c r="L40" s="267">
        <v>20</v>
      </c>
      <c r="M40" s="18">
        <f t="shared" si="28"/>
        <v>2306.9387755102048</v>
      </c>
      <c r="N40" s="17">
        <f t="shared" si="3"/>
        <v>115.34693877551024</v>
      </c>
      <c r="O40" s="19">
        <f t="shared" si="4"/>
        <v>0</v>
      </c>
      <c r="P40" s="20">
        <f t="shared" si="5"/>
        <v>-4.6530612244897611</v>
      </c>
      <c r="Q40" s="268">
        <f t="shared" si="6"/>
        <v>0.96122448979591868</v>
      </c>
      <c r="R40" s="489"/>
      <c r="S40" s="40">
        <v>0.34791666666666665</v>
      </c>
      <c r="T40" s="40">
        <v>0.38194444444444442</v>
      </c>
      <c r="U40" s="264">
        <f t="shared" si="30"/>
        <v>6.9999999999999751</v>
      </c>
      <c r="V40" s="266">
        <f t="shared" si="29"/>
        <v>48.999999999999986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-93.061224489795222</v>
      </c>
      <c r="AF40" s="268">
        <f t="shared" si="9"/>
        <v>0.96122448979591868</v>
      </c>
      <c r="AG40" s="489"/>
    </row>
    <row r="41" spans="1:33">
      <c r="A41" s="517" t="s">
        <v>1547</v>
      </c>
      <c r="B41" s="42" t="s">
        <v>80</v>
      </c>
      <c r="C41" s="490" t="s">
        <v>1224</v>
      </c>
      <c r="D41" s="490"/>
      <c r="E41" s="42">
        <v>22.69</v>
      </c>
      <c r="F41" s="265">
        <v>6000</v>
      </c>
      <c r="G41" s="264">
        <f t="shared" si="27"/>
        <v>136140</v>
      </c>
      <c r="H41" s="125">
        <v>2</v>
      </c>
      <c r="I41" s="267">
        <v>16</v>
      </c>
      <c r="J41" s="37">
        <v>2400</v>
      </c>
      <c r="K41" s="17">
        <f t="shared" si="1"/>
        <v>150</v>
      </c>
      <c r="L41" s="267">
        <v>16</v>
      </c>
      <c r="M41" s="18">
        <f t="shared" si="28"/>
        <v>2292.9936305732485</v>
      </c>
      <c r="N41" s="17">
        <f t="shared" si="3"/>
        <v>143.31210191082803</v>
      </c>
      <c r="O41" s="19">
        <f t="shared" si="4"/>
        <v>0</v>
      </c>
      <c r="P41" s="20">
        <f t="shared" si="5"/>
        <v>-6.6878980891719664</v>
      </c>
      <c r="Q41" s="268">
        <f t="shared" si="6"/>
        <v>0.95541401273885351</v>
      </c>
      <c r="R41" s="489"/>
      <c r="S41" s="40">
        <v>0.38749999999999996</v>
      </c>
      <c r="T41" s="40">
        <v>0.49652777777777773</v>
      </c>
      <c r="U41" s="264">
        <f t="shared" si="30"/>
        <v>7.9999999999999716</v>
      </c>
      <c r="V41" s="266">
        <f t="shared" si="29"/>
        <v>157</v>
      </c>
      <c r="W41" s="23">
        <f>T41</f>
        <v>0.49652777777777773</v>
      </c>
      <c r="X41" s="23">
        <f>S42</f>
        <v>0.53819444444444442</v>
      </c>
      <c r="Y41" s="23"/>
      <c r="Z41" s="23"/>
      <c r="AA41" s="491"/>
      <c r="AB41" s="491"/>
      <c r="AC41" s="154"/>
      <c r="AD41" s="25"/>
      <c r="AE41" s="19">
        <f t="shared" si="8"/>
        <v>-107.00636942675146</v>
      </c>
      <c r="AF41" s="268">
        <f t="shared" si="9"/>
        <v>0.95541401273885351</v>
      </c>
      <c r="AG41" s="489"/>
    </row>
    <row r="42" spans="1:33">
      <c r="A42" s="517" t="s">
        <v>1547</v>
      </c>
      <c r="B42" s="42" t="s">
        <v>80</v>
      </c>
      <c r="C42" s="490" t="s">
        <v>1224</v>
      </c>
      <c r="D42" s="490"/>
      <c r="E42" s="42">
        <v>22.69</v>
      </c>
      <c r="F42" s="265">
        <v>2854</v>
      </c>
      <c r="G42" s="264">
        <f t="shared" si="27"/>
        <v>64757.26</v>
      </c>
      <c r="H42" s="125" t="s">
        <v>79</v>
      </c>
      <c r="I42" s="267">
        <v>16</v>
      </c>
      <c r="J42" s="37">
        <v>2400</v>
      </c>
      <c r="K42" s="17">
        <f t="shared" si="1"/>
        <v>150</v>
      </c>
      <c r="L42" s="267">
        <v>16</v>
      </c>
      <c r="M42" s="18">
        <f t="shared" si="28"/>
        <v>2283.1999999999985</v>
      </c>
      <c r="N42" s="17">
        <f t="shared" si="3"/>
        <v>142.6999999999999</v>
      </c>
      <c r="O42" s="19">
        <f t="shared" si="4"/>
        <v>0</v>
      </c>
      <c r="P42" s="20">
        <f t="shared" si="5"/>
        <v>-7.3000000000000966</v>
      </c>
      <c r="Q42" s="268">
        <f t="shared" si="6"/>
        <v>0.9513333333333327</v>
      </c>
      <c r="R42" s="489"/>
      <c r="S42" s="40">
        <v>0.53819444444444442</v>
      </c>
      <c r="T42" s="40">
        <v>0.59027777777777779</v>
      </c>
      <c r="U42" s="264">
        <f t="shared" si="30"/>
        <v>60.000000000000028</v>
      </c>
      <c r="V42" s="266">
        <f t="shared" si="29"/>
        <v>75.000000000000057</v>
      </c>
      <c r="W42" s="23"/>
      <c r="X42" s="23"/>
      <c r="Y42" s="26"/>
      <c r="Z42" s="26"/>
      <c r="AA42" s="503"/>
      <c r="AB42" s="504"/>
      <c r="AC42" s="154"/>
      <c r="AD42" s="25"/>
      <c r="AE42" s="19">
        <f t="shared" si="8"/>
        <v>-116.80000000000155</v>
      </c>
      <c r="AF42" s="268">
        <f t="shared" si="9"/>
        <v>0.9513333333333327</v>
      </c>
      <c r="AG42" s="489"/>
    </row>
    <row r="43" spans="1:33">
      <c r="A43" s="517" t="s">
        <v>1547</v>
      </c>
      <c r="B43" s="44" t="s">
        <v>1545</v>
      </c>
      <c r="C43" s="494"/>
      <c r="D43" s="494"/>
      <c r="E43" s="270"/>
      <c r="F43" s="44"/>
      <c r="G43" s="17"/>
      <c r="H43" s="265"/>
      <c r="I43" s="30">
        <v>17.571428571428573</v>
      </c>
      <c r="J43" s="37">
        <v>2400</v>
      </c>
      <c r="K43" s="17">
        <f t="shared" si="1"/>
        <v>136.58536585365852</v>
      </c>
      <c r="L43" s="30">
        <v>17.571428571428573</v>
      </c>
      <c r="M43" s="18">
        <f>AVERAGE(M36:M42)</f>
        <v>2301.3509917770689</v>
      </c>
      <c r="N43" s="17">
        <f t="shared" si="3"/>
        <v>130.97119465397952</v>
      </c>
      <c r="O43" s="19">
        <f t="shared" si="4"/>
        <v>0</v>
      </c>
      <c r="P43" s="20">
        <f t="shared" si="5"/>
        <v>-5.6141711996789923</v>
      </c>
      <c r="Q43" s="268">
        <f t="shared" si="6"/>
        <v>0.95889624657377881</v>
      </c>
      <c r="R43" s="489"/>
      <c r="S43" s="40"/>
      <c r="T43" s="40"/>
      <c r="U43" s="17"/>
      <c r="V43" s="266"/>
      <c r="W43" s="17"/>
      <c r="X43" s="17"/>
      <c r="Y43" s="31">
        <f>SUM(Y36:Y42)</f>
        <v>0</v>
      </c>
      <c r="Z43" s="31">
        <f>SUM(Z36:Z42)</f>
        <v>0</v>
      </c>
      <c r="AA43" s="495"/>
      <c r="AB43" s="495"/>
      <c r="AC43" s="31">
        <v>7</v>
      </c>
      <c r="AD43" s="31">
        <f>SUM(AD36:AD42)</f>
        <v>0</v>
      </c>
      <c r="AE43" s="19">
        <f t="shared" si="8"/>
        <v>-98.649008222931116</v>
      </c>
      <c r="AF43" s="268">
        <f t="shared" si="9"/>
        <v>0.9588962465737787</v>
      </c>
      <c r="AG43" s="489"/>
    </row>
    <row r="44" spans="1:33" ht="15.75" customHeight="1">
      <c r="A44" s="512" t="s">
        <v>1548</v>
      </c>
      <c r="B44" s="42" t="s">
        <v>93</v>
      </c>
      <c r="C44" s="501" t="s">
        <v>94</v>
      </c>
      <c r="D44" s="502"/>
      <c r="E44" s="42">
        <v>21.13</v>
      </c>
      <c r="F44" s="265">
        <v>4728</v>
      </c>
      <c r="G44" s="264">
        <f t="shared" ref="G44:G50" si="31">E44*F44</f>
        <v>99902.64</v>
      </c>
      <c r="H44" s="125" t="s">
        <v>79</v>
      </c>
      <c r="I44" s="267">
        <v>10</v>
      </c>
      <c r="J44" s="37">
        <v>3000</v>
      </c>
      <c r="K44" s="17">
        <f t="shared" si="1"/>
        <v>300</v>
      </c>
      <c r="L44" s="267">
        <v>10</v>
      </c>
      <c r="M44" s="18">
        <f t="shared" ref="M44:M50" si="32">F44/V44*60</f>
        <v>2865.4545454545455</v>
      </c>
      <c r="N44" s="18">
        <f t="shared" si="3"/>
        <v>286.54545454545456</v>
      </c>
      <c r="O44" s="19">
        <f t="shared" si="4"/>
        <v>0</v>
      </c>
      <c r="P44" s="20">
        <f t="shared" si="5"/>
        <v>-13.454545454545439</v>
      </c>
      <c r="Q44" s="268">
        <f t="shared" si="6"/>
        <v>0.9551515151515152</v>
      </c>
      <c r="R44" s="509">
        <f>Q51</f>
        <v>0.96242662323057993</v>
      </c>
      <c r="S44" s="40">
        <v>8.3333333333333329E-2</v>
      </c>
      <c r="T44" s="40">
        <v>0.15208333333333332</v>
      </c>
      <c r="U44" s="28"/>
      <c r="V44" s="266">
        <f t="shared" ref="V44:V50" si="33">(T44-S44)*24*60</f>
        <v>99</v>
      </c>
      <c r="W44" s="23">
        <f>T44</f>
        <v>0.15208333333333332</v>
      </c>
      <c r="X44" s="23">
        <f>S45</f>
        <v>0.17152777777777778</v>
      </c>
      <c r="Y44" s="26"/>
      <c r="Z44" s="26"/>
      <c r="AA44" s="503"/>
      <c r="AB44" s="504"/>
      <c r="AC44" s="154" t="s">
        <v>79</v>
      </c>
      <c r="AD44" s="25"/>
      <c r="AE44" s="19">
        <f t="shared" si="8"/>
        <v>-134.5454545454545</v>
      </c>
      <c r="AF44" s="268">
        <f t="shared" si="9"/>
        <v>0.9551515151515152</v>
      </c>
      <c r="AG44" s="509">
        <f>AF51</f>
        <v>0.96242662323057981</v>
      </c>
    </row>
    <row r="45" spans="1:33" ht="15.75" customHeight="1">
      <c r="A45" s="513" t="s">
        <v>1548</v>
      </c>
      <c r="B45" s="42" t="s">
        <v>93</v>
      </c>
      <c r="C45" s="501" t="s">
        <v>95</v>
      </c>
      <c r="D45" s="502"/>
      <c r="E45" s="42">
        <v>27.17</v>
      </c>
      <c r="F45" s="265">
        <v>6534</v>
      </c>
      <c r="G45" s="264">
        <f t="shared" si="31"/>
        <v>177528.78</v>
      </c>
      <c r="H45" s="125" t="s">
        <v>79</v>
      </c>
      <c r="I45" s="267">
        <v>10</v>
      </c>
      <c r="J45" s="37">
        <v>3000</v>
      </c>
      <c r="K45" s="17">
        <f t="shared" si="1"/>
        <v>300</v>
      </c>
      <c r="L45" s="267">
        <v>10</v>
      </c>
      <c r="M45" s="18">
        <f t="shared" si="32"/>
        <v>2861.6058394160582</v>
      </c>
      <c r="N45" s="18">
        <f t="shared" si="3"/>
        <v>286.16058394160581</v>
      </c>
      <c r="O45" s="19">
        <f t="shared" si="4"/>
        <v>0</v>
      </c>
      <c r="P45" s="20">
        <f t="shared" si="5"/>
        <v>-13.839416058394193</v>
      </c>
      <c r="Q45" s="268">
        <f t="shared" si="6"/>
        <v>0.95386861313868598</v>
      </c>
      <c r="R45" s="510"/>
      <c r="S45" s="40">
        <v>0.17152777777777778</v>
      </c>
      <c r="T45" s="40">
        <v>0.26666666666666666</v>
      </c>
      <c r="U45" s="264">
        <f t="shared" ref="U45:U50" si="34">(S45-T44)*24*60</f>
        <v>28.000000000000021</v>
      </c>
      <c r="V45" s="266">
        <f t="shared" si="33"/>
        <v>137</v>
      </c>
      <c r="W45" s="23"/>
      <c r="X45" s="23"/>
      <c r="Y45" s="26"/>
      <c r="Z45" s="26"/>
      <c r="AA45" s="503"/>
      <c r="AB45" s="504"/>
      <c r="AC45" s="154">
        <v>1</v>
      </c>
      <c r="AD45" s="25"/>
      <c r="AE45" s="19">
        <f t="shared" si="8"/>
        <v>-138.39416058394181</v>
      </c>
      <c r="AF45" s="268">
        <f t="shared" si="9"/>
        <v>0.95386861313868609</v>
      </c>
      <c r="AG45" s="510"/>
    </row>
    <row r="46" spans="1:33" ht="15.75" customHeight="1">
      <c r="A46" s="513" t="s">
        <v>65</v>
      </c>
      <c r="B46" s="42" t="s">
        <v>93</v>
      </c>
      <c r="C46" s="501" t="s">
        <v>96</v>
      </c>
      <c r="D46" s="502"/>
      <c r="E46" s="42">
        <v>35.119999999999997</v>
      </c>
      <c r="F46" s="265">
        <v>4707</v>
      </c>
      <c r="G46" s="264">
        <f t="shared" si="31"/>
        <v>165309.84</v>
      </c>
      <c r="H46" s="125" t="s">
        <v>79</v>
      </c>
      <c r="I46" s="267">
        <v>10</v>
      </c>
      <c r="J46" s="37">
        <v>3000</v>
      </c>
      <c r="K46" s="17">
        <f t="shared" si="1"/>
        <v>300</v>
      </c>
      <c r="L46" s="267">
        <v>10</v>
      </c>
      <c r="M46" s="18">
        <f t="shared" si="32"/>
        <v>2881.8367346938785</v>
      </c>
      <c r="N46" s="18">
        <f t="shared" si="3"/>
        <v>288.18367346938783</v>
      </c>
      <c r="O46" s="19">
        <f t="shared" si="4"/>
        <v>0</v>
      </c>
      <c r="P46" s="20">
        <f t="shared" si="5"/>
        <v>-11.816326530612173</v>
      </c>
      <c r="Q46" s="268">
        <f t="shared" si="6"/>
        <v>0.96061224489795938</v>
      </c>
      <c r="R46" s="510"/>
      <c r="S46" s="40">
        <v>0.27152777777777776</v>
      </c>
      <c r="T46" s="40">
        <v>0.33958333333333329</v>
      </c>
      <c r="U46" s="264">
        <f t="shared" si="34"/>
        <v>6.9999999999999751</v>
      </c>
      <c r="V46" s="266">
        <f t="shared" si="33"/>
        <v>97.999999999999972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-118.1632653061215</v>
      </c>
      <c r="AF46" s="268">
        <f t="shared" si="9"/>
        <v>0.96061224489795949</v>
      </c>
      <c r="AG46" s="510"/>
    </row>
    <row r="47" spans="1:33" ht="15.75" customHeight="1">
      <c r="A47" s="513" t="s">
        <v>65</v>
      </c>
      <c r="B47" s="42" t="s">
        <v>93</v>
      </c>
      <c r="C47" s="501" t="s">
        <v>97</v>
      </c>
      <c r="D47" s="502"/>
      <c r="E47" s="42">
        <v>31</v>
      </c>
      <c r="F47" s="265">
        <v>1100</v>
      </c>
      <c r="G47" s="264">
        <f t="shared" si="31"/>
        <v>34100</v>
      </c>
      <c r="H47" s="125" t="s">
        <v>79</v>
      </c>
      <c r="I47" s="267">
        <v>13</v>
      </c>
      <c r="J47" s="37">
        <v>2000</v>
      </c>
      <c r="K47" s="17">
        <f t="shared" si="1"/>
        <v>153.84615384615384</v>
      </c>
      <c r="L47" s="267">
        <v>13</v>
      </c>
      <c r="M47" s="18">
        <f t="shared" si="32"/>
        <v>1941.1764705882379</v>
      </c>
      <c r="N47" s="18">
        <f t="shared" si="3"/>
        <v>149.321266968326</v>
      </c>
      <c r="O47" s="19">
        <f t="shared" si="4"/>
        <v>0</v>
      </c>
      <c r="P47" s="20">
        <f t="shared" si="5"/>
        <v>-4.5248868778278393</v>
      </c>
      <c r="Q47" s="268">
        <f t="shared" si="6"/>
        <v>0.97058823529411908</v>
      </c>
      <c r="R47" s="510"/>
      <c r="S47" s="40">
        <v>0.34444444444444439</v>
      </c>
      <c r="T47" s="40">
        <v>0.36805555555555547</v>
      </c>
      <c r="U47" s="264">
        <f t="shared" si="34"/>
        <v>6.9999999999999751</v>
      </c>
      <c r="V47" s="266">
        <f t="shared" si="33"/>
        <v>33.999999999999957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-58.823529411762138</v>
      </c>
      <c r="AF47" s="268">
        <f t="shared" si="9"/>
        <v>0.97058823529411897</v>
      </c>
      <c r="AG47" s="510"/>
    </row>
    <row r="48" spans="1:33" ht="15.75" customHeight="1">
      <c r="A48" s="513" t="s">
        <v>1548</v>
      </c>
      <c r="B48" s="42" t="s">
        <v>93</v>
      </c>
      <c r="C48" s="501" t="s">
        <v>99</v>
      </c>
      <c r="D48" s="502"/>
      <c r="E48" s="42">
        <v>32.020000000000003</v>
      </c>
      <c r="F48" s="265">
        <v>2158</v>
      </c>
      <c r="G48" s="264">
        <f t="shared" si="31"/>
        <v>69099.16</v>
      </c>
      <c r="H48" s="125" t="s">
        <v>79</v>
      </c>
      <c r="I48" s="267">
        <v>11</v>
      </c>
      <c r="J48" s="37">
        <v>3000</v>
      </c>
      <c r="K48" s="17">
        <f t="shared" si="1"/>
        <v>272.72727272727275</v>
      </c>
      <c r="L48" s="267">
        <v>11</v>
      </c>
      <c r="M48" s="18">
        <f t="shared" si="32"/>
        <v>2877.3333333333335</v>
      </c>
      <c r="N48" s="18">
        <f t="shared" si="3"/>
        <v>261.57575757575756</v>
      </c>
      <c r="O48" s="19">
        <f t="shared" si="4"/>
        <v>0</v>
      </c>
      <c r="P48" s="20">
        <f t="shared" si="5"/>
        <v>-11.151515151515184</v>
      </c>
      <c r="Q48" s="268">
        <f t="shared" si="6"/>
        <v>0.95911111111111103</v>
      </c>
      <c r="R48" s="510"/>
      <c r="S48" s="40">
        <v>0.37222222222222212</v>
      </c>
      <c r="T48" s="40">
        <v>0.40347222222222212</v>
      </c>
      <c r="U48" s="264">
        <f t="shared" si="34"/>
        <v>5.9999999999999787</v>
      </c>
      <c r="V48" s="266">
        <f t="shared" si="33"/>
        <v>45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-122.66666666666652</v>
      </c>
      <c r="AF48" s="268">
        <f t="shared" si="9"/>
        <v>0.95911111111111114</v>
      </c>
      <c r="AG48" s="510"/>
    </row>
    <row r="49" spans="1:33" ht="15.75" customHeight="1">
      <c r="A49" s="513" t="s">
        <v>65</v>
      </c>
      <c r="B49" s="42" t="s">
        <v>93</v>
      </c>
      <c r="C49" s="501" t="s">
        <v>112</v>
      </c>
      <c r="D49" s="502"/>
      <c r="E49" s="42">
        <v>35.869999999999997</v>
      </c>
      <c r="F49" s="265">
        <v>3029</v>
      </c>
      <c r="G49" s="264">
        <f t="shared" si="31"/>
        <v>108650.23</v>
      </c>
      <c r="H49" s="125" t="s">
        <v>79</v>
      </c>
      <c r="I49" s="267">
        <v>9</v>
      </c>
      <c r="J49" s="37">
        <v>3000</v>
      </c>
      <c r="K49" s="17">
        <f t="shared" si="1"/>
        <v>333.33333333333331</v>
      </c>
      <c r="L49" s="267">
        <v>9</v>
      </c>
      <c r="M49" s="18">
        <f t="shared" si="32"/>
        <v>2884.7619047619041</v>
      </c>
      <c r="N49" s="18">
        <f t="shared" si="3"/>
        <v>320.52910052910045</v>
      </c>
      <c r="O49" s="19">
        <f t="shared" si="4"/>
        <v>0</v>
      </c>
      <c r="P49" s="20">
        <f t="shared" si="5"/>
        <v>-12.804232804232868</v>
      </c>
      <c r="Q49" s="268">
        <f t="shared" si="6"/>
        <v>0.96158730158730144</v>
      </c>
      <c r="R49" s="510"/>
      <c r="S49" s="40">
        <v>0.40833333333333321</v>
      </c>
      <c r="T49" s="40">
        <v>0.45208333333333323</v>
      </c>
      <c r="U49" s="264">
        <f t="shared" si="34"/>
        <v>6.9999999999999751</v>
      </c>
      <c r="V49" s="266">
        <f t="shared" si="33"/>
        <v>63.000000000000014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-115.23809523809587</v>
      </c>
      <c r="AF49" s="268">
        <f t="shared" si="9"/>
        <v>0.96158730158730132</v>
      </c>
      <c r="AG49" s="510"/>
    </row>
    <row r="50" spans="1:33" ht="15.75" customHeight="1">
      <c r="A50" s="513" t="s">
        <v>65</v>
      </c>
      <c r="B50" s="42" t="s">
        <v>93</v>
      </c>
      <c r="C50" s="501" t="s">
        <v>113</v>
      </c>
      <c r="D50" s="502"/>
      <c r="E50" s="42">
        <v>34.36</v>
      </c>
      <c r="F50" s="265">
        <v>1615</v>
      </c>
      <c r="G50" s="264">
        <f t="shared" si="31"/>
        <v>55491.4</v>
      </c>
      <c r="H50" s="125" t="s">
        <v>79</v>
      </c>
      <c r="I50" s="267">
        <v>10</v>
      </c>
      <c r="J50" s="37">
        <v>3000</v>
      </c>
      <c r="K50" s="17">
        <f t="shared" si="1"/>
        <v>300</v>
      </c>
      <c r="L50" s="267">
        <v>10</v>
      </c>
      <c r="M50" s="18">
        <f t="shared" si="32"/>
        <v>2936.3636363636397</v>
      </c>
      <c r="N50" s="18">
        <f t="shared" si="3"/>
        <v>293.63636363636397</v>
      </c>
      <c r="O50" s="19">
        <f t="shared" si="4"/>
        <v>0</v>
      </c>
      <c r="P50" s="20">
        <f t="shared" si="5"/>
        <v>-6.3636363636360329</v>
      </c>
      <c r="Q50" s="268">
        <f t="shared" si="6"/>
        <v>0.97878787878787987</v>
      </c>
      <c r="R50" s="510"/>
      <c r="S50" s="40">
        <v>0.45624999999999988</v>
      </c>
      <c r="T50" s="40">
        <v>0.47916666666666652</v>
      </c>
      <c r="U50" s="264">
        <f t="shared" si="34"/>
        <v>5.9999999999999787</v>
      </c>
      <c r="V50" s="266">
        <f t="shared" si="33"/>
        <v>32.999999999999964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-63.636363636360329</v>
      </c>
      <c r="AF50" s="268">
        <f t="shared" si="9"/>
        <v>0.97878787878787987</v>
      </c>
      <c r="AG50" s="510"/>
    </row>
    <row r="51" spans="1:33" ht="15.75" customHeight="1">
      <c r="A51" s="514" t="s">
        <v>65</v>
      </c>
      <c r="B51" s="42" t="s">
        <v>71</v>
      </c>
      <c r="C51" s="492"/>
      <c r="D51" s="493"/>
      <c r="E51" s="275"/>
      <c r="F51" s="265"/>
      <c r="G51" s="264"/>
      <c r="H51" s="265"/>
      <c r="I51" s="30">
        <v>10.428571428571429</v>
      </c>
      <c r="J51" s="37">
        <v>2857.1428571428573</v>
      </c>
      <c r="K51" s="17">
        <f t="shared" si="1"/>
        <v>273.97260273972603</v>
      </c>
      <c r="L51" s="30">
        <v>10.428571428571429</v>
      </c>
      <c r="M51" s="18">
        <f>AVERAGE(M44:M50)</f>
        <v>2749.790352087371</v>
      </c>
      <c r="N51" s="17">
        <f t="shared" si="3"/>
        <v>263.67852691248765</v>
      </c>
      <c r="O51" s="19">
        <f t="shared" si="4"/>
        <v>0</v>
      </c>
      <c r="P51" s="20">
        <f t="shared" si="5"/>
        <v>-10.294075827238373</v>
      </c>
      <c r="Q51" s="268">
        <f t="shared" si="6"/>
        <v>0.96242662323057993</v>
      </c>
      <c r="R51" s="511"/>
      <c r="S51" s="40"/>
      <c r="T51" s="40"/>
      <c r="U51" s="264"/>
      <c r="V51" s="266"/>
      <c r="W51" s="23"/>
      <c r="X51" s="23"/>
      <c r="Y51" s="31">
        <f>SUM(Y44:Y50)</f>
        <v>0</v>
      </c>
      <c r="Z51" s="31">
        <f>SUM(Z44:Z50)</f>
        <v>0</v>
      </c>
      <c r="AA51" s="505"/>
      <c r="AB51" s="506"/>
      <c r="AC51" s="31">
        <v>1</v>
      </c>
      <c r="AD51" s="31">
        <f>SUM(AD44:AD50)</f>
        <v>0</v>
      </c>
      <c r="AE51" s="19">
        <f t="shared" si="8"/>
        <v>-107.35250505548629</v>
      </c>
      <c r="AF51" s="268">
        <f t="shared" si="9"/>
        <v>0.96242662323057981</v>
      </c>
      <c r="AG51" s="511"/>
    </row>
    <row r="52" spans="1:33" ht="15.75" customHeight="1">
      <c r="A52" s="507" t="s">
        <v>67</v>
      </c>
      <c r="B52" s="42" t="s">
        <v>100</v>
      </c>
      <c r="C52" s="490" t="s">
        <v>101</v>
      </c>
      <c r="D52" s="490"/>
      <c r="E52" s="42">
        <v>46</v>
      </c>
      <c r="F52" s="46">
        <v>1415</v>
      </c>
      <c r="G52" s="264">
        <f t="shared" ref="G52:G59" si="35">E52*F52</f>
        <v>65090</v>
      </c>
      <c r="H52" s="125" t="s">
        <v>79</v>
      </c>
      <c r="I52" s="267">
        <v>17</v>
      </c>
      <c r="J52" s="37">
        <v>2000</v>
      </c>
      <c r="K52" s="17">
        <f t="shared" si="1"/>
        <v>117.64705882352941</v>
      </c>
      <c r="L52" s="267">
        <v>17</v>
      </c>
      <c r="M52" s="18">
        <f t="shared" ref="M52:M59" si="36">F52/V52*60</f>
        <v>1929.5454545454545</v>
      </c>
      <c r="N52" s="18">
        <f t="shared" si="3"/>
        <v>113.50267379679144</v>
      </c>
      <c r="O52" s="19">
        <f t="shared" si="4"/>
        <v>0</v>
      </c>
      <c r="P52" s="20">
        <f t="shared" si="5"/>
        <v>-4.1443850267379645</v>
      </c>
      <c r="Q52" s="268">
        <f t="shared" si="6"/>
        <v>0.96477272727272734</v>
      </c>
      <c r="R52" s="489">
        <f>Q60</f>
        <v>0.93160629328884181</v>
      </c>
      <c r="S52" s="40">
        <v>0.20833333333333334</v>
      </c>
      <c r="T52" s="40">
        <v>0.2388888888888889</v>
      </c>
      <c r="U52" s="28"/>
      <c r="V52" s="266">
        <f t="shared" ref="V52:V59" si="37">(T52-S52)*24*60</f>
        <v>44</v>
      </c>
      <c r="W52" s="28"/>
      <c r="X52" s="28"/>
      <c r="Y52" s="28"/>
      <c r="Z52" s="28"/>
      <c r="AA52" s="491"/>
      <c r="AB52" s="491"/>
      <c r="AC52" s="154">
        <v>4</v>
      </c>
      <c r="AD52" s="25"/>
      <c r="AE52" s="19">
        <f t="shared" si="8"/>
        <v>-70.454545454545496</v>
      </c>
      <c r="AF52" s="268">
        <f t="shared" si="9"/>
        <v>0.96477272727272723</v>
      </c>
      <c r="AG52" s="489">
        <f>AF60</f>
        <v>0.93160629328884181</v>
      </c>
    </row>
    <row r="53" spans="1:33" ht="15.75" customHeight="1">
      <c r="A53" s="507" t="s">
        <v>1549</v>
      </c>
      <c r="B53" s="42" t="s">
        <v>100</v>
      </c>
      <c r="C53" s="490" t="s">
        <v>102</v>
      </c>
      <c r="D53" s="490"/>
      <c r="E53" s="42">
        <v>46</v>
      </c>
      <c r="F53" s="46">
        <v>1585</v>
      </c>
      <c r="G53" s="264">
        <f t="shared" si="35"/>
        <v>72910</v>
      </c>
      <c r="H53" s="125" t="s">
        <v>79</v>
      </c>
      <c r="I53" s="267">
        <v>17</v>
      </c>
      <c r="J53" s="37">
        <v>2000</v>
      </c>
      <c r="K53" s="17">
        <f t="shared" si="1"/>
        <v>117.64705882352941</v>
      </c>
      <c r="L53" s="267">
        <v>17</v>
      </c>
      <c r="M53" s="18">
        <f t="shared" si="36"/>
        <v>1940.8163265306125</v>
      </c>
      <c r="N53" s="18">
        <f t="shared" si="3"/>
        <v>114.16566626650662</v>
      </c>
      <c r="O53" s="19">
        <f t="shared" si="4"/>
        <v>0</v>
      </c>
      <c r="P53" s="20">
        <f t="shared" si="5"/>
        <v>-3.4813925570227866</v>
      </c>
      <c r="Q53" s="268">
        <f t="shared" si="6"/>
        <v>0.97040816326530632</v>
      </c>
      <c r="R53" s="489"/>
      <c r="S53" s="40">
        <v>0.24444444444444446</v>
      </c>
      <c r="T53" s="40">
        <v>0.27847222222222223</v>
      </c>
      <c r="U53" s="264">
        <f t="shared" ref="U53:U59" si="38">IF(S53=TIME(17,0,0),"",(S53-T52)*24*60)</f>
        <v>8.0000000000000107</v>
      </c>
      <c r="V53" s="266">
        <f t="shared" si="37"/>
        <v>48.999999999999986</v>
      </c>
      <c r="W53" s="23"/>
      <c r="X53" s="23"/>
      <c r="Y53" s="23"/>
      <c r="Z53" s="23"/>
      <c r="AA53" s="491"/>
      <c r="AB53" s="491"/>
      <c r="AC53" s="154"/>
      <c r="AD53" s="25"/>
      <c r="AE53" s="19">
        <f t="shared" si="8"/>
        <v>-59.183673469387486</v>
      </c>
      <c r="AF53" s="268">
        <f t="shared" si="9"/>
        <v>0.97040816326530621</v>
      </c>
      <c r="AG53" s="489"/>
    </row>
    <row r="54" spans="1:33" ht="15.75" customHeight="1">
      <c r="A54" s="507" t="s">
        <v>1549</v>
      </c>
      <c r="B54" s="42" t="s">
        <v>103</v>
      </c>
      <c r="C54" s="501" t="s">
        <v>105</v>
      </c>
      <c r="D54" s="502"/>
      <c r="E54" s="42">
        <v>56.43</v>
      </c>
      <c r="F54" s="46">
        <v>1926</v>
      </c>
      <c r="G54" s="264">
        <f t="shared" si="35"/>
        <v>108684.18</v>
      </c>
      <c r="H54" s="125" t="s">
        <v>79</v>
      </c>
      <c r="I54" s="267">
        <v>22</v>
      </c>
      <c r="J54" s="37">
        <v>2000</v>
      </c>
      <c r="K54" s="17">
        <f t="shared" si="1"/>
        <v>90.909090909090907</v>
      </c>
      <c r="L54" s="267">
        <v>22</v>
      </c>
      <c r="M54" s="18">
        <f t="shared" si="36"/>
        <v>1674.7826086956522</v>
      </c>
      <c r="N54" s="18">
        <f t="shared" si="3"/>
        <v>76.126482213438734</v>
      </c>
      <c r="O54" s="19">
        <f t="shared" si="4"/>
        <v>0</v>
      </c>
      <c r="P54" s="20">
        <f t="shared" si="5"/>
        <v>-14.782608695652172</v>
      </c>
      <c r="Q54" s="268">
        <f t="shared" si="6"/>
        <v>0.83739130434782605</v>
      </c>
      <c r="R54" s="489"/>
      <c r="S54" s="40">
        <v>0.28333333333333333</v>
      </c>
      <c r="T54" s="40">
        <v>0.33124999999999999</v>
      </c>
      <c r="U54" s="264">
        <f t="shared" si="38"/>
        <v>6.9999999999999751</v>
      </c>
      <c r="V54" s="266">
        <f t="shared" si="37"/>
        <v>69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-325.21739130434776</v>
      </c>
      <c r="AF54" s="268">
        <f t="shared" si="9"/>
        <v>0.83739130434782616</v>
      </c>
      <c r="AG54" s="489"/>
    </row>
    <row r="55" spans="1:33" ht="15.75" customHeight="1">
      <c r="A55" s="507" t="s">
        <v>67</v>
      </c>
      <c r="B55" s="42" t="s">
        <v>103</v>
      </c>
      <c r="C55" s="273" t="s">
        <v>518</v>
      </c>
      <c r="D55" s="274"/>
      <c r="E55" s="42">
        <v>51.75</v>
      </c>
      <c r="F55" s="46">
        <v>2012</v>
      </c>
      <c r="G55" s="264">
        <f t="shared" si="35"/>
        <v>104121</v>
      </c>
      <c r="H55" s="125" t="s">
        <v>79</v>
      </c>
      <c r="I55" s="267">
        <v>25</v>
      </c>
      <c r="J55" s="37">
        <v>2000</v>
      </c>
      <c r="K55" s="17">
        <f t="shared" si="1"/>
        <v>80</v>
      </c>
      <c r="L55" s="267">
        <v>25</v>
      </c>
      <c r="M55" s="18">
        <f t="shared" si="36"/>
        <v>1676.666666666667</v>
      </c>
      <c r="N55" s="18">
        <f t="shared" si="3"/>
        <v>67.066666666666677</v>
      </c>
      <c r="O55" s="19">
        <f t="shared" si="4"/>
        <v>0</v>
      </c>
      <c r="P55" s="20">
        <f t="shared" si="5"/>
        <v>-12.933333333333323</v>
      </c>
      <c r="Q55" s="268">
        <f t="shared" si="6"/>
        <v>0.83833333333333349</v>
      </c>
      <c r="R55" s="489"/>
      <c r="S55" s="40">
        <v>0.3347222222222222</v>
      </c>
      <c r="T55" s="40">
        <v>0.38472222222222219</v>
      </c>
      <c r="U55" s="264">
        <f t="shared" si="38"/>
        <v>4.9999999999999822</v>
      </c>
      <c r="V55" s="266">
        <f t="shared" si="37"/>
        <v>71.999999999999986</v>
      </c>
      <c r="W55" s="23"/>
      <c r="X55" s="23"/>
      <c r="Y55" s="26"/>
      <c r="Z55" s="26"/>
      <c r="AA55" s="491"/>
      <c r="AB55" s="491"/>
      <c r="AC55" s="154"/>
      <c r="AD55" s="25"/>
      <c r="AE55" s="19">
        <f t="shared" si="8"/>
        <v>-323.33333333333303</v>
      </c>
      <c r="AF55" s="268">
        <f t="shared" si="9"/>
        <v>0.83833333333333349</v>
      </c>
      <c r="AG55" s="489"/>
    </row>
    <row r="56" spans="1:33" ht="15.75" customHeight="1">
      <c r="A56" s="507" t="s">
        <v>67</v>
      </c>
      <c r="B56" s="42" t="s">
        <v>103</v>
      </c>
      <c r="C56" s="273" t="s">
        <v>106</v>
      </c>
      <c r="D56" s="274"/>
      <c r="E56" s="42">
        <v>55.56</v>
      </c>
      <c r="F56" s="46">
        <v>1814</v>
      </c>
      <c r="G56" s="264">
        <f t="shared" si="35"/>
        <v>100785.84000000001</v>
      </c>
      <c r="H56" s="125" t="s">
        <v>79</v>
      </c>
      <c r="I56" s="267">
        <v>17</v>
      </c>
      <c r="J56" s="37">
        <v>2000</v>
      </c>
      <c r="K56" s="17">
        <f t="shared" si="1"/>
        <v>117.64705882352941</v>
      </c>
      <c r="L56" s="267">
        <v>17</v>
      </c>
      <c r="M56" s="18">
        <f t="shared" si="36"/>
        <v>1909.4736842105276</v>
      </c>
      <c r="N56" s="18">
        <f t="shared" si="3"/>
        <v>112.32198142414869</v>
      </c>
      <c r="O56" s="19">
        <f t="shared" si="4"/>
        <v>0</v>
      </c>
      <c r="P56" s="20">
        <f t="shared" si="5"/>
        <v>-5.3250773993807172</v>
      </c>
      <c r="Q56" s="268">
        <f t="shared" si="6"/>
        <v>0.95473684210526388</v>
      </c>
      <c r="R56" s="489"/>
      <c r="S56" s="40">
        <v>0.70833333333333337</v>
      </c>
      <c r="T56" s="40">
        <v>0.74791666666666667</v>
      </c>
      <c r="U56" s="264" t="str">
        <f t="shared" si="38"/>
        <v/>
      </c>
      <c r="V56" s="266">
        <f t="shared" si="37"/>
        <v>56.999999999999957</v>
      </c>
      <c r="W56" s="23"/>
      <c r="X56" s="23"/>
      <c r="Y56" s="26"/>
      <c r="Z56" s="26"/>
      <c r="AA56" s="491"/>
      <c r="AB56" s="491"/>
      <c r="AC56" s="154"/>
      <c r="AD56" s="25"/>
      <c r="AE56" s="19">
        <f t="shared" si="8"/>
        <v>-90.526315789472392</v>
      </c>
      <c r="AF56" s="268">
        <f t="shared" si="9"/>
        <v>0.95473684210526377</v>
      </c>
      <c r="AG56" s="489"/>
    </row>
    <row r="57" spans="1:33" ht="15.75" customHeight="1">
      <c r="A57" s="507" t="s">
        <v>1549</v>
      </c>
      <c r="B57" s="42" t="s">
        <v>103</v>
      </c>
      <c r="C57" s="501" t="s">
        <v>107</v>
      </c>
      <c r="D57" s="502"/>
      <c r="E57" s="42">
        <v>55.32</v>
      </c>
      <c r="F57" s="46">
        <v>1291</v>
      </c>
      <c r="G57" s="264">
        <f t="shared" si="35"/>
        <v>71418.12</v>
      </c>
      <c r="H57" s="125" t="s">
        <v>79</v>
      </c>
      <c r="I57" s="267">
        <v>15</v>
      </c>
      <c r="J57" s="37">
        <v>2000</v>
      </c>
      <c r="K57" s="17">
        <f t="shared" si="1"/>
        <v>133.33333333333334</v>
      </c>
      <c r="L57" s="267">
        <v>15</v>
      </c>
      <c r="M57" s="18">
        <f t="shared" si="36"/>
        <v>1936.4999999999995</v>
      </c>
      <c r="N57" s="18">
        <f t="shared" si="3"/>
        <v>129.09999999999997</v>
      </c>
      <c r="O57" s="19">
        <f t="shared" si="4"/>
        <v>0</v>
      </c>
      <c r="P57" s="20">
        <f t="shared" si="5"/>
        <v>-4.2333333333333769</v>
      </c>
      <c r="Q57" s="268">
        <f t="shared" si="6"/>
        <v>0.96824999999999972</v>
      </c>
      <c r="R57" s="489"/>
      <c r="S57" s="40">
        <v>0.75277777777777777</v>
      </c>
      <c r="T57" s="40">
        <v>0.78055555555555556</v>
      </c>
      <c r="U57" s="264">
        <f t="shared" si="38"/>
        <v>6.9999999999999751</v>
      </c>
      <c r="V57" s="266">
        <f t="shared" si="37"/>
        <v>40.000000000000014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-63.500000000000455</v>
      </c>
      <c r="AF57" s="268">
        <f t="shared" si="9"/>
        <v>0.96824999999999972</v>
      </c>
      <c r="AG57" s="489"/>
    </row>
    <row r="58" spans="1:33" ht="15.75" customHeight="1">
      <c r="A58" s="507" t="s">
        <v>67</v>
      </c>
      <c r="B58" s="42" t="s">
        <v>103</v>
      </c>
      <c r="C58" s="501" t="s">
        <v>516</v>
      </c>
      <c r="D58" s="502"/>
      <c r="E58" s="42">
        <v>50.67</v>
      </c>
      <c r="F58" s="46">
        <v>1399</v>
      </c>
      <c r="G58" s="264">
        <f t="shared" si="35"/>
        <v>70887.33</v>
      </c>
      <c r="H58" s="125" t="s">
        <v>79</v>
      </c>
      <c r="I58" s="267">
        <v>16</v>
      </c>
      <c r="J58" s="37">
        <v>2000</v>
      </c>
      <c r="K58" s="17">
        <f t="shared" si="1"/>
        <v>125</v>
      </c>
      <c r="L58" s="267">
        <v>16</v>
      </c>
      <c r="M58" s="18">
        <f t="shared" si="36"/>
        <v>1907.7272727272727</v>
      </c>
      <c r="N58" s="18">
        <f t="shared" si="3"/>
        <v>119.23295454545455</v>
      </c>
      <c r="O58" s="19">
        <f t="shared" si="4"/>
        <v>0</v>
      </c>
      <c r="P58" s="20">
        <f t="shared" si="5"/>
        <v>-5.7670454545454533</v>
      </c>
      <c r="Q58" s="268">
        <f t="shared" si="6"/>
        <v>0.95386363636363636</v>
      </c>
      <c r="R58" s="489"/>
      <c r="S58" s="40">
        <v>0.78472222222222221</v>
      </c>
      <c r="T58" s="40">
        <v>0.81527777777777777</v>
      </c>
      <c r="U58" s="264">
        <f t="shared" si="38"/>
        <v>5.9999999999999787</v>
      </c>
      <c r="V58" s="266">
        <f t="shared" si="37"/>
        <v>44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-92.272727272727252</v>
      </c>
      <c r="AF58" s="268">
        <f t="shared" si="9"/>
        <v>0.95386363636363636</v>
      </c>
      <c r="AG58" s="489"/>
    </row>
    <row r="59" spans="1:33" ht="15.75" customHeight="1">
      <c r="A59" s="507" t="s">
        <v>67</v>
      </c>
      <c r="B59" s="42" t="s">
        <v>103</v>
      </c>
      <c r="C59" s="501" t="s">
        <v>108</v>
      </c>
      <c r="D59" s="502"/>
      <c r="E59" s="42">
        <v>54.29</v>
      </c>
      <c r="F59" s="46">
        <v>1705</v>
      </c>
      <c r="G59" s="264">
        <f t="shared" si="35"/>
        <v>92564.45</v>
      </c>
      <c r="H59" s="125" t="s">
        <v>79</v>
      </c>
      <c r="I59" s="267">
        <v>20</v>
      </c>
      <c r="J59" s="37">
        <v>2000</v>
      </c>
      <c r="K59" s="17">
        <f t="shared" si="1"/>
        <v>100</v>
      </c>
      <c r="L59" s="267">
        <v>20</v>
      </c>
      <c r="M59" s="18">
        <f t="shared" si="36"/>
        <v>1930.188679245284</v>
      </c>
      <c r="N59" s="18">
        <f t="shared" si="3"/>
        <v>96.509433962264197</v>
      </c>
      <c r="O59" s="19">
        <f t="shared" si="4"/>
        <v>0</v>
      </c>
      <c r="P59" s="20">
        <f t="shared" si="5"/>
        <v>-3.4905660377358032</v>
      </c>
      <c r="Q59" s="268">
        <f t="shared" si="6"/>
        <v>0.96509433962264202</v>
      </c>
      <c r="R59" s="489"/>
      <c r="S59" s="40">
        <v>0.8208333333333333</v>
      </c>
      <c r="T59" s="40">
        <v>0.85763888888888884</v>
      </c>
      <c r="U59" s="264">
        <f t="shared" si="38"/>
        <v>7.9999999999999716</v>
      </c>
      <c r="V59" s="266">
        <f t="shared" si="37"/>
        <v>52.999999999999972</v>
      </c>
      <c r="W59" s="23"/>
      <c r="X59" s="23"/>
      <c r="Y59" s="26"/>
      <c r="Z59" s="26"/>
      <c r="AA59" s="503"/>
      <c r="AB59" s="504"/>
      <c r="AC59" s="154"/>
      <c r="AD59" s="25"/>
      <c r="AE59" s="19">
        <f t="shared" si="8"/>
        <v>-69.811320754716007</v>
      </c>
      <c r="AF59" s="268">
        <f t="shared" si="9"/>
        <v>0.96509433962264202</v>
      </c>
      <c r="AG59" s="489"/>
    </row>
    <row r="60" spans="1:33">
      <c r="A60" s="508" t="s">
        <v>1549</v>
      </c>
      <c r="B60" s="42" t="s">
        <v>71</v>
      </c>
      <c r="C60" s="494"/>
      <c r="D60" s="494"/>
      <c r="E60" s="270"/>
      <c r="F60" s="44"/>
      <c r="G60" s="17"/>
      <c r="H60" s="265"/>
      <c r="I60" s="30">
        <v>18.625</v>
      </c>
      <c r="J60" s="37">
        <v>2000</v>
      </c>
      <c r="K60" s="17">
        <f t="shared" si="1"/>
        <v>107.38255033557047</v>
      </c>
      <c r="L60" s="30">
        <v>18.625</v>
      </c>
      <c r="M60" s="18">
        <f>AVERAGE(M52:M59)</f>
        <v>1863.2125865776836</v>
      </c>
      <c r="N60" s="17">
        <f t="shared" si="3"/>
        <v>100.03825968202328</v>
      </c>
      <c r="O60" s="19">
        <f t="shared" si="4"/>
        <v>0</v>
      </c>
      <c r="P60" s="20">
        <f t="shared" si="5"/>
        <v>-7.3442906535471906</v>
      </c>
      <c r="Q60" s="268">
        <f t="shared" si="6"/>
        <v>0.93160629328884181</v>
      </c>
      <c r="R60" s="489"/>
      <c r="S60" s="41"/>
      <c r="T60" s="40"/>
      <c r="U60" s="17"/>
      <c r="V60" s="266"/>
      <c r="W60" s="17"/>
      <c r="X60" s="17"/>
      <c r="Y60" s="31">
        <f>SUM(Y52:Y59)</f>
        <v>0</v>
      </c>
      <c r="Z60" s="31">
        <f>SUM(Z52:Z59)</f>
        <v>0</v>
      </c>
      <c r="AA60" s="495"/>
      <c r="AB60" s="495"/>
      <c r="AC60" s="31">
        <v>4</v>
      </c>
      <c r="AD60" s="31">
        <f>SUM(AD52:AD59)</f>
        <v>0</v>
      </c>
      <c r="AE60" s="19">
        <f t="shared" si="8"/>
        <v>-136.78741342231638</v>
      </c>
      <c r="AF60" s="268">
        <f t="shared" si="9"/>
        <v>0.93160629328884181</v>
      </c>
      <c r="AG60" s="489"/>
    </row>
    <row r="61" spans="1:33" ht="15.75" customHeight="1">
      <c r="A61" s="499" t="s">
        <v>1550</v>
      </c>
      <c r="B61" s="265" t="s">
        <v>100</v>
      </c>
      <c r="C61" s="490" t="s">
        <v>109</v>
      </c>
      <c r="D61" s="490"/>
      <c r="E61" s="42">
        <v>26.97</v>
      </c>
      <c r="F61" s="46">
        <v>2258</v>
      </c>
      <c r="G61" s="264">
        <f t="shared" ref="G61:G64" si="39">E61*F61</f>
        <v>60898.259999999995</v>
      </c>
      <c r="H61" s="125" t="s">
        <v>79</v>
      </c>
      <c r="I61" s="267">
        <v>8</v>
      </c>
      <c r="J61" s="37">
        <v>1500</v>
      </c>
      <c r="K61" s="17">
        <f t="shared" si="1"/>
        <v>187.5</v>
      </c>
      <c r="L61" s="267">
        <v>8</v>
      </c>
      <c r="M61" s="18">
        <f t="shared" ref="M61:M64" si="40">F61/V61*60</f>
        <v>1441.2765957446804</v>
      </c>
      <c r="N61" s="17">
        <f t="shared" si="3"/>
        <v>180.15957446808505</v>
      </c>
      <c r="O61" s="19">
        <f t="shared" si="4"/>
        <v>0</v>
      </c>
      <c r="P61" s="20">
        <f t="shared" si="5"/>
        <v>-7.3404255319149456</v>
      </c>
      <c r="Q61" s="268">
        <f t="shared" si="6"/>
        <v>0.96085106382978691</v>
      </c>
      <c r="R61" s="489">
        <f>Q65</f>
        <v>0.9569923892044031</v>
      </c>
      <c r="S61" s="40">
        <v>0.20833333333333334</v>
      </c>
      <c r="T61" s="40">
        <v>0.27361111111111114</v>
      </c>
      <c r="U61" s="264"/>
      <c r="V61" s="266">
        <f t="shared" ref="V61:V64" si="41">(T61-S61)*24*60</f>
        <v>94.000000000000028</v>
      </c>
      <c r="W61" s="28"/>
      <c r="X61" s="28"/>
      <c r="Y61" s="28"/>
      <c r="Z61" s="28"/>
      <c r="AA61" s="491"/>
      <c r="AB61" s="491"/>
      <c r="AC61" s="154" t="s">
        <v>79</v>
      </c>
      <c r="AD61" s="25"/>
      <c r="AE61" s="19">
        <f t="shared" si="8"/>
        <v>-58.723404255319565</v>
      </c>
      <c r="AF61" s="268">
        <f t="shared" si="9"/>
        <v>0.96085106382978691</v>
      </c>
      <c r="AG61" s="489">
        <f>AF65</f>
        <v>0.95699238920440299</v>
      </c>
    </row>
    <row r="62" spans="1:33" ht="15.75" customHeight="1">
      <c r="A62" s="499" t="s">
        <v>72</v>
      </c>
      <c r="B62" s="265" t="s">
        <v>93</v>
      </c>
      <c r="C62" s="490" t="s">
        <v>110</v>
      </c>
      <c r="D62" s="490"/>
      <c r="E62" s="42">
        <v>26.78</v>
      </c>
      <c r="F62" s="46">
        <v>2535</v>
      </c>
      <c r="G62" s="264">
        <f t="shared" si="39"/>
        <v>67887.3</v>
      </c>
      <c r="H62" s="125" t="s">
        <v>79</v>
      </c>
      <c r="I62" s="267">
        <v>10</v>
      </c>
      <c r="J62" s="37">
        <v>3000</v>
      </c>
      <c r="K62" s="17">
        <f t="shared" si="1"/>
        <v>300</v>
      </c>
      <c r="L62" s="267">
        <v>10</v>
      </c>
      <c r="M62" s="18">
        <f t="shared" si="40"/>
        <v>2869.8113207547185</v>
      </c>
      <c r="N62" s="17">
        <f t="shared" si="3"/>
        <v>286.98113207547186</v>
      </c>
      <c r="O62" s="19">
        <f t="shared" si="4"/>
        <v>0</v>
      </c>
      <c r="P62" s="20">
        <f t="shared" si="5"/>
        <v>-13.018867924528138</v>
      </c>
      <c r="Q62" s="268">
        <f t="shared" si="6"/>
        <v>0.95660377358490623</v>
      </c>
      <c r="R62" s="489"/>
      <c r="S62" s="40">
        <v>0.27708333333333335</v>
      </c>
      <c r="T62" s="40">
        <v>0.31388888888888888</v>
      </c>
      <c r="U62" s="264">
        <f t="shared" ref="U62:U64" si="42">(S62-T61)*24*60</f>
        <v>4.9999999999999822</v>
      </c>
      <c r="V62" s="266">
        <f t="shared" si="41"/>
        <v>52.999999999999972</v>
      </c>
      <c r="W62" s="264"/>
      <c r="X62" s="264"/>
      <c r="Y62" s="264"/>
      <c r="Z62" s="264"/>
      <c r="AA62" s="491"/>
      <c r="AB62" s="491"/>
      <c r="AC62" s="154" t="s">
        <v>79</v>
      </c>
      <c r="AD62" s="25"/>
      <c r="AE62" s="19">
        <f t="shared" si="8"/>
        <v>-130.18867924528149</v>
      </c>
      <c r="AF62" s="268">
        <f t="shared" si="9"/>
        <v>0.95660377358490611</v>
      </c>
      <c r="AG62" s="489"/>
    </row>
    <row r="63" spans="1:33" ht="15.75" customHeight="1">
      <c r="A63" s="499" t="s">
        <v>1550</v>
      </c>
      <c r="B63" s="265" t="s">
        <v>100</v>
      </c>
      <c r="C63" s="490" t="s">
        <v>519</v>
      </c>
      <c r="D63" s="490"/>
      <c r="E63" s="42">
        <v>27.4</v>
      </c>
      <c r="F63" s="46">
        <v>2600</v>
      </c>
      <c r="G63" s="264">
        <f t="shared" si="39"/>
        <v>71240</v>
      </c>
      <c r="H63" s="125" t="s">
        <v>79</v>
      </c>
      <c r="I63" s="267">
        <v>10</v>
      </c>
      <c r="J63" s="37">
        <v>1500</v>
      </c>
      <c r="K63" s="17">
        <f t="shared" si="1"/>
        <v>150</v>
      </c>
      <c r="L63" s="267">
        <v>10</v>
      </c>
      <c r="M63" s="18">
        <f t="shared" si="40"/>
        <v>1431.1926605504586</v>
      </c>
      <c r="N63" s="17">
        <f t="shared" si="3"/>
        <v>143.11926605504587</v>
      </c>
      <c r="O63" s="19">
        <f t="shared" si="4"/>
        <v>0</v>
      </c>
      <c r="P63" s="20">
        <f t="shared" si="5"/>
        <v>-6.8807339449541303</v>
      </c>
      <c r="Q63" s="268">
        <f t="shared" si="6"/>
        <v>0.95412844036697242</v>
      </c>
      <c r="R63" s="489"/>
      <c r="S63" s="40">
        <v>0.31874999999999998</v>
      </c>
      <c r="T63" s="40">
        <v>0.39444444444444443</v>
      </c>
      <c r="U63" s="264">
        <f t="shared" si="42"/>
        <v>6.9999999999999751</v>
      </c>
      <c r="V63" s="266">
        <f t="shared" si="41"/>
        <v>109.00000000000001</v>
      </c>
      <c r="W63" s="264"/>
      <c r="X63" s="264"/>
      <c r="Y63" s="264"/>
      <c r="Z63" s="264"/>
      <c r="AA63" s="491"/>
      <c r="AB63" s="491"/>
      <c r="AC63" s="154" t="s">
        <v>79</v>
      </c>
      <c r="AD63" s="25"/>
      <c r="AE63" s="19">
        <f t="shared" si="8"/>
        <v>-68.807339449541359</v>
      </c>
      <c r="AF63" s="268">
        <f t="shared" si="9"/>
        <v>0.95412844036697242</v>
      </c>
      <c r="AG63" s="489"/>
    </row>
    <row r="64" spans="1:33" ht="15.75" customHeight="1">
      <c r="A64" s="499" t="s">
        <v>1550</v>
      </c>
      <c r="B64" s="265" t="s">
        <v>93</v>
      </c>
      <c r="C64" s="490" t="s">
        <v>1235</v>
      </c>
      <c r="D64" s="490"/>
      <c r="E64" s="42">
        <v>37.85</v>
      </c>
      <c r="F64" s="46">
        <v>3923</v>
      </c>
      <c r="G64" s="264">
        <f t="shared" si="39"/>
        <v>148485.55000000002</v>
      </c>
      <c r="H64" s="125" t="s">
        <v>79</v>
      </c>
      <c r="I64" s="267">
        <v>12</v>
      </c>
      <c r="J64" s="37">
        <v>2000</v>
      </c>
      <c r="K64" s="17">
        <f t="shared" si="1"/>
        <v>166.66666666666666</v>
      </c>
      <c r="L64" s="267">
        <v>12</v>
      </c>
      <c r="M64" s="18">
        <f t="shared" si="40"/>
        <v>1913.6585365853666</v>
      </c>
      <c r="N64" s="17">
        <f t="shared" si="3"/>
        <v>159.47154471544721</v>
      </c>
      <c r="O64" s="19">
        <f t="shared" si="4"/>
        <v>0</v>
      </c>
      <c r="P64" s="20">
        <f t="shared" si="5"/>
        <v>-7.1951219512194484</v>
      </c>
      <c r="Q64" s="268">
        <f t="shared" si="6"/>
        <v>0.95682926829268333</v>
      </c>
      <c r="R64" s="489"/>
      <c r="S64" s="40">
        <v>0.39999999999999997</v>
      </c>
      <c r="T64" s="40">
        <v>0.48541666666666661</v>
      </c>
      <c r="U64" s="264">
        <f t="shared" si="42"/>
        <v>7.9999999999999716</v>
      </c>
      <c r="V64" s="266">
        <f t="shared" si="41"/>
        <v>122.99999999999996</v>
      </c>
      <c r="W64" s="264"/>
      <c r="X64" s="264"/>
      <c r="Y64" s="264"/>
      <c r="Z64" s="264"/>
      <c r="AA64" s="491"/>
      <c r="AB64" s="491"/>
      <c r="AC64" s="154">
        <v>1</v>
      </c>
      <c r="AD64" s="25"/>
      <c r="AE64" s="19">
        <f t="shared" si="8"/>
        <v>-86.341463414633381</v>
      </c>
      <c r="AF64" s="268">
        <f t="shared" si="9"/>
        <v>0.95682926829268333</v>
      </c>
      <c r="AG64" s="489"/>
    </row>
    <row r="65" spans="1:33">
      <c r="A65" s="500" t="s">
        <v>72</v>
      </c>
      <c r="B65" s="42" t="s">
        <v>1545</v>
      </c>
      <c r="C65" s="494"/>
      <c r="D65" s="494"/>
      <c r="E65" s="270"/>
      <c r="F65" s="44"/>
      <c r="G65" s="17"/>
      <c r="H65" s="265"/>
      <c r="I65" s="30">
        <v>10</v>
      </c>
      <c r="J65" s="37">
        <v>2000</v>
      </c>
      <c r="K65" s="17">
        <f t="shared" si="1"/>
        <v>200</v>
      </c>
      <c r="L65" s="30">
        <v>10</v>
      </c>
      <c r="M65" s="18">
        <f>AVERAGE(M61:M64)</f>
        <v>1913.9847784088061</v>
      </c>
      <c r="N65" s="17">
        <f t="shared" si="3"/>
        <v>191.39847784088062</v>
      </c>
      <c r="O65" s="19">
        <f t="shared" si="4"/>
        <v>0</v>
      </c>
      <c r="P65" s="20">
        <f t="shared" si="5"/>
        <v>-8.6015221591193836</v>
      </c>
      <c r="Q65" s="268">
        <f t="shared" si="6"/>
        <v>0.9569923892044031</v>
      </c>
      <c r="R65" s="489"/>
      <c r="S65" s="40"/>
      <c r="T65" s="40"/>
      <c r="U65" s="17"/>
      <c r="V65" s="266"/>
      <c r="W65" s="17"/>
      <c r="X65" s="17"/>
      <c r="Y65" s="31">
        <f>SUM(Y61:Y64)</f>
        <v>0</v>
      </c>
      <c r="Z65" s="31">
        <f>SUM(Z61:Z64)</f>
        <v>0</v>
      </c>
      <c r="AA65" s="495"/>
      <c r="AB65" s="495"/>
      <c r="AC65" s="31">
        <v>1</v>
      </c>
      <c r="AD65" s="31">
        <f>SUM(AD61:AD64)</f>
        <v>0</v>
      </c>
      <c r="AE65" s="19">
        <f t="shared" si="8"/>
        <v>-86.015221591193949</v>
      </c>
      <c r="AF65" s="268">
        <f t="shared" si="9"/>
        <v>0.95699238920440299</v>
      </c>
      <c r="AG65" s="489"/>
    </row>
    <row r="66" spans="1:33" ht="15.75" customHeight="1">
      <c r="A66" s="496" t="s">
        <v>75</v>
      </c>
      <c r="B66" s="265" t="s">
        <v>80</v>
      </c>
      <c r="C66" s="490" t="s">
        <v>115</v>
      </c>
      <c r="D66" s="490"/>
      <c r="E66" s="42">
        <v>20.2</v>
      </c>
      <c r="F66" s="265">
        <v>1533</v>
      </c>
      <c r="G66" s="264">
        <f t="shared" ref="G66:G70" si="43">E66*F66</f>
        <v>30966.6</v>
      </c>
      <c r="H66" s="125" t="s">
        <v>79</v>
      </c>
      <c r="I66" s="267">
        <v>19</v>
      </c>
      <c r="J66" s="37">
        <v>2400</v>
      </c>
      <c r="K66" s="17">
        <f t="shared" si="1"/>
        <v>126.31578947368421</v>
      </c>
      <c r="L66" s="267">
        <v>19</v>
      </c>
      <c r="M66" s="18">
        <f t="shared" ref="M66:M70" si="44">F66/V66*60</f>
        <v>2299.5</v>
      </c>
      <c r="N66" s="17">
        <f t="shared" si="3"/>
        <v>121.02631578947368</v>
      </c>
      <c r="O66" s="19">
        <f t="shared" si="4"/>
        <v>0</v>
      </c>
      <c r="P66" s="20">
        <f t="shared" si="5"/>
        <v>-5.2894736842105203</v>
      </c>
      <c r="Q66" s="268">
        <f t="shared" si="6"/>
        <v>0.958125</v>
      </c>
      <c r="R66" s="489">
        <f>Q71</f>
        <v>0.95701953895087666</v>
      </c>
      <c r="S66" s="40">
        <v>8.3333333333333329E-2</v>
      </c>
      <c r="T66" s="40">
        <v>0.1111111111111111</v>
      </c>
      <c r="U66" s="28"/>
      <c r="V66" s="266">
        <f t="shared" ref="V66:V70" si="45">(T66-S66)*24*60</f>
        <v>40</v>
      </c>
      <c r="W66" s="23">
        <f>T66</f>
        <v>0.1111111111111111</v>
      </c>
      <c r="X66" s="23">
        <f>S67</f>
        <v>0.13055555555555554</v>
      </c>
      <c r="Y66" s="23"/>
      <c r="Z66" s="23"/>
      <c r="AA66" s="491"/>
      <c r="AB66" s="491"/>
      <c r="AC66" s="154">
        <v>6</v>
      </c>
      <c r="AD66" s="25"/>
      <c r="AE66" s="19">
        <f t="shared" si="8"/>
        <v>-100.5</v>
      </c>
      <c r="AF66" s="268">
        <f t="shared" si="9"/>
        <v>0.958125</v>
      </c>
      <c r="AG66" s="489">
        <f>AF71</f>
        <v>0.95701953895087666</v>
      </c>
    </row>
    <row r="67" spans="1:33" ht="15.75" customHeight="1">
      <c r="A67" s="497" t="s">
        <v>75</v>
      </c>
      <c r="B67" s="265" t="s">
        <v>80</v>
      </c>
      <c r="C67" s="490" t="s">
        <v>116</v>
      </c>
      <c r="D67" s="490"/>
      <c r="E67" s="42">
        <v>20.52</v>
      </c>
      <c r="F67" s="265">
        <v>2430</v>
      </c>
      <c r="G67" s="264">
        <f t="shared" si="43"/>
        <v>49863.6</v>
      </c>
      <c r="H67" s="125" t="s">
        <v>79</v>
      </c>
      <c r="I67" s="267">
        <v>18</v>
      </c>
      <c r="J67" s="37">
        <v>2400</v>
      </c>
      <c r="K67" s="17">
        <f t="shared" si="1"/>
        <v>133.33333333333334</v>
      </c>
      <c r="L67" s="267">
        <v>18</v>
      </c>
      <c r="M67" s="18">
        <f t="shared" si="44"/>
        <v>2314.2857142857138</v>
      </c>
      <c r="N67" s="17">
        <f t="shared" si="3"/>
        <v>128.57142857142856</v>
      </c>
      <c r="O67" s="19">
        <f t="shared" si="4"/>
        <v>0</v>
      </c>
      <c r="P67" s="20">
        <f t="shared" si="5"/>
        <v>-4.7619047619047876</v>
      </c>
      <c r="Q67" s="268">
        <f t="shared" si="6"/>
        <v>0.96428571428571408</v>
      </c>
      <c r="R67" s="489"/>
      <c r="S67" s="40">
        <v>0.13055555555555554</v>
      </c>
      <c r="T67" s="40">
        <v>0.17430555555555555</v>
      </c>
      <c r="U67" s="264">
        <f t="shared" ref="U67:U70" si="46">(S67-T66)*24*60</f>
        <v>27.999999999999979</v>
      </c>
      <c r="V67" s="266">
        <f t="shared" si="45"/>
        <v>63.000000000000014</v>
      </c>
      <c r="W67" s="23"/>
      <c r="X67" s="23"/>
      <c r="Y67" s="23"/>
      <c r="Z67" s="23"/>
      <c r="AA67" s="491"/>
      <c r="AB67" s="491"/>
      <c r="AC67" s="154"/>
      <c r="AD67" s="25"/>
      <c r="AE67" s="19">
        <f t="shared" si="8"/>
        <v>-85.714285714286234</v>
      </c>
      <c r="AF67" s="268">
        <f t="shared" si="9"/>
        <v>0.96428571428571408</v>
      </c>
      <c r="AG67" s="489"/>
    </row>
    <row r="68" spans="1:33" ht="15.75" customHeight="1">
      <c r="A68" s="497" t="s">
        <v>75</v>
      </c>
      <c r="B68" s="265" t="s">
        <v>80</v>
      </c>
      <c r="C68" s="490" t="s">
        <v>117</v>
      </c>
      <c r="D68" s="490"/>
      <c r="E68" s="42">
        <v>24.43</v>
      </c>
      <c r="F68" s="265">
        <v>5407</v>
      </c>
      <c r="G68" s="264">
        <f t="shared" si="43"/>
        <v>132093.01</v>
      </c>
      <c r="H68" s="125" t="s">
        <v>79</v>
      </c>
      <c r="I68" s="267">
        <v>14</v>
      </c>
      <c r="J68" s="37">
        <v>2400</v>
      </c>
      <c r="K68" s="17">
        <f t="shared" si="1"/>
        <v>171.42857142857142</v>
      </c>
      <c r="L68" s="267">
        <v>14</v>
      </c>
      <c r="M68" s="18">
        <f t="shared" si="44"/>
        <v>2284.647887323943</v>
      </c>
      <c r="N68" s="17">
        <f t="shared" si="3"/>
        <v>163.18913480885308</v>
      </c>
      <c r="O68" s="19">
        <f t="shared" si="4"/>
        <v>0</v>
      </c>
      <c r="P68" s="20">
        <f t="shared" si="5"/>
        <v>-8.2394366197183331</v>
      </c>
      <c r="Q68" s="268">
        <f t="shared" si="6"/>
        <v>0.95193661971830967</v>
      </c>
      <c r="R68" s="489"/>
      <c r="S68" s="40">
        <v>0.17986111111111111</v>
      </c>
      <c r="T68" s="40">
        <v>0.27847222222222223</v>
      </c>
      <c r="U68" s="264">
        <f t="shared" si="46"/>
        <v>8.0000000000000107</v>
      </c>
      <c r="V68" s="266">
        <f t="shared" si="45"/>
        <v>142.00000000000003</v>
      </c>
      <c r="W68" s="23"/>
      <c r="X68" s="23"/>
      <c r="Y68" s="23"/>
      <c r="Z68" s="23"/>
      <c r="AA68" s="491"/>
      <c r="AB68" s="491"/>
      <c r="AC68" s="154"/>
      <c r="AD68" s="25"/>
      <c r="AE68" s="19">
        <f t="shared" si="8"/>
        <v>-115.352112676057</v>
      </c>
      <c r="AF68" s="268">
        <f t="shared" si="9"/>
        <v>0.95193661971830956</v>
      </c>
      <c r="AG68" s="489"/>
    </row>
    <row r="69" spans="1:33" ht="15.75" customHeight="1">
      <c r="A69" s="497" t="s">
        <v>1551</v>
      </c>
      <c r="B69" s="265" t="s">
        <v>80</v>
      </c>
      <c r="C69" s="490" t="s">
        <v>118</v>
      </c>
      <c r="D69" s="490"/>
      <c r="E69" s="42">
        <v>20.21</v>
      </c>
      <c r="F69" s="265">
        <v>2949</v>
      </c>
      <c r="G69" s="264">
        <f t="shared" si="43"/>
        <v>59599.29</v>
      </c>
      <c r="H69" s="125" t="s">
        <v>79</v>
      </c>
      <c r="I69" s="267">
        <v>16</v>
      </c>
      <c r="J69" s="37">
        <v>2400</v>
      </c>
      <c r="K69" s="17">
        <f t="shared" ref="K69:K71" si="47">J69/I69</f>
        <v>150</v>
      </c>
      <c r="L69" s="267">
        <v>16</v>
      </c>
      <c r="M69" s="18">
        <f t="shared" si="44"/>
        <v>2297.9220779220764</v>
      </c>
      <c r="N69" s="17">
        <f t="shared" ref="N69:N71" si="48">M69/L69</f>
        <v>143.62012987012977</v>
      </c>
      <c r="O69" s="19">
        <f t="shared" ref="O69:O71" si="49">L69-I69</f>
        <v>0</v>
      </c>
      <c r="P69" s="20">
        <f t="shared" ref="P69:P71" si="50">N69-K69</f>
        <v>-6.3798701298702269</v>
      </c>
      <c r="Q69" s="268">
        <f t="shared" ref="Q69:Q71" si="51">N69/K69</f>
        <v>0.9574675324675318</v>
      </c>
      <c r="R69" s="489"/>
      <c r="S69" s="40">
        <v>0.28402777777777777</v>
      </c>
      <c r="T69" s="40">
        <v>0.33750000000000002</v>
      </c>
      <c r="U69" s="264">
        <f t="shared" si="46"/>
        <v>7.9999999999999716</v>
      </c>
      <c r="V69" s="266">
        <f t="shared" si="45"/>
        <v>77.000000000000043</v>
      </c>
      <c r="W69" s="23"/>
      <c r="X69" s="23"/>
      <c r="Y69" s="23"/>
      <c r="Z69" s="23"/>
      <c r="AA69" s="491"/>
      <c r="AB69" s="491"/>
      <c r="AC69" s="154"/>
      <c r="AD69" s="25"/>
      <c r="AE69" s="19">
        <f t="shared" ref="AE69:AE71" si="52">M69-J69</f>
        <v>-102.07792207792363</v>
      </c>
      <c r="AF69" s="268">
        <f t="shared" ref="AF69:AF71" si="53">M69/J69</f>
        <v>0.9574675324675318</v>
      </c>
      <c r="AG69" s="489"/>
    </row>
    <row r="70" spans="1:33" ht="15.75" customHeight="1">
      <c r="A70" s="497" t="s">
        <v>1551</v>
      </c>
      <c r="B70" s="265" t="s">
        <v>80</v>
      </c>
      <c r="C70" s="490" t="s">
        <v>119</v>
      </c>
      <c r="D70" s="490"/>
      <c r="E70" s="42">
        <v>19.02</v>
      </c>
      <c r="F70" s="265">
        <v>7550</v>
      </c>
      <c r="G70" s="264">
        <f t="shared" si="43"/>
        <v>143601</v>
      </c>
      <c r="H70" s="125" t="s">
        <v>79</v>
      </c>
      <c r="I70" s="267">
        <v>15</v>
      </c>
      <c r="J70" s="37">
        <v>2400</v>
      </c>
      <c r="K70" s="17">
        <f t="shared" si="47"/>
        <v>160</v>
      </c>
      <c r="L70" s="267">
        <v>15</v>
      </c>
      <c r="M70" s="18">
        <f t="shared" si="44"/>
        <v>2287.8787878787884</v>
      </c>
      <c r="N70" s="17">
        <f t="shared" si="48"/>
        <v>152.52525252525257</v>
      </c>
      <c r="O70" s="19">
        <f t="shared" si="49"/>
        <v>0</v>
      </c>
      <c r="P70" s="20">
        <f t="shared" si="50"/>
        <v>-7.4747474747474314</v>
      </c>
      <c r="Q70" s="268">
        <f t="shared" si="51"/>
        <v>0.95328282828282851</v>
      </c>
      <c r="R70" s="489"/>
      <c r="S70" s="40">
        <v>0.34166666666666667</v>
      </c>
      <c r="T70" s="40">
        <v>0.47916666666666663</v>
      </c>
      <c r="U70" s="264">
        <f t="shared" si="46"/>
        <v>5.9999999999999787</v>
      </c>
      <c r="V70" s="266">
        <f t="shared" si="45"/>
        <v>197.99999999999994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52"/>
        <v>-112.12121212121156</v>
      </c>
      <c r="AF70" s="268">
        <f t="shared" si="53"/>
        <v>0.95328282828282851</v>
      </c>
      <c r="AG70" s="489"/>
    </row>
    <row r="71" spans="1:33" ht="16.5" customHeight="1">
      <c r="A71" s="498" t="s">
        <v>75</v>
      </c>
      <c r="B71" s="42" t="s">
        <v>71</v>
      </c>
      <c r="C71" s="492"/>
      <c r="D71" s="493"/>
      <c r="E71" s="270"/>
      <c r="F71" s="44"/>
      <c r="G71" s="17"/>
      <c r="H71" s="265"/>
      <c r="I71" s="30">
        <v>16.399999999999999</v>
      </c>
      <c r="J71" s="37">
        <v>2400</v>
      </c>
      <c r="K71" s="17">
        <f t="shared" si="47"/>
        <v>146.34146341463415</v>
      </c>
      <c r="L71" s="30">
        <v>16.399999999999999</v>
      </c>
      <c r="M71" s="18">
        <f>AVERAGE(M66:M70)</f>
        <v>2296.846893482104</v>
      </c>
      <c r="N71" s="17">
        <f t="shared" si="48"/>
        <v>140.05163984646975</v>
      </c>
      <c r="O71" s="19">
        <f t="shared" si="49"/>
        <v>0</v>
      </c>
      <c r="P71" s="20">
        <f t="shared" si="50"/>
        <v>-6.2898235681643939</v>
      </c>
      <c r="Q71" s="268">
        <f t="shared" si="51"/>
        <v>0.95701953895087666</v>
      </c>
      <c r="R71" s="489"/>
      <c r="S71" s="40"/>
      <c r="T71" s="40"/>
      <c r="U71" s="17"/>
      <c r="V71" s="266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v>6</v>
      </c>
      <c r="AD71" s="31">
        <f>SUM(AD66:AD70)</f>
        <v>0</v>
      </c>
      <c r="AE71" s="19">
        <f t="shared" si="52"/>
        <v>-103.15310651789605</v>
      </c>
      <c r="AF71" s="268">
        <f t="shared" si="53"/>
        <v>0.95701953895087666</v>
      </c>
      <c r="AG71" s="489"/>
    </row>
    <row r="72" spans="1:33">
      <c r="D72" s="33"/>
      <c r="E72" s="33"/>
    </row>
  </sheetData>
  <mergeCells count="194"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G61:AG65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61:A65"/>
    <mergeCell ref="C61:D61"/>
    <mergeCell ref="R61:R65"/>
    <mergeCell ref="AA61:AB61"/>
    <mergeCell ref="AA55:AB55"/>
    <mergeCell ref="AA56:AB56"/>
    <mergeCell ref="C57:D57"/>
    <mergeCell ref="AA57:AB57"/>
    <mergeCell ref="C58:D58"/>
    <mergeCell ref="AA58:AB58"/>
    <mergeCell ref="A52:A60"/>
    <mergeCell ref="C52:D52"/>
    <mergeCell ref="R52:R60"/>
    <mergeCell ref="AA52:AB52"/>
    <mergeCell ref="AG44:AG51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G52:AG60"/>
    <mergeCell ref="C53:D53"/>
    <mergeCell ref="AA53:AB53"/>
    <mergeCell ref="C54:D54"/>
    <mergeCell ref="AA54:AB54"/>
    <mergeCell ref="C59:D59"/>
    <mergeCell ref="AA59:AB59"/>
    <mergeCell ref="C60:D60"/>
    <mergeCell ref="AA60:AB60"/>
    <mergeCell ref="A36:A43"/>
    <mergeCell ref="C36:D36"/>
    <mergeCell ref="R36:R43"/>
    <mergeCell ref="AA36:AB36"/>
    <mergeCell ref="C43:D43"/>
    <mergeCell ref="AA43:AB43"/>
    <mergeCell ref="A44:A51"/>
    <mergeCell ref="C44:D44"/>
    <mergeCell ref="R44:R51"/>
    <mergeCell ref="AA44:AB44"/>
    <mergeCell ref="AA49:AB49"/>
    <mergeCell ref="C50:D50"/>
    <mergeCell ref="AA50:AB50"/>
    <mergeCell ref="C51:D51"/>
    <mergeCell ref="AA51:AB51"/>
    <mergeCell ref="AG36:AG43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C41:D41"/>
    <mergeCell ref="AA41:AB41"/>
    <mergeCell ref="C42:D42"/>
    <mergeCell ref="AA42:AB42"/>
    <mergeCell ref="A30:A35"/>
    <mergeCell ref="C30:D30"/>
    <mergeCell ref="R30:R35"/>
    <mergeCell ref="AA30:AB30"/>
    <mergeCell ref="AA35:AB35"/>
    <mergeCell ref="AA25:AB25"/>
    <mergeCell ref="C26:D26"/>
    <mergeCell ref="AA26:AB26"/>
    <mergeCell ref="C27:D27"/>
    <mergeCell ref="AA27:AB27"/>
    <mergeCell ref="C28:D28"/>
    <mergeCell ref="AA28:AB28"/>
    <mergeCell ref="A22:A29"/>
    <mergeCell ref="C22:D22"/>
    <mergeCell ref="R22:R29"/>
    <mergeCell ref="AA22:AB22"/>
    <mergeCell ref="AG22:AG29"/>
    <mergeCell ref="C23:D23"/>
    <mergeCell ref="AA23:AB23"/>
    <mergeCell ref="C24:D24"/>
    <mergeCell ref="AA24:AB24"/>
    <mergeCell ref="C25:D25"/>
    <mergeCell ref="C18:D18"/>
    <mergeCell ref="AA18:AB18"/>
    <mergeCell ref="C19:D19"/>
    <mergeCell ref="AA19:AB19"/>
    <mergeCell ref="AA20:AB20"/>
    <mergeCell ref="C21:D21"/>
    <mergeCell ref="AA21:AB21"/>
    <mergeCell ref="C29:D29"/>
    <mergeCell ref="AA29:AB29"/>
    <mergeCell ref="A14:A21"/>
    <mergeCell ref="C14:D14"/>
    <mergeCell ref="R14:R21"/>
    <mergeCell ref="AA14:AB14"/>
    <mergeCell ref="AG14:AG21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61 O64:O71 O5:O11 O13:O15 O51:O57 O21:O49">
    <cfRule type="cellIs" dxfId="1411" priority="59" operator="greaterThan">
      <formula>0</formula>
    </cfRule>
  </conditionalFormatting>
  <conditionalFormatting sqref="P5:P9 P64 AE64 P66:P70 P30:P34 P61 P11 P13:P15 P22:P28 P52:P57 P36:P49 AE5:AE61 AE66:AE71">
    <cfRule type="cellIs" dxfId="1410" priority="63" operator="lessThan">
      <formula>0</formula>
    </cfRule>
  </conditionalFormatting>
  <conditionalFormatting sqref="AF64 Q60:Q61 Q64:Q71 Q5:Q11 Q13:Q15 Q51:Q57 Q21:Q49 AF5:AF61 AF66:AF71">
    <cfRule type="cellIs" dxfId="1409" priority="60" operator="greaterThan">
      <formula>1</formula>
    </cfRule>
    <cfRule type="cellIs" dxfId="1408" priority="61" operator="lessThan">
      <formula>0.8</formula>
    </cfRule>
  </conditionalFormatting>
  <conditionalFormatting sqref="AG14:AG15 R14:R15 AG64 R21:R27 AG21:AG27 AG60:AG61 R60:R61 R64:R71 AG5:AG11 R5:R11 R29:R49 AG29:AG49 AG51:AG57 R51:R57">
    <cfRule type="cellIs" dxfId="1407" priority="65" operator="lessThan">
      <formula>0.8</formula>
    </cfRule>
  </conditionalFormatting>
  <conditionalFormatting sqref="AG44">
    <cfRule type="cellIs" dxfId="1406" priority="67" operator="lessThan">
      <formula>0.8</formula>
    </cfRule>
  </conditionalFormatting>
  <conditionalFormatting sqref="AG22:AG27">
    <cfRule type="cellIs" dxfId="1405" priority="64" operator="lessThan">
      <formula>0.8</formula>
    </cfRule>
  </conditionalFormatting>
  <conditionalFormatting sqref="AG30">
    <cfRule type="cellIs" dxfId="1404" priority="66" operator="lessThan">
      <formula>0.8</formula>
    </cfRule>
  </conditionalFormatting>
  <conditionalFormatting sqref="AG36:AG42">
    <cfRule type="cellIs" dxfId="1403" priority="62" operator="lessThan">
      <formula>0.8</formula>
    </cfRule>
  </conditionalFormatting>
  <conditionalFormatting sqref="AE65">
    <cfRule type="cellIs" dxfId="1402" priority="58" operator="lessThan">
      <formula>0</formula>
    </cfRule>
  </conditionalFormatting>
  <conditionalFormatting sqref="AF65">
    <cfRule type="cellIs" dxfId="1401" priority="56" operator="greaterThan">
      <formula>1</formula>
    </cfRule>
    <cfRule type="cellIs" dxfId="1400" priority="57" operator="lessThan">
      <formula>0.8</formula>
    </cfRule>
  </conditionalFormatting>
  <conditionalFormatting sqref="O16:O17">
    <cfRule type="cellIs" dxfId="1399" priority="51" operator="greaterThan">
      <formula>0</formula>
    </cfRule>
  </conditionalFormatting>
  <conditionalFormatting sqref="P16:P17">
    <cfRule type="cellIs" dxfId="1398" priority="54" operator="lessThan">
      <formula>0</formula>
    </cfRule>
  </conditionalFormatting>
  <conditionalFormatting sqref="Q16:Q17">
    <cfRule type="cellIs" dxfId="1397" priority="52" operator="greaterThan">
      <formula>1</formula>
    </cfRule>
    <cfRule type="cellIs" dxfId="1396" priority="53" operator="lessThan">
      <formula>0.8</formula>
    </cfRule>
  </conditionalFormatting>
  <conditionalFormatting sqref="R16:R17 AG16:AG17">
    <cfRule type="cellIs" dxfId="1395" priority="55" operator="lessThan">
      <formula>0.8</formula>
    </cfRule>
  </conditionalFormatting>
  <conditionalFormatting sqref="O12">
    <cfRule type="cellIs" dxfId="1394" priority="47" operator="greaterThan">
      <formula>0</formula>
    </cfRule>
  </conditionalFormatting>
  <conditionalFormatting sqref="P12">
    <cfRule type="cellIs" dxfId="1393" priority="50" operator="lessThan">
      <formula>0</formula>
    </cfRule>
  </conditionalFormatting>
  <conditionalFormatting sqref="Q12">
    <cfRule type="cellIs" dxfId="1392" priority="48" operator="greaterThan">
      <formula>1</formula>
    </cfRule>
    <cfRule type="cellIs" dxfId="1391" priority="49" operator="lessThan">
      <formula>0.8</formula>
    </cfRule>
  </conditionalFormatting>
  <conditionalFormatting sqref="O58">
    <cfRule type="cellIs" dxfId="1390" priority="42" operator="greaterThan">
      <formula>0</formula>
    </cfRule>
  </conditionalFormatting>
  <conditionalFormatting sqref="P58">
    <cfRule type="cellIs" dxfId="1389" priority="45" operator="lessThan">
      <formula>0</formula>
    </cfRule>
  </conditionalFormatting>
  <conditionalFormatting sqref="Q58">
    <cfRule type="cellIs" dxfId="1388" priority="43" operator="greaterThan">
      <formula>1</formula>
    </cfRule>
    <cfRule type="cellIs" dxfId="1387" priority="44" operator="lessThan">
      <formula>0.8</formula>
    </cfRule>
  </conditionalFormatting>
  <conditionalFormatting sqref="R58 AG58">
    <cfRule type="cellIs" dxfId="1386" priority="46" operator="lessThan">
      <formula>0.8</formula>
    </cfRule>
  </conditionalFormatting>
  <conditionalFormatting sqref="O63">
    <cfRule type="cellIs" dxfId="1385" priority="37" operator="greaterThan">
      <formula>0</formula>
    </cfRule>
  </conditionalFormatting>
  <conditionalFormatting sqref="P63 AE63">
    <cfRule type="cellIs" dxfId="1384" priority="40" operator="lessThan">
      <formula>0</formula>
    </cfRule>
  </conditionalFormatting>
  <conditionalFormatting sqref="Q63 AF63">
    <cfRule type="cellIs" dxfId="1383" priority="38" operator="greaterThan">
      <formula>1</formula>
    </cfRule>
    <cfRule type="cellIs" dxfId="1382" priority="39" operator="lessThan">
      <formula>0.8</formula>
    </cfRule>
  </conditionalFormatting>
  <conditionalFormatting sqref="R63 AG63">
    <cfRule type="cellIs" dxfId="1381" priority="41" operator="lessThan">
      <formula>0.8</formula>
    </cfRule>
  </conditionalFormatting>
  <conditionalFormatting sqref="O18:O19">
    <cfRule type="cellIs" dxfId="1380" priority="32" operator="greaterThan">
      <formula>0</formula>
    </cfRule>
  </conditionalFormatting>
  <conditionalFormatting sqref="P18:P19">
    <cfRule type="cellIs" dxfId="1379" priority="35" operator="lessThan">
      <formula>0</formula>
    </cfRule>
  </conditionalFormatting>
  <conditionalFormatting sqref="Q18:Q19">
    <cfRule type="cellIs" dxfId="1378" priority="33" operator="greaterThan">
      <formula>1</formula>
    </cfRule>
    <cfRule type="cellIs" dxfId="1377" priority="34" operator="lessThan">
      <formula>0.8</formula>
    </cfRule>
  </conditionalFormatting>
  <conditionalFormatting sqref="R18:R19 AG18:AG19">
    <cfRule type="cellIs" dxfId="1376" priority="36" operator="lessThan">
      <formula>0.8</formula>
    </cfRule>
  </conditionalFormatting>
  <conditionalFormatting sqref="O50">
    <cfRule type="cellIs" dxfId="1375" priority="26" operator="greaterThan">
      <formula>0</formula>
    </cfRule>
  </conditionalFormatting>
  <conditionalFormatting sqref="P50">
    <cfRule type="cellIs" dxfId="1374" priority="30" operator="lessThan">
      <formula>0</formula>
    </cfRule>
  </conditionalFormatting>
  <conditionalFormatting sqref="Q50">
    <cfRule type="cellIs" dxfId="1373" priority="27" operator="greaterThan">
      <formula>1</formula>
    </cfRule>
    <cfRule type="cellIs" dxfId="1372" priority="28" operator="lessThan">
      <formula>0.8</formula>
    </cfRule>
  </conditionalFormatting>
  <conditionalFormatting sqref="R50 AG50">
    <cfRule type="cellIs" dxfId="1371" priority="31" operator="lessThan">
      <formula>0.8</formula>
    </cfRule>
  </conditionalFormatting>
  <conditionalFormatting sqref="AG50">
    <cfRule type="cellIs" dxfId="1370" priority="29" operator="lessThan">
      <formula>0.8</formula>
    </cfRule>
  </conditionalFormatting>
  <conditionalFormatting sqref="O59">
    <cfRule type="cellIs" dxfId="1369" priority="21" operator="greaterThan">
      <formula>0</formula>
    </cfRule>
  </conditionalFormatting>
  <conditionalFormatting sqref="P59">
    <cfRule type="cellIs" dxfId="1368" priority="24" operator="lessThan">
      <formula>0</formula>
    </cfRule>
  </conditionalFormatting>
  <conditionalFormatting sqref="Q59">
    <cfRule type="cellIs" dxfId="1367" priority="22" operator="greaterThan">
      <formula>1</formula>
    </cfRule>
    <cfRule type="cellIs" dxfId="1366" priority="23" operator="lessThan">
      <formula>0.8</formula>
    </cfRule>
  </conditionalFormatting>
  <conditionalFormatting sqref="AG59 R59">
    <cfRule type="cellIs" dxfId="1365" priority="25" operator="lessThan">
      <formula>0.8</formula>
    </cfRule>
  </conditionalFormatting>
  <conditionalFormatting sqref="R28 AG28">
    <cfRule type="cellIs" dxfId="1364" priority="20" operator="lessThan">
      <formula>0.8</formula>
    </cfRule>
  </conditionalFormatting>
  <conditionalFormatting sqref="AG28">
    <cfRule type="cellIs" dxfId="1363" priority="19" operator="lessThan">
      <formula>0.8</formula>
    </cfRule>
  </conditionalFormatting>
  <conditionalFormatting sqref="O62">
    <cfRule type="cellIs" dxfId="1362" priority="14" operator="greaterThan">
      <formula>0</formula>
    </cfRule>
  </conditionalFormatting>
  <conditionalFormatting sqref="P62 AE62">
    <cfRule type="cellIs" dxfId="1361" priority="17" operator="lessThan">
      <formula>0</formula>
    </cfRule>
  </conditionalFormatting>
  <conditionalFormatting sqref="Q62 AF62">
    <cfRule type="cellIs" dxfId="1360" priority="15" operator="greaterThan">
      <formula>1</formula>
    </cfRule>
    <cfRule type="cellIs" dxfId="1359" priority="16" operator="lessThan">
      <formula>0.8</formula>
    </cfRule>
  </conditionalFormatting>
  <conditionalFormatting sqref="R62 AG62">
    <cfRule type="cellIs" dxfId="1358" priority="18" operator="lessThan">
      <formula>0.8</formula>
    </cfRule>
  </conditionalFormatting>
  <conditionalFormatting sqref="O20">
    <cfRule type="cellIs" dxfId="1357" priority="9" operator="greaterThan">
      <formula>0</formula>
    </cfRule>
  </conditionalFormatting>
  <conditionalFormatting sqref="P20">
    <cfRule type="cellIs" dxfId="1356" priority="12" operator="lessThan">
      <formula>0</formula>
    </cfRule>
  </conditionalFormatting>
  <conditionalFormatting sqref="Q20">
    <cfRule type="cellIs" dxfId="1355" priority="10" operator="greaterThan">
      <formula>1</formula>
    </cfRule>
    <cfRule type="cellIs" dxfId="1354" priority="11" operator="lessThan">
      <formula>0.8</formula>
    </cfRule>
  </conditionalFormatting>
  <conditionalFormatting sqref="AG20 R20">
    <cfRule type="cellIs" dxfId="1353" priority="13" operator="lessThan">
      <formula>0.8</formula>
    </cfRule>
  </conditionalFormatting>
  <conditionalFormatting sqref="P10">
    <cfRule type="cellIs" dxfId="1352" priority="8" operator="lessThan">
      <formula>0</formula>
    </cfRule>
  </conditionalFormatting>
  <conditionalFormatting sqref="P21">
    <cfRule type="cellIs" dxfId="1351" priority="7" operator="lessThan">
      <formula>0</formula>
    </cfRule>
  </conditionalFormatting>
  <conditionalFormatting sqref="P29">
    <cfRule type="cellIs" dxfId="1350" priority="6" operator="lessThan">
      <formula>0</formula>
    </cfRule>
  </conditionalFormatting>
  <conditionalFormatting sqref="P35">
    <cfRule type="cellIs" dxfId="1349" priority="5" operator="lessThan">
      <formula>0</formula>
    </cfRule>
  </conditionalFormatting>
  <conditionalFormatting sqref="P51">
    <cfRule type="cellIs" dxfId="1348" priority="4" operator="lessThan">
      <formula>0</formula>
    </cfRule>
  </conditionalFormatting>
  <conditionalFormatting sqref="P60">
    <cfRule type="cellIs" dxfId="1347" priority="3" operator="lessThan">
      <formula>0</formula>
    </cfRule>
  </conditionalFormatting>
  <conditionalFormatting sqref="P65">
    <cfRule type="cellIs" dxfId="1346" priority="2" operator="lessThan">
      <formula>0</formula>
    </cfRule>
  </conditionalFormatting>
  <conditionalFormatting sqref="P71">
    <cfRule type="cellIs" dxfId="1345" priority="1" operator="lessThan">
      <formula>0</formula>
    </cfRule>
  </conditionalFormatting>
  <dataValidations count="1">
    <dataValidation type="list" allowBlank="1" showInputMessage="1" showErrorMessage="1" sqref="AB10 AA5:AB9 AA10:AA64 AB12:AB61 AA65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L9" sqref="L9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1399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1400</v>
      </c>
      <c r="C3" s="478" t="str">
        <f>TEXT('0116 4度C'!A2,"yyyy.mm.ddaaaa")</f>
        <v>2026.01.16星期五</v>
      </c>
      <c r="D3" s="479"/>
      <c r="E3" s="56" t="s">
        <v>162</v>
      </c>
      <c r="F3" s="480">
        <f>'0116 4度C'!D1</f>
        <v>142659</v>
      </c>
      <c r="G3" s="481"/>
      <c r="H3" s="56" t="s">
        <v>1401</v>
      </c>
      <c r="I3" s="482">
        <f>'0116 4度C'!F1</f>
        <v>4782466.33</v>
      </c>
      <c r="J3" s="483"/>
      <c r="K3" s="57"/>
      <c r="L3" s="58"/>
      <c r="M3" s="59"/>
      <c r="N3" s="59"/>
    </row>
    <row r="4" spans="2:17" ht="28.5" customHeight="1">
      <c r="B4" s="484" t="s">
        <v>1402</v>
      </c>
      <c r="C4" s="470" t="s">
        <v>1403</v>
      </c>
      <c r="D4" s="471"/>
      <c r="E4" s="487" t="s">
        <v>1404</v>
      </c>
      <c r="F4" s="488"/>
      <c r="G4" s="487" t="s">
        <v>1405</v>
      </c>
      <c r="H4" s="488"/>
      <c r="I4" s="487" t="s">
        <v>1406</v>
      </c>
      <c r="J4" s="488"/>
      <c r="K4" s="468" t="s">
        <v>1407</v>
      </c>
      <c r="L4" s="469"/>
      <c r="M4" s="469" t="s">
        <v>1408</v>
      </c>
      <c r="N4" s="469"/>
    </row>
    <row r="5" spans="2:17" ht="28.5" customHeight="1">
      <c r="B5" s="485"/>
      <c r="C5" s="470" t="s">
        <v>1409</v>
      </c>
      <c r="D5" s="471"/>
      <c r="E5" s="470" t="s">
        <v>1410</v>
      </c>
      <c r="F5" s="471"/>
      <c r="G5" s="472" t="s">
        <v>1411</v>
      </c>
      <c r="H5" s="473"/>
      <c r="I5" s="474" t="s">
        <v>1412</v>
      </c>
      <c r="J5" s="475"/>
      <c r="K5" s="60" t="s">
        <v>1413</v>
      </c>
      <c r="L5" s="61" t="s">
        <v>1414</v>
      </c>
      <c r="M5" s="60" t="s">
        <v>1413</v>
      </c>
      <c r="N5" s="61" t="s">
        <v>1415</v>
      </c>
    </row>
    <row r="6" spans="2:17" ht="28.5" customHeight="1">
      <c r="B6" s="485"/>
      <c r="C6" s="470" t="s">
        <v>144</v>
      </c>
      <c r="D6" s="471"/>
      <c r="E6" s="462">
        <f>AVERAGE(D13:M13)</f>
        <v>141.09201026328731</v>
      </c>
      <c r="F6" s="463">
        <f>AVERAGE(D31:O31,D13:J13)</f>
        <v>142.3035916423498</v>
      </c>
      <c r="G6" s="464">
        <f>AVERAGE(D13:J13)</f>
        <v>142.3035916423498</v>
      </c>
      <c r="H6" s="465"/>
      <c r="I6" s="464">
        <f>AVERAGE(K13:M13)</f>
        <v>138.26498704547487</v>
      </c>
      <c r="J6" s="465"/>
      <c r="K6" s="466">
        <f>'0116 4度C'!Y2</f>
        <v>0</v>
      </c>
      <c r="L6" s="451">
        <f>'0116 4度C'!Z2</f>
        <v>0</v>
      </c>
      <c r="M6" s="467">
        <f>'0116 4度C'!AC2</f>
        <v>33</v>
      </c>
      <c r="N6" s="451">
        <f>'0116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135.23099108357212</v>
      </c>
      <c r="F7" s="455">
        <f>AVERAGE(D32:O32,D14:J14)</f>
        <v>136.43877400284188</v>
      </c>
      <c r="G7" s="456">
        <f>AVERAGE(D14:J14)</f>
        <v>136.43877400284188</v>
      </c>
      <c r="H7" s="457"/>
      <c r="I7" s="456">
        <f>AVERAGE(K14:M14)</f>
        <v>132.41283093860929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0.95757258834524561</v>
      </c>
      <c r="F8" s="459">
        <f>AVERAGE(D15:J15,D33:O33)</f>
        <v>0.95755490792457565</v>
      </c>
      <c r="G8" s="460">
        <f>AVERAGE(D15:J15)</f>
        <v>0.95755490792457565</v>
      </c>
      <c r="H8" s="461"/>
      <c r="I8" s="460">
        <f>AVERAGE(K15:M15)</f>
        <v>0.95761384266014193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1416</v>
      </c>
      <c r="N9" s="59"/>
      <c r="O9" s="59"/>
      <c r="P9" s="59"/>
      <c r="Q9" s="59"/>
    </row>
    <row r="10" spans="2:17" ht="30" customHeight="1">
      <c r="B10" s="434" t="s">
        <v>1417</v>
      </c>
      <c r="C10" s="435"/>
      <c r="D10" s="436" t="s">
        <v>1418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1419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1420</v>
      </c>
      <c r="C13" s="72" t="s">
        <v>1421</v>
      </c>
      <c r="D13" s="73">
        <f>SUMIFS('0116 4度C'!$K:$K,'0116 4度C'!$A:$A,"新豐6線",'0116 4度C'!$B:$B,"平均")</f>
        <v>112.35955056179775</v>
      </c>
      <c r="E13" s="74">
        <f>SUMIFS('0116 4度C'!$K:$K,'0116 4度C'!$A:$A,"新豐2線",'0116 4度C'!$B:$B,"平均")</f>
        <v>83.333333333333329</v>
      </c>
      <c r="F13" s="75">
        <f>SUMIFS('0116 4度C'!$K:$K,'0116 4度C'!$A:$A,"新豐5線",'0116 4度C'!$B:$B,"平均")</f>
        <v>105.0420168067227</v>
      </c>
      <c r="G13" s="75">
        <f>SUMIFS('0116 4度C'!$K:$K,'0116 4度C'!$A:$A,"新豐7線",'0116 4度C'!$B:$B,"平均")</f>
        <v>114.03508771929825</v>
      </c>
      <c r="H13" s="75">
        <f>SUMIFS('0116 4度C'!$K:$K,'0116 4度C'!$A:$A,"新豐3線",'0116 4度C'!$B:$B,"平均")</f>
        <v>273.97260273972603</v>
      </c>
      <c r="I13" s="75">
        <f>SUMIFS('0116 4度C'!$K:$K,'0116 4度C'!$A:$A,"新豐1線",'0116 4度C'!$B:$B,"平均")</f>
        <v>107.38255033557047</v>
      </c>
      <c r="J13" s="76">
        <f>SUMIFS('0116 4度C'!$K:$K,'0116 4度C'!$A:$A,"新豐10線",'0116 4度C'!$B:$B,"平均")</f>
        <v>200</v>
      </c>
      <c r="K13" s="77">
        <f>SUMIFS('0116 4度C'!$K:$K,'0116 4度C'!$A:$A,"新豐8線",'0116 4度C'!$B:$B,"平均")</f>
        <v>131.86813186813188</v>
      </c>
      <c r="L13" s="78">
        <f>SUMIFS('0116 4度C'!$K:$K,'0116 4度C'!$A:$A,"新豐9線",'0116 4度C'!$B:$B,"平均")</f>
        <v>136.58536585365852</v>
      </c>
      <c r="M13" s="76">
        <f>SUMIFS('0116 4度C'!$K:$K,'0116 4度C'!$A:$A,"新豐4線",'0116 4度C'!$B:$B,"平均")</f>
        <v>146.34146341463415</v>
      </c>
    </row>
    <row r="14" spans="2:17" ht="39.6" customHeight="1">
      <c r="B14" s="447"/>
      <c r="C14" s="79" t="s">
        <v>1422</v>
      </c>
      <c r="D14" s="80">
        <f>SUMIFS('0116 4度C'!$N:$N,'0116 4度C'!$A:$A,"新豐6線",'0116 4度C'!$B:$B,"平均")</f>
        <v>108.86142469066253</v>
      </c>
      <c r="E14" s="81">
        <f>SUMIFS('0116 4度C'!$N:$N,'0116 4度C'!$A:$A,"新豐2線",'0116 4度C'!$B:$B,"平均")</f>
        <v>79.696154306117933</v>
      </c>
      <c r="F14" s="81">
        <f>SUMIFS('0116 4度C'!$N:$N,'0116 4度C'!$A:$A,"新豐5線",'0116 4度C'!$B:$B,"平均")</f>
        <v>100.63047800366988</v>
      </c>
      <c r="G14" s="81">
        <f>SUMIFS('0116 4度C'!$N:$N,'0116 4度C'!$A:$A,"新豐7線",'0116 4度C'!$B:$B,"平均")</f>
        <v>109.76038988225359</v>
      </c>
      <c r="H14" s="81">
        <f>SUMIFS('0116 4度C'!$N:$N,'0116 4度C'!$A:$A,"新豐3線",'0116 4度C'!$B:$B,"平均")</f>
        <v>263.89213905904671</v>
      </c>
      <c r="I14" s="81">
        <f>SUMIFS('0116 4度C'!$N:$N,'0116 4度C'!$A:$A,"新豐1線",'0116 4度C'!$B:$B,"平均")</f>
        <v>100.3564098092348</v>
      </c>
      <c r="J14" s="82">
        <f>SUMIFS('0116 4度C'!$N:$N,'0116 4度C'!$A:$A,"新豐10線",'0116 4度C'!$B:$B,"平均")</f>
        <v>191.87442226890761</v>
      </c>
      <c r="K14" s="83">
        <f>SUMIFS('0116 4度C'!$N:$N,'0116 4度C'!$A:$A,"新豐8線",'0116 4度C'!$B:$B,"平均")</f>
        <v>126.0083413874838</v>
      </c>
      <c r="L14" s="84">
        <f>SUMIFS('0116 4度C'!$N:$N,'0116 4度C'!$A:$A,"新豐9線",'0116 4度C'!$B:$B,"平均")</f>
        <v>130.8601943087578</v>
      </c>
      <c r="M14" s="82">
        <f>SUMIFS('0116 4度C'!$N:$N,'0116 4度C'!$A:$A,"新豐4線",'0116 4度C'!$B:$B,"平均")</f>
        <v>140.36995711958633</v>
      </c>
    </row>
    <row r="15" spans="2:17" ht="40.15" customHeight="1">
      <c r="B15" s="448"/>
      <c r="C15" s="85" t="s">
        <v>1423</v>
      </c>
      <c r="D15" s="86">
        <f t="shared" ref="D15:M15" si="0">D14/D13</f>
        <v>0.96886667974689655</v>
      </c>
      <c r="E15" s="87">
        <f t="shared" si="0"/>
        <v>0.95635385167341525</v>
      </c>
      <c r="F15" s="87">
        <f t="shared" si="0"/>
        <v>0.9580021505949371</v>
      </c>
      <c r="G15" s="87">
        <f t="shared" si="0"/>
        <v>0.96251418819822376</v>
      </c>
      <c r="H15" s="87">
        <f t="shared" si="0"/>
        <v>0.9632063075655205</v>
      </c>
      <c r="I15" s="87">
        <f t="shared" si="0"/>
        <v>0.93456906634849912</v>
      </c>
      <c r="J15" s="88">
        <f t="shared" si="0"/>
        <v>0.95937211134453804</v>
      </c>
      <c r="K15" s="86">
        <f t="shared" si="0"/>
        <v>0.95556325552175203</v>
      </c>
      <c r="L15" s="87">
        <f t="shared" si="0"/>
        <v>0.95808356547483398</v>
      </c>
      <c r="M15" s="88">
        <f t="shared" si="0"/>
        <v>0.95919470698383991</v>
      </c>
    </row>
    <row r="16" spans="2:17" ht="17.25" customHeight="1">
      <c r="B16" s="449" t="s">
        <v>1424</v>
      </c>
      <c r="C16" s="89" t="s">
        <v>1425</v>
      </c>
      <c r="D16" s="90">
        <f>VLOOKUP("新豐6線",'0116 4度C'!$A:$T,19,0)</f>
        <v>0.70833333333333337</v>
      </c>
      <c r="E16" s="91">
        <f>VLOOKUP("新豐2線",'0116 4度C'!$A:$T,19,0)</f>
        <v>0.16666666666666666</v>
      </c>
      <c r="F16" s="91">
        <f>VLOOKUP("新豐5線",'0116 4度C'!$A:$T,19,0)</f>
        <v>0.20833333333333334</v>
      </c>
      <c r="G16" s="91">
        <f>VLOOKUP("新豐7線",'0116 4度C'!$A:$T,19,0)</f>
        <v>0.20833333333333334</v>
      </c>
      <c r="H16" s="91">
        <f>VLOOKUP("新豐3線",'0116 4度C'!$A:$T,19,0)</f>
        <v>8.3333333333333329E-2</v>
      </c>
      <c r="I16" s="91">
        <f>VLOOKUP("新豐1線",'0116 4度C'!$A:$T,19,0)</f>
        <v>0.20833333333333334</v>
      </c>
      <c r="J16" s="92">
        <f>VLOOKUP("新豐10線",'0116 4度C'!$A:$T,19,0)</f>
        <v>0.20833333333333334</v>
      </c>
      <c r="K16" s="93">
        <f>VLOOKUP("新豐8線",'0116 4度C'!$A:$T,19,0)</f>
        <v>8.3333333333333329E-2</v>
      </c>
      <c r="L16" s="94">
        <f>VLOOKUP("新豐9線",'0116 4度C'!$A:$T,19,0)</f>
        <v>8.3333333333333329E-2</v>
      </c>
      <c r="M16" s="95">
        <f>VLOOKUP("新豐4線",'0116 4度C'!$A:$T,19,0)</f>
        <v>8.3333333333333329E-2</v>
      </c>
    </row>
    <row r="17" spans="2:13" ht="17.25" customHeight="1">
      <c r="B17" s="450"/>
      <c r="C17" s="89" t="s">
        <v>1426</v>
      </c>
      <c r="D17" s="93">
        <f>LOOKUP(2,1/(('0116 4度C'!$A:$A="新豐6線")*('0116 4度C'!$T:$T&lt;&gt;"")),'0116 4度C'!$T:$T)</f>
        <v>0.8486111111111112</v>
      </c>
      <c r="E17" s="91">
        <f>LOOKUP(2,1/(('0116 4度C'!$A:$A="新豐2線")*('0116 4度C'!$T:$T&lt;&gt;"")),'0116 4度C'!$T:$T)</f>
        <v>0.38541666666666663</v>
      </c>
      <c r="F17" s="91">
        <f>LOOKUP(2,1/(('0116 4度C'!$A:$A="新豐5線")*('0116 4度C'!$T:$T&lt;&gt;"")),'0116 4度C'!$T:$T)</f>
        <v>0.84652777777777777</v>
      </c>
      <c r="G17" s="91">
        <f>LOOKUP(2,1/(('0116 4度C'!$A:$A="新豐7線")*('0116 4度C'!$T:$T&lt;&gt;"")),'0116 4度C'!$T:$T)</f>
        <v>0.85763888888888884</v>
      </c>
      <c r="H17" s="91">
        <f>LOOKUP(2,1/(('0116 4度C'!$A:$A="新豐3線")*('0116 4度C'!$T:$T&lt;&gt;"")),'0116 4度C'!$T:$T)</f>
        <v>0.46319444444444435</v>
      </c>
      <c r="I17" s="91">
        <f>LOOKUP(2,1/(('0116 4度C'!$A:$A="新豐1線")*('0116 4度C'!$T:$T&lt;&gt;"")),'0116 4度C'!$T:$T)</f>
        <v>0.83958333333333335</v>
      </c>
      <c r="J17" s="92">
        <f>LOOKUP(2,1/(('0116 4度C'!$A:$A="新豐10線")*('0116 4度C'!$T:$T&lt;&gt;"")),'0116 4度C'!$T:$T)</f>
        <v>0.47708333333333325</v>
      </c>
      <c r="K17" s="90">
        <f>LOOKUP(2,1/(('0116 4度C'!$A:$A="新豐8線")*('0116 4度C'!$T:$T&lt;&gt;"")),'0116 4度C'!$T:$T)</f>
        <v>0.48541666666666666</v>
      </c>
      <c r="L17" s="91">
        <f>LOOKUP(2,1/(('0116 4度C'!$A:$A="新豐9線")*('0116 4度C'!$T:$T&lt;&gt;"")),'0116 4度C'!$T:$T)</f>
        <v>0.63402777777777775</v>
      </c>
      <c r="M17" s="92">
        <f>LOOKUP(2,1/(('0116 4度C'!$A:$A="新豐4線")*('0116 4度C'!$T:$T&lt;&gt;"")),'0116 4度C'!$T:$T)</f>
        <v>0.47499999999999998</v>
      </c>
    </row>
    <row r="18" spans="2:13" ht="17.25" customHeight="1">
      <c r="B18" s="428" t="s">
        <v>1427</v>
      </c>
      <c r="C18" s="96" t="s">
        <v>1428</v>
      </c>
      <c r="D18" s="97">
        <f>SUMIFS('0116 4度C'!$Y:$Y,'0116 4度C'!$A:$A,"新豐6線",'0116 4度C'!$B:$B,"平均")</f>
        <v>0</v>
      </c>
      <c r="E18" s="98">
        <f>SUMIFS('0116 4度C'!$Y:$Y,'0116 4度C'!$A:$A,"新豐2線",'0116 4度C'!$B:$B,"平均")</f>
        <v>0</v>
      </c>
      <c r="F18" s="98">
        <f>SUMIFS('0116 4度C'!$Y:$Y,'0116 4度C'!$A:$A,"新豐5線",'0116 4度C'!$B:$B,"平均")</f>
        <v>0</v>
      </c>
      <c r="G18" s="98">
        <f>SUMIFS('0116 4度C'!$Y:$Y,'0116 4度C'!$A:$A,"新豐7線",'0116 4度C'!$B:$B,"平均")</f>
        <v>0</v>
      </c>
      <c r="H18" s="98">
        <f>SUMIFS('0116 4度C'!$Y:$Y,'0116 4度C'!$A:$A,"新豐3線",'0116 4度C'!$B:$B,"平均")</f>
        <v>0</v>
      </c>
      <c r="I18" s="98">
        <f>SUMIFS('0116 4度C'!$Y:$Y,'0116 4度C'!$A:$A,"新豐1線",'0116 4度C'!$B:$B,"平均")</f>
        <v>0</v>
      </c>
      <c r="J18" s="99">
        <f>SUMIFS('0116 4度C'!$Y:$Y,'0116 4度C'!$A:$A,"新豐10線",'0116 4度C'!$B:$B,"平均")</f>
        <v>0</v>
      </c>
      <c r="K18" s="100">
        <f>SUMIFS('0116 4度C'!$Y:$Y,'0116 4度C'!$A:$A,"新豐8線",'0116 4度C'!$B:$B,"平均")</f>
        <v>0</v>
      </c>
      <c r="L18" s="98">
        <f>SUMIFS('0116 4度C'!$Y:$Y,'0116 4度C'!$A:$A,"新豐9線",'0116 4度C'!$B:$B,"平均")</f>
        <v>0</v>
      </c>
      <c r="M18" s="99">
        <f>SUMIFS('0116 4度C'!$Y:$Y,'0116 4度C'!$A:$A,"新豐4線",'0116 4度C'!$B:$B,"平均")</f>
        <v>0</v>
      </c>
    </row>
    <row r="19" spans="2:13" ht="17.25" customHeight="1">
      <c r="B19" s="429"/>
      <c r="C19" s="96" t="s">
        <v>1429</v>
      </c>
      <c r="D19" s="97">
        <f>SUMIFS('0116 4度C'!$Z:$Z,'0116 4度C'!$A:$A,"新豐6線",'0116 4度C'!$B:$B,"平均")</f>
        <v>0</v>
      </c>
      <c r="E19" s="98">
        <f>SUMIFS('0116 4度C'!$Z:$Z,'0116 4度C'!$A:$A,"新豐2線",'0116 4度C'!$B:$B,"平均")</f>
        <v>0</v>
      </c>
      <c r="F19" s="98">
        <f>SUMIFS('0116 4度C'!$Z:$Z,'0116 4度C'!$A:$A,"新豐5線",'0116 4度C'!$B:$B,"平均")</f>
        <v>0</v>
      </c>
      <c r="G19" s="98">
        <f>SUMIFS('0116 4度C'!$Z:$Z,'0116 4度C'!$A:$A,"新豐7線",'0116 4度C'!$B:$B,"平均")</f>
        <v>0</v>
      </c>
      <c r="H19" s="98">
        <f>SUMIFS('0116 4度C'!$Z:$Z,'0116 4度C'!$A:$A,"新豐3線",'0116 4度C'!$B:$B,"平均")</f>
        <v>0</v>
      </c>
      <c r="I19" s="98">
        <f>SUMIFS('0116 4度C'!$Z:$Z,'0116 4度C'!$A:$A,"新豐1線",'0116 4度C'!$B:$B,"平均")</f>
        <v>0</v>
      </c>
      <c r="J19" s="99">
        <f>SUMIFS('0116 4度C'!$Z:$Z,'0116 4度C'!$A:$A,"新豐10線",'0116 4度C'!$B:$B,"平均")</f>
        <v>0</v>
      </c>
      <c r="K19" s="100">
        <f>SUMIFS('0116 4度C'!$Z:$Z,'0116 4度C'!$A:$A,"新豐8線",'0116 4度C'!$B:$B,"平均")</f>
        <v>0</v>
      </c>
      <c r="L19" s="98">
        <f>SUMIFS('0116 4度C'!$Z:$Z,'0116 4度C'!$A:$A,"新豐9線",'0116 4度C'!$B:$B,"平均")</f>
        <v>0</v>
      </c>
      <c r="M19" s="99">
        <f>SUMIFS('0116 4度C'!$Z:$Z,'0116 4度C'!$A:$A,"新豐4線",'0116 4度C'!$B:$B,"平均")</f>
        <v>0</v>
      </c>
    </row>
    <row r="20" spans="2:13" ht="17.25" customHeight="1">
      <c r="B20" s="428" t="s">
        <v>1430</v>
      </c>
      <c r="C20" s="96" t="s">
        <v>1428</v>
      </c>
      <c r="D20" s="97">
        <f>SUMIFS('0116 4度C'!$AC:$AC,'0116 4度C'!$A:$A,"新豐6線",'0116 4度C'!$B:$B,"平均")</f>
        <v>1</v>
      </c>
      <c r="E20" s="98">
        <f>SUMIFS('0116 4度C'!$AC:$AC,'0116 4度C'!$A:$A,"新豐2線",'0116 4度C'!$B:$B,"平均")</f>
        <v>2</v>
      </c>
      <c r="F20" s="98">
        <f>SUMIFS('0116 4度C'!$AC:$AC,'0116 4度C'!$A:$A,"新豐5線",'0116 4度C'!$B:$B,"平均")</f>
        <v>3</v>
      </c>
      <c r="G20" s="98">
        <f>SUMIFS('0116 4度C'!$AC:$AC,'0116 4度C'!$A:$A,"新豐7線",'0116 4度C'!$B:$B,"平均")</f>
        <v>3</v>
      </c>
      <c r="H20" s="98">
        <f>SUMIFS('0116 4度C'!$AC:$AC,'0116 4度C'!$A:$A,"新豐3線",'0116 4度C'!$B:$B,"平均")</f>
        <v>1</v>
      </c>
      <c r="I20" s="98">
        <f>SUMIFS('0116 4度C'!$AC:$AC,'0116 4度C'!$A:$A,"新豐1線",'0116 4度C'!$B:$B,"平均")</f>
        <v>3</v>
      </c>
      <c r="J20" s="99">
        <f>SUMIFS('0116 4度C'!$AC:$AC,'0116 4度C'!$A:$A,"新豐10線",'0116 4度C'!$B:$B,"平均")</f>
        <v>0</v>
      </c>
      <c r="K20" s="100">
        <f>SUMIFS('0116 4度C'!$AC:$AC,'0116 4度C'!$A:$A,"新豐8線",'0116 4度C'!$B:$B,"平均")</f>
        <v>6</v>
      </c>
      <c r="L20" s="98">
        <f>SUMIFS('0116 4度C'!$AC:$AC,'0116 4度C'!$A:$A,"新豐9線",'0116 4度C'!$B:$B,"平均")</f>
        <v>8</v>
      </c>
      <c r="M20" s="99">
        <f>SUMIFS('0116 4度C'!$AC:$AC,'0116 4度C'!$A:$A,"新豐4線",'0116 4度C'!$B:$B,"平均")</f>
        <v>6</v>
      </c>
    </row>
    <row r="21" spans="2:13" ht="17.25" customHeight="1">
      <c r="B21" s="429"/>
      <c r="C21" s="96" t="s">
        <v>1431</v>
      </c>
      <c r="D21" s="97">
        <f>SUMIFS('0116 4度C'!$AD:$AD,'0116 4度C'!$A:$A,"新豐6線",'0116 4度C'!$B:$B,"平均")</f>
        <v>0</v>
      </c>
      <c r="E21" s="98">
        <f>SUMIFS('0116 4度C'!$AD:$AD,'0116 4度C'!$A:$A,"新豐2線",'0116 4度C'!$B:$B,"平均")</f>
        <v>0</v>
      </c>
      <c r="F21" s="98">
        <f>SUMIFS('0116 4度C'!$AD:$AD,'0116 4度C'!$A:$A,"新豐5線",'0116 4度C'!$B:$B,"平均")</f>
        <v>0</v>
      </c>
      <c r="G21" s="98">
        <f>SUMIFS('0116 4度C'!$AD:$AD,'0116 4度C'!$A:$A,"新豐7線",'0116 4度C'!$B:$B,"平均")</f>
        <v>0</v>
      </c>
      <c r="H21" s="98">
        <f>SUMIFS('0116 4度C'!$AD:$AD,'0116 4度C'!$A:$A,"新豐3線",'0116 4度C'!$B:$B,"平均")</f>
        <v>0</v>
      </c>
      <c r="I21" s="98">
        <f>SUMIFS('0116 4度C'!$AD:$AD,'0116 4度C'!$A:$A,"新豐1線",'0116 4度C'!$B:$B,"平均")</f>
        <v>0</v>
      </c>
      <c r="J21" s="99">
        <f>SUMIFS('0116 4度C'!$AD:$AD,'0116 4度C'!$A:$A,"新豐10線",'0116 4度C'!$B:$B,"平均")</f>
        <v>0</v>
      </c>
      <c r="K21" s="100">
        <f>SUMIFS('0116 4度C'!$AD:$AD,'0116 4度C'!$A:$A,"新豐8線",'0116 4度C'!$B:$B,"平均")</f>
        <v>0</v>
      </c>
      <c r="L21" s="98">
        <f>SUMIFS('0116 4度C'!$AD:$AD,'0116 4度C'!$A:$A,"新豐9線",'0116 4度C'!$B:$B,"平均")</f>
        <v>0</v>
      </c>
      <c r="M21" s="99">
        <f>SUMIFS('0116 4度C'!$AD:$AD,'0116 4度C'!$A:$A,"新豐4線",'0116 4度C'!$B:$B,"平均")</f>
        <v>0</v>
      </c>
    </row>
    <row r="22" spans="2:13" ht="17.25" customHeight="1">
      <c r="B22" s="430" t="s">
        <v>1432</v>
      </c>
      <c r="C22" s="431"/>
      <c r="D22" s="101">
        <f>SUMIFS('0116 4度C'!$I:$I,'0116 4度C'!$A:$A,"新豐6線",'0116 4度C'!$B:$B,"平均")</f>
        <v>17.8</v>
      </c>
      <c r="E22" s="102">
        <f>SUMIFS('0116 4度C'!$I:$I,'0116 4度C'!$A:$A,"新豐2線",'0116 4度C'!$B:$B,"平均")</f>
        <v>18</v>
      </c>
      <c r="F22" s="102">
        <f>SUMIFS('0116 4度C'!$I:$I,'0116 4度C'!$A:$A,"新豐5線",'0116 4度C'!$B:$B,"平均")</f>
        <v>17</v>
      </c>
      <c r="G22" s="102">
        <f>SUMIFS('0116 4度C'!$I:$I,'0116 4度C'!$A:$A,"新豐7線",'0116 4度C'!$B:$B,"平均")</f>
        <v>16.285714285714285</v>
      </c>
      <c r="H22" s="102">
        <f>SUMIFS('0116 4度C'!$I:$I,'0116 4度C'!$A:$A,"新豐3線",'0116 4度C'!$B:$B,"平均")</f>
        <v>10.428571428571429</v>
      </c>
      <c r="I22" s="102">
        <f>SUMIFS('0116 4度C'!$I:$I,'0116 4度C'!$A:$A,"新豐1線",'0116 4度C'!$B:$B,"平均")</f>
        <v>18.625</v>
      </c>
      <c r="J22" s="103">
        <f>SUMIFS('0116 4度C'!$I:$I,'0116 4度C'!$A:$A,"新豐10線",'0116 4度C'!$B:$B,"平均")</f>
        <v>10</v>
      </c>
      <c r="K22" s="101">
        <f>SUMIFS('0116 4度C'!$I:$I,'0116 4度C'!$A:$A,"新豐8線",'0116 4度C'!$B:$B,"平均")</f>
        <v>18.2</v>
      </c>
      <c r="L22" s="102">
        <f>SUMIFS('0116 4度C'!$I:$I,'0116 4度C'!$A:$A,"新豐9線",'0116 4度C'!$B:$B,"平均")</f>
        <v>17.571428571428573</v>
      </c>
      <c r="M22" s="103">
        <f>SUMIFS('0116 4度C'!$I:$I,'0116 4度C'!$A:$A,"新豐4線",'0116 4度C'!$B:$B,"平均")</f>
        <v>16.399999999999999</v>
      </c>
    </row>
    <row r="23" spans="2:13" ht="17.25" customHeight="1">
      <c r="B23" s="430" t="s">
        <v>1433</v>
      </c>
      <c r="C23" s="431"/>
      <c r="D23" s="104" t="s">
        <v>157</v>
      </c>
      <c r="E23" s="105" t="s">
        <v>158</v>
      </c>
      <c r="F23" s="105" t="s">
        <v>1434</v>
      </c>
      <c r="G23" s="105" t="s">
        <v>1435</v>
      </c>
      <c r="H23" s="105" t="s">
        <v>159</v>
      </c>
      <c r="I23" s="105" t="s">
        <v>157</v>
      </c>
      <c r="J23" s="106" t="s">
        <v>159</v>
      </c>
      <c r="K23" s="104" t="s">
        <v>1436</v>
      </c>
      <c r="L23" s="105" t="s">
        <v>1436</v>
      </c>
      <c r="M23" s="106" t="s">
        <v>1437</v>
      </c>
    </row>
    <row r="24" spans="2:13" ht="17.25" customHeight="1">
      <c r="B24" s="430" t="s">
        <v>1438</v>
      </c>
      <c r="C24" s="431"/>
      <c r="D24" s="104"/>
      <c r="E24" s="105"/>
      <c r="F24" s="105" t="s">
        <v>1439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1440</v>
      </c>
      <c r="C25" s="433"/>
      <c r="D25" s="107"/>
      <c r="E25" s="108" t="s">
        <v>1441</v>
      </c>
      <c r="F25" s="426" t="s">
        <v>1442</v>
      </c>
      <c r="G25" s="427"/>
      <c r="H25" s="108" t="s">
        <v>1443</v>
      </c>
      <c r="I25" s="108" t="s">
        <v>1444</v>
      </c>
      <c r="J25" s="109" t="s">
        <v>1443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4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2"/>
  <sheetViews>
    <sheetView zoomScale="80" zoomScaleNormal="80" workbookViewId="0">
      <pane ySplit="4" topLeftCell="A35" activePane="bottomLeft" state="frozen"/>
      <selection activeCell="C3" sqref="C3:D3"/>
      <selection pane="bottomLeft" activeCell="C3" sqref="C3:D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SUM(F5:F71)</f>
        <v>142659</v>
      </c>
      <c r="E1" s="251" t="s">
        <v>258</v>
      </c>
      <c r="F1" s="1">
        <f>SUM(G5:G71)</f>
        <v>4782466.33</v>
      </c>
      <c r="G1" s="1" t="s">
        <v>3</v>
      </c>
      <c r="H1" s="5">
        <f>L10+L13+L51+L60+L21+L65+L35+L43+L29+L71</f>
        <v>160.31071428571428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268</v>
      </c>
      <c r="AF1" s="544"/>
      <c r="AG1" s="544"/>
    </row>
    <row r="2" spans="1:33" ht="26.25" customHeight="1">
      <c r="A2" s="49">
        <v>46038</v>
      </c>
      <c r="B2" s="50" t="s">
        <v>269</v>
      </c>
      <c r="C2" s="2" t="s">
        <v>13</v>
      </c>
      <c r="D2" s="10">
        <f>AVERAGE(N10,N13,N51,N60,N21,N65,N29,N35,N43,N71)</f>
        <v>135.23099108357209</v>
      </c>
      <c r="E2" s="11" t="s">
        <v>14</v>
      </c>
      <c r="F2" s="12">
        <f>F1/D1</f>
        <v>33.523761767571621</v>
      </c>
      <c r="G2" s="1" t="s">
        <v>15</v>
      </c>
      <c r="H2" s="263">
        <f>COUNT(H5:H71)</f>
        <v>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SUM(Y10+Y13+Y21+Y29+Y35+Y43+Y51+Y60+Y65+Y71)</f>
        <v>0</v>
      </c>
      <c r="Z2" s="14">
        <f>SUM(Z10+Z13+Z21+Z29+Z35+Z43+Z51+Z60+Z65+Z71)</f>
        <v>0</v>
      </c>
      <c r="AA2" s="543"/>
      <c r="AB2" s="543"/>
      <c r="AC2" s="157">
        <v>33</v>
      </c>
      <c r="AD2" s="14">
        <f>SUM(AD10+AD13+AD21+AD29+AD35+AD43+AD51+AD60+AD65+AD71)</f>
        <v>0</v>
      </c>
      <c r="AE2" s="544"/>
      <c r="AF2" s="544"/>
      <c r="AG2" s="544"/>
    </row>
    <row r="3" spans="1:33" ht="40.5" customHeight="1">
      <c r="A3" s="491" t="s">
        <v>16</v>
      </c>
      <c r="B3" s="491" t="s">
        <v>272</v>
      </c>
      <c r="C3" s="491" t="s">
        <v>18</v>
      </c>
      <c r="D3" s="491"/>
      <c r="E3" s="540" t="s">
        <v>19</v>
      </c>
      <c r="F3" s="491" t="s">
        <v>275</v>
      </c>
      <c r="G3" s="540" t="s">
        <v>276</v>
      </c>
      <c r="H3" s="533" t="s">
        <v>22</v>
      </c>
      <c r="I3" s="531" t="s">
        <v>278</v>
      </c>
      <c r="J3" s="528" t="s">
        <v>24</v>
      </c>
      <c r="K3" s="538" t="s">
        <v>13</v>
      </c>
      <c r="L3" s="531" t="s">
        <v>278</v>
      </c>
      <c r="M3" s="528" t="s">
        <v>24</v>
      </c>
      <c r="N3" s="538" t="s">
        <v>13</v>
      </c>
      <c r="O3" s="531" t="s">
        <v>278</v>
      </c>
      <c r="P3" s="538" t="s">
        <v>13</v>
      </c>
      <c r="Q3" s="529" t="s">
        <v>25</v>
      </c>
      <c r="R3" s="507" t="s">
        <v>26</v>
      </c>
      <c r="S3" s="539" t="s">
        <v>27</v>
      </c>
      <c r="T3" s="539"/>
      <c r="U3" s="533" t="s">
        <v>28</v>
      </c>
      <c r="V3" s="533" t="s">
        <v>1445</v>
      </c>
      <c r="W3" s="491" t="s">
        <v>30</v>
      </c>
      <c r="X3" s="491"/>
      <c r="Y3" s="534" t="s">
        <v>31</v>
      </c>
      <c r="Z3" s="495"/>
      <c r="AA3" s="535" t="s">
        <v>32</v>
      </c>
      <c r="AB3" s="536"/>
      <c r="AC3" s="534" t="s">
        <v>287</v>
      </c>
      <c r="AD3" s="495"/>
      <c r="AE3" s="528" t="s">
        <v>24</v>
      </c>
      <c r="AF3" s="529" t="s">
        <v>25</v>
      </c>
      <c r="AG3" s="507" t="s">
        <v>26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62" t="s">
        <v>37</v>
      </c>
      <c r="T4" s="262" t="s">
        <v>38</v>
      </c>
      <c r="U4" s="533"/>
      <c r="V4" s="533"/>
      <c r="W4" s="251" t="s">
        <v>39</v>
      </c>
      <c r="X4" s="251" t="s">
        <v>1446</v>
      </c>
      <c r="Y4" s="253" t="s">
        <v>191</v>
      </c>
      <c r="Z4" s="253" t="s">
        <v>1447</v>
      </c>
      <c r="AA4" s="537"/>
      <c r="AB4" s="536"/>
      <c r="AC4" s="253" t="s">
        <v>43</v>
      </c>
      <c r="AD4" s="253" t="s">
        <v>44</v>
      </c>
      <c r="AE4" s="528"/>
      <c r="AF4" s="529"/>
      <c r="AG4" s="507"/>
    </row>
    <row r="5" spans="1:33">
      <c r="A5" s="530" t="s">
        <v>1448</v>
      </c>
      <c r="B5" s="42" t="s">
        <v>103</v>
      </c>
      <c r="C5" s="532" t="s">
        <v>120</v>
      </c>
      <c r="D5" s="532"/>
      <c r="E5" s="42">
        <v>50.67</v>
      </c>
      <c r="F5" s="262">
        <v>1194</v>
      </c>
      <c r="G5" s="251">
        <f t="shared" ref="G5:G9" si="0">E5*F5</f>
        <v>60499.98</v>
      </c>
      <c r="H5" s="125" t="s">
        <v>79</v>
      </c>
      <c r="I5" s="260">
        <v>17</v>
      </c>
      <c r="J5" s="37">
        <v>2000</v>
      </c>
      <c r="K5" s="17">
        <f t="shared" ref="K5:K68" si="1">J5/I5</f>
        <v>117.64705882352941</v>
      </c>
      <c r="L5" s="260">
        <v>17</v>
      </c>
      <c r="M5" s="18">
        <f t="shared" ref="M5:M9" si="2">F5/V5*60</f>
        <v>1936.2162162162147</v>
      </c>
      <c r="N5" s="17">
        <f t="shared" ref="N5:N68" si="3">M5/L5</f>
        <v>113.89507154213027</v>
      </c>
      <c r="O5" s="19">
        <f t="shared" ref="O5:O68" si="4">L5-I5</f>
        <v>0</v>
      </c>
      <c r="P5" s="20">
        <f t="shared" ref="P5:P68" si="5">N5-K5</f>
        <v>-3.7519872813991384</v>
      </c>
      <c r="Q5" s="254">
        <f t="shared" ref="Q5:Q68" si="6">N5/K5</f>
        <v>0.96810810810810732</v>
      </c>
      <c r="R5" s="489">
        <f>Q10</f>
        <v>0.96886667974689655</v>
      </c>
      <c r="S5" s="40">
        <v>0.70833333333333337</v>
      </c>
      <c r="T5" s="40">
        <v>0.73402777777777783</v>
      </c>
      <c r="U5" s="251"/>
      <c r="V5" s="261">
        <f t="shared" ref="V5:V9" si="7">(T5-S5)*24*60</f>
        <v>37.000000000000028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-63.783783783785339</v>
      </c>
      <c r="AF5" s="254">
        <f t="shared" ref="AF5:AF68" si="9">M5/J5</f>
        <v>0.96810810810810732</v>
      </c>
      <c r="AG5" s="489">
        <f>AF10</f>
        <v>0.96886667974689655</v>
      </c>
    </row>
    <row r="6" spans="1:33">
      <c r="A6" s="531" t="s">
        <v>45</v>
      </c>
      <c r="B6" s="42" t="s">
        <v>103</v>
      </c>
      <c r="C6" s="532" t="s">
        <v>121</v>
      </c>
      <c r="D6" s="532"/>
      <c r="E6" s="42">
        <v>54.09</v>
      </c>
      <c r="F6" s="262">
        <v>1205</v>
      </c>
      <c r="G6" s="251">
        <f t="shared" si="0"/>
        <v>65178.450000000004</v>
      </c>
      <c r="H6" s="125" t="s">
        <v>79</v>
      </c>
      <c r="I6" s="260">
        <v>19</v>
      </c>
      <c r="J6" s="37">
        <v>2000</v>
      </c>
      <c r="K6" s="17">
        <f t="shared" si="1"/>
        <v>105.26315789473684</v>
      </c>
      <c r="L6" s="260">
        <v>19</v>
      </c>
      <c r="M6" s="18">
        <f t="shared" si="2"/>
        <v>1954.0540540540526</v>
      </c>
      <c r="N6" s="17">
        <f t="shared" si="3"/>
        <v>102.84495021337119</v>
      </c>
      <c r="O6" s="19">
        <f t="shared" si="4"/>
        <v>0</v>
      </c>
      <c r="P6" s="20">
        <f t="shared" si="5"/>
        <v>-2.4182076813656437</v>
      </c>
      <c r="Q6" s="254">
        <f t="shared" si="6"/>
        <v>0.97702702702702637</v>
      </c>
      <c r="R6" s="489"/>
      <c r="S6" s="40">
        <v>0.73750000000000004</v>
      </c>
      <c r="T6" s="40">
        <v>0.76319444444444451</v>
      </c>
      <c r="U6" s="251">
        <f t="shared" ref="U6:U9" si="10">IF(S6=TIME(17,0,0),"",(S6-T5)*24*60)</f>
        <v>4.9999999999999822</v>
      </c>
      <c r="V6" s="261">
        <f t="shared" si="7"/>
        <v>37.000000000000028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-45.945945945947415</v>
      </c>
      <c r="AF6" s="254">
        <f t="shared" si="9"/>
        <v>0.97702702702702626</v>
      </c>
      <c r="AG6" s="489"/>
    </row>
    <row r="7" spans="1:33">
      <c r="A7" s="531" t="s">
        <v>45</v>
      </c>
      <c r="B7" s="42" t="s">
        <v>103</v>
      </c>
      <c r="C7" s="523" t="s">
        <v>515</v>
      </c>
      <c r="D7" s="524"/>
      <c r="E7" s="42">
        <v>50.67</v>
      </c>
      <c r="F7" s="262">
        <v>1183</v>
      </c>
      <c r="G7" s="251">
        <f t="shared" si="0"/>
        <v>59942.61</v>
      </c>
      <c r="H7" s="125" t="s">
        <v>79</v>
      </c>
      <c r="I7" s="260">
        <v>21</v>
      </c>
      <c r="J7" s="37">
        <v>2000</v>
      </c>
      <c r="K7" s="17">
        <f t="shared" si="1"/>
        <v>95.238095238095241</v>
      </c>
      <c r="L7" s="260">
        <v>21</v>
      </c>
      <c r="M7" s="18">
        <f t="shared" si="2"/>
        <v>1918.3783783783767</v>
      </c>
      <c r="N7" s="17">
        <f t="shared" si="3"/>
        <v>91.351351351351269</v>
      </c>
      <c r="O7" s="19">
        <f t="shared" si="4"/>
        <v>0</v>
      </c>
      <c r="P7" s="20">
        <f t="shared" si="5"/>
        <v>-3.8867438867439716</v>
      </c>
      <c r="Q7" s="254">
        <f t="shared" si="6"/>
        <v>0.95918918918918827</v>
      </c>
      <c r="R7" s="489"/>
      <c r="S7" s="40">
        <v>0.76666666666666672</v>
      </c>
      <c r="T7" s="40">
        <v>0.79236111111111118</v>
      </c>
      <c r="U7" s="251">
        <f t="shared" si="10"/>
        <v>4.9999999999999822</v>
      </c>
      <c r="V7" s="261">
        <f t="shared" si="7"/>
        <v>37.000000000000028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-81.621621621623262</v>
      </c>
      <c r="AF7" s="254">
        <f t="shared" si="9"/>
        <v>0.95918918918918838</v>
      </c>
      <c r="AG7" s="489"/>
    </row>
    <row r="8" spans="1:33">
      <c r="A8" s="531" t="s">
        <v>45</v>
      </c>
      <c r="B8" s="42" t="s">
        <v>103</v>
      </c>
      <c r="C8" s="523" t="s">
        <v>122</v>
      </c>
      <c r="D8" s="524"/>
      <c r="E8" s="42">
        <v>50.29</v>
      </c>
      <c r="F8" s="262">
        <v>942</v>
      </c>
      <c r="G8" s="251">
        <f t="shared" si="0"/>
        <v>47373.18</v>
      </c>
      <c r="H8" s="125" t="s">
        <v>79</v>
      </c>
      <c r="I8" s="260">
        <v>16</v>
      </c>
      <c r="J8" s="37">
        <v>2000</v>
      </c>
      <c r="K8" s="17">
        <f t="shared" si="1"/>
        <v>125</v>
      </c>
      <c r="L8" s="260">
        <v>16</v>
      </c>
      <c r="M8" s="18">
        <f t="shared" si="2"/>
        <v>1948.9655172413757</v>
      </c>
      <c r="N8" s="17">
        <f t="shared" si="3"/>
        <v>121.81034482758598</v>
      </c>
      <c r="O8" s="19">
        <f t="shared" si="4"/>
        <v>0</v>
      </c>
      <c r="P8" s="20">
        <f t="shared" si="5"/>
        <v>-3.189655172414021</v>
      </c>
      <c r="Q8" s="254">
        <f t="shared" si="6"/>
        <v>0.97448275862068778</v>
      </c>
      <c r="R8" s="489"/>
      <c r="S8" s="40">
        <v>0.79722222222222228</v>
      </c>
      <c r="T8" s="40">
        <v>0.8173611111111112</v>
      </c>
      <c r="U8" s="251">
        <f t="shared" si="10"/>
        <v>6.9999999999999751</v>
      </c>
      <c r="V8" s="261">
        <f t="shared" si="7"/>
        <v>29.000000000000057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-51.034482758624335</v>
      </c>
      <c r="AF8" s="254">
        <f t="shared" si="9"/>
        <v>0.97448275862068778</v>
      </c>
      <c r="AG8" s="489"/>
    </row>
    <row r="9" spans="1:33">
      <c r="A9" s="531" t="s">
        <v>45</v>
      </c>
      <c r="B9" s="42" t="s">
        <v>103</v>
      </c>
      <c r="C9" s="523" t="s">
        <v>123</v>
      </c>
      <c r="D9" s="524"/>
      <c r="E9" s="42">
        <v>50.98</v>
      </c>
      <c r="F9" s="262">
        <v>1223</v>
      </c>
      <c r="G9" s="251">
        <f t="shared" si="0"/>
        <v>62348.539999999994</v>
      </c>
      <c r="H9" s="125" t="s">
        <v>79</v>
      </c>
      <c r="I9" s="260">
        <v>16</v>
      </c>
      <c r="J9" s="37">
        <v>2000</v>
      </c>
      <c r="K9" s="17">
        <f t="shared" si="1"/>
        <v>125</v>
      </c>
      <c r="L9" s="260">
        <v>16</v>
      </c>
      <c r="M9" s="18">
        <f t="shared" si="2"/>
        <v>1931.0526315789459</v>
      </c>
      <c r="N9" s="17">
        <f t="shared" si="3"/>
        <v>120.69078947368412</v>
      </c>
      <c r="O9" s="19">
        <f t="shared" si="4"/>
        <v>0</v>
      </c>
      <c r="P9" s="20">
        <f t="shared" si="5"/>
        <v>-4.30921052631588</v>
      </c>
      <c r="Q9" s="254">
        <f t="shared" si="6"/>
        <v>0.96552631578947301</v>
      </c>
      <c r="R9" s="489"/>
      <c r="S9" s="40">
        <v>0.8222222222222223</v>
      </c>
      <c r="T9" s="40">
        <v>0.8486111111111112</v>
      </c>
      <c r="U9" s="251">
        <f t="shared" si="10"/>
        <v>6.9999999999999751</v>
      </c>
      <c r="V9" s="261">
        <f t="shared" si="7"/>
        <v>38.000000000000028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-68.94736842105408</v>
      </c>
      <c r="AF9" s="254">
        <f t="shared" si="9"/>
        <v>0.96552631578947301</v>
      </c>
      <c r="AG9" s="489"/>
    </row>
    <row r="10" spans="1:33">
      <c r="A10" s="531" t="s">
        <v>45</v>
      </c>
      <c r="B10" s="42" t="s">
        <v>71</v>
      </c>
      <c r="C10" s="494"/>
      <c r="D10" s="494"/>
      <c r="E10" s="255"/>
      <c r="F10" s="44"/>
      <c r="G10" s="17"/>
      <c r="H10" s="262"/>
      <c r="I10" s="30">
        <v>17.8</v>
      </c>
      <c r="J10" s="37">
        <v>2000</v>
      </c>
      <c r="K10" s="17">
        <f t="shared" si="1"/>
        <v>112.35955056179775</v>
      </c>
      <c r="L10" s="30">
        <v>17.8</v>
      </c>
      <c r="M10" s="18">
        <f>AVERAGE(M5:M9)</f>
        <v>1937.7333594937932</v>
      </c>
      <c r="N10" s="17">
        <f t="shared" si="3"/>
        <v>108.86142469066253</v>
      </c>
      <c r="O10" s="19">
        <f t="shared" si="4"/>
        <v>0</v>
      </c>
      <c r="P10" s="20">
        <f t="shared" si="5"/>
        <v>-3.4981258711352154</v>
      </c>
      <c r="Q10" s="254">
        <f t="shared" si="6"/>
        <v>0.96886667974689655</v>
      </c>
      <c r="R10" s="489"/>
      <c r="S10" s="40"/>
      <c r="T10" s="40"/>
      <c r="U10" s="251"/>
      <c r="V10" s="261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-62.266640506206841</v>
      </c>
      <c r="AF10" s="254">
        <f t="shared" si="9"/>
        <v>0.96886667974689655</v>
      </c>
      <c r="AG10" s="489"/>
    </row>
    <row r="11" spans="1:33" ht="15.75" customHeight="1">
      <c r="A11" s="527" t="s">
        <v>50</v>
      </c>
      <c r="B11" s="42" t="s">
        <v>100</v>
      </c>
      <c r="C11" s="523" t="s">
        <v>124</v>
      </c>
      <c r="D11" s="524"/>
      <c r="E11" s="42">
        <v>39.619999999999997</v>
      </c>
      <c r="F11" s="262">
        <v>2601</v>
      </c>
      <c r="G11" s="251">
        <f t="shared" ref="G11:G12" si="11">E11*F11</f>
        <v>103051.62</v>
      </c>
      <c r="H11" s="125" t="s">
        <v>79</v>
      </c>
      <c r="I11" s="260">
        <v>19</v>
      </c>
      <c r="J11" s="37">
        <v>1500</v>
      </c>
      <c r="K11" s="17">
        <f t="shared" si="1"/>
        <v>78.94736842105263</v>
      </c>
      <c r="L11" s="260">
        <v>19</v>
      </c>
      <c r="M11" s="18">
        <f t="shared" ref="M11:M12" si="12">F11/V11*60</f>
        <v>1431.7431192660554</v>
      </c>
      <c r="N11" s="17">
        <f t="shared" si="3"/>
        <v>75.35490101400292</v>
      </c>
      <c r="O11" s="19">
        <f t="shared" si="4"/>
        <v>0</v>
      </c>
      <c r="P11" s="20">
        <f t="shared" si="5"/>
        <v>-3.5924674070497105</v>
      </c>
      <c r="Q11" s="254">
        <f t="shared" si="6"/>
        <v>0.95449541284403705</v>
      </c>
      <c r="R11" s="489">
        <f>Q13</f>
        <v>0.95635385167341525</v>
      </c>
      <c r="S11" s="40">
        <v>0.16666666666666666</v>
      </c>
      <c r="T11" s="40">
        <v>0.24236111111111108</v>
      </c>
      <c r="U11" s="251"/>
      <c r="V11" s="261">
        <f t="shared" ref="V11:V12" si="13">(T11-S11)*24*60</f>
        <v>108.99999999999997</v>
      </c>
      <c r="W11" s="23">
        <f>T11</f>
        <v>0.24236111111111108</v>
      </c>
      <c r="X11" s="23">
        <f>S12</f>
        <v>0.26111111111111107</v>
      </c>
      <c r="Y11" s="23"/>
      <c r="Z11" s="23"/>
      <c r="AA11" s="491"/>
      <c r="AB11" s="491"/>
      <c r="AC11" s="154">
        <v>2</v>
      </c>
      <c r="AD11" s="25"/>
      <c r="AE11" s="19">
        <f t="shared" si="8"/>
        <v>-68.256880733944627</v>
      </c>
      <c r="AF11" s="254">
        <f t="shared" si="9"/>
        <v>0.95449541284403694</v>
      </c>
      <c r="AG11" s="489">
        <f>AF13</f>
        <v>0.95635385167341525</v>
      </c>
    </row>
    <row r="12" spans="1:33" ht="15.75" customHeight="1">
      <c r="A12" s="527" t="s">
        <v>50</v>
      </c>
      <c r="B12" s="42" t="s">
        <v>100</v>
      </c>
      <c r="C12" s="523" t="s">
        <v>125</v>
      </c>
      <c r="D12" s="524"/>
      <c r="E12" s="42">
        <v>39.799999999999997</v>
      </c>
      <c r="F12" s="262">
        <v>4288</v>
      </c>
      <c r="G12" s="251">
        <f t="shared" si="11"/>
        <v>170662.39999999999</v>
      </c>
      <c r="H12" s="125" t="s">
        <v>79</v>
      </c>
      <c r="I12" s="260">
        <v>17</v>
      </c>
      <c r="J12" s="37">
        <v>1500</v>
      </c>
      <c r="K12" s="17">
        <f t="shared" si="1"/>
        <v>88.235294117647058</v>
      </c>
      <c r="L12" s="260">
        <v>17</v>
      </c>
      <c r="M12" s="18">
        <f t="shared" si="12"/>
        <v>1437.31843575419</v>
      </c>
      <c r="N12" s="17">
        <f t="shared" si="3"/>
        <v>84.548143279658234</v>
      </c>
      <c r="O12" s="19">
        <f t="shared" si="4"/>
        <v>0</v>
      </c>
      <c r="P12" s="20">
        <f t="shared" si="5"/>
        <v>-3.687150837988824</v>
      </c>
      <c r="Q12" s="254">
        <f t="shared" si="6"/>
        <v>0.95821229050279333</v>
      </c>
      <c r="R12" s="489"/>
      <c r="S12" s="40">
        <v>0.26111111111111107</v>
      </c>
      <c r="T12" s="40">
        <v>0.38541666666666663</v>
      </c>
      <c r="U12" s="251">
        <f t="shared" ref="U12" si="14">IF(S12=TIME(17,0,0),"",(S12-T11)*24*60)</f>
        <v>26.999999999999986</v>
      </c>
      <c r="V12" s="261">
        <f t="shared" si="13"/>
        <v>179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-62.681564245810023</v>
      </c>
      <c r="AF12" s="254">
        <f t="shared" si="9"/>
        <v>0.95821229050279333</v>
      </c>
      <c r="AG12" s="489"/>
    </row>
    <row r="13" spans="1:33" ht="16.5" customHeight="1">
      <c r="A13" s="527" t="s">
        <v>50</v>
      </c>
      <c r="B13" s="42" t="s">
        <v>71</v>
      </c>
      <c r="C13" s="494"/>
      <c r="D13" s="494"/>
      <c r="E13" s="255"/>
      <c r="F13" s="37"/>
      <c r="G13" s="18"/>
      <c r="H13" s="262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1434.5307775101228</v>
      </c>
      <c r="N13" s="17">
        <f t="shared" si="3"/>
        <v>79.696154306117933</v>
      </c>
      <c r="O13" s="19">
        <f t="shared" si="4"/>
        <v>0</v>
      </c>
      <c r="P13" s="20">
        <f t="shared" si="5"/>
        <v>-3.6371790272153959</v>
      </c>
      <c r="Q13" s="254">
        <f t="shared" si="6"/>
        <v>0.95635385167341525</v>
      </c>
      <c r="R13" s="489"/>
      <c r="S13" s="40"/>
      <c r="T13" s="40"/>
      <c r="U13" s="17"/>
      <c r="V13" s="261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-65.469222489877211</v>
      </c>
      <c r="AF13" s="254">
        <f t="shared" si="9"/>
        <v>0.95635385167341525</v>
      </c>
      <c r="AG13" s="489"/>
    </row>
    <row r="14" spans="1:33" ht="16.5" customHeight="1">
      <c r="A14" s="525" t="s">
        <v>1449</v>
      </c>
      <c r="B14" s="262" t="s">
        <v>126</v>
      </c>
      <c r="C14" s="515" t="s">
        <v>127</v>
      </c>
      <c r="D14" s="515"/>
      <c r="E14" s="42">
        <v>41</v>
      </c>
      <c r="F14" s="262">
        <v>1762</v>
      </c>
      <c r="G14" s="251">
        <f t="shared" ref="G14:G20" si="15">E14*F14</f>
        <v>72242</v>
      </c>
      <c r="H14" s="125" t="s">
        <v>79</v>
      </c>
      <c r="I14" s="260">
        <v>26</v>
      </c>
      <c r="J14" s="37">
        <v>1500</v>
      </c>
      <c r="K14" s="17">
        <f t="shared" si="1"/>
        <v>57.692307692307693</v>
      </c>
      <c r="L14" s="260">
        <v>26</v>
      </c>
      <c r="M14" s="18">
        <f t="shared" ref="M14:M20" si="16">F14/V14*60</f>
        <v>1428.6486486486483</v>
      </c>
      <c r="N14" s="17">
        <f t="shared" si="3"/>
        <v>54.948024948024937</v>
      </c>
      <c r="O14" s="19">
        <f t="shared" si="4"/>
        <v>0</v>
      </c>
      <c r="P14" s="20">
        <f t="shared" si="5"/>
        <v>-2.7442827442827564</v>
      </c>
      <c r="Q14" s="254">
        <f t="shared" si="6"/>
        <v>0.95243243243243225</v>
      </c>
      <c r="R14" s="489">
        <f>Q21</f>
        <v>0.9580021505949371</v>
      </c>
      <c r="S14" s="40">
        <v>0.20833333333333334</v>
      </c>
      <c r="T14" s="40">
        <v>0.25972222222222224</v>
      </c>
      <c r="U14" s="251"/>
      <c r="V14" s="261">
        <f t="shared" ref="V14:V20" si="17">(T14-S14)*24*60</f>
        <v>74.000000000000014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-71.351351351351695</v>
      </c>
      <c r="AF14" s="254">
        <f t="shared" si="9"/>
        <v>0.95243243243243225</v>
      </c>
      <c r="AG14" s="489">
        <f>AF21</f>
        <v>0.95800215059493721</v>
      </c>
    </row>
    <row r="15" spans="1:33" ht="16.5" customHeight="1">
      <c r="A15" s="526" t="s">
        <v>52</v>
      </c>
      <c r="B15" s="262" t="s">
        <v>128</v>
      </c>
      <c r="C15" s="515" t="s">
        <v>129</v>
      </c>
      <c r="D15" s="515"/>
      <c r="E15" s="42">
        <v>72.400000000000006</v>
      </c>
      <c r="F15" s="262">
        <v>859</v>
      </c>
      <c r="G15" s="251">
        <f t="shared" si="15"/>
        <v>62191.600000000006</v>
      </c>
      <c r="H15" s="125" t="s">
        <v>79</v>
      </c>
      <c r="I15" s="260">
        <v>18</v>
      </c>
      <c r="J15" s="37">
        <v>1500</v>
      </c>
      <c r="K15" s="17">
        <f t="shared" si="1"/>
        <v>83.333333333333329</v>
      </c>
      <c r="L15" s="260">
        <v>18</v>
      </c>
      <c r="M15" s="18">
        <f t="shared" si="16"/>
        <v>1431.6666666666656</v>
      </c>
      <c r="N15" s="17">
        <f t="shared" si="3"/>
        <v>79.537037037036981</v>
      </c>
      <c r="O15" s="19">
        <f t="shared" si="4"/>
        <v>0</v>
      </c>
      <c r="P15" s="20">
        <f t="shared" si="5"/>
        <v>-3.7962962962963474</v>
      </c>
      <c r="Q15" s="254">
        <f t="shared" si="6"/>
        <v>0.95444444444444387</v>
      </c>
      <c r="R15" s="489"/>
      <c r="S15" s="40">
        <v>0.26319444444444445</v>
      </c>
      <c r="T15" s="40">
        <v>0.28819444444444448</v>
      </c>
      <c r="U15" s="251">
        <f t="shared" ref="U15:U20" si="18">IF(S15=TIME(17,0,0),"",(S15-T14)*24*60)</f>
        <v>4.9999999999999822</v>
      </c>
      <c r="V15" s="261">
        <f t="shared" si="17"/>
        <v>36.000000000000028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-68.333333333334394</v>
      </c>
      <c r="AF15" s="254">
        <f t="shared" si="9"/>
        <v>0.95444444444444376</v>
      </c>
      <c r="AG15" s="489"/>
    </row>
    <row r="16" spans="1:33" ht="16.5" customHeight="1">
      <c r="A16" s="526" t="s">
        <v>52</v>
      </c>
      <c r="B16" s="262" t="s">
        <v>130</v>
      </c>
      <c r="C16" s="515" t="s">
        <v>131</v>
      </c>
      <c r="D16" s="515"/>
      <c r="E16" s="42">
        <v>50.67</v>
      </c>
      <c r="F16" s="262">
        <v>1071</v>
      </c>
      <c r="G16" s="251">
        <f t="shared" si="15"/>
        <v>54267.57</v>
      </c>
      <c r="H16" s="125" t="s">
        <v>79</v>
      </c>
      <c r="I16" s="260">
        <v>16</v>
      </c>
      <c r="J16" s="37">
        <v>1500</v>
      </c>
      <c r="K16" s="17">
        <f t="shared" si="1"/>
        <v>93.75</v>
      </c>
      <c r="L16" s="260">
        <v>16</v>
      </c>
      <c r="M16" s="18">
        <f t="shared" si="16"/>
        <v>1428</v>
      </c>
      <c r="N16" s="17">
        <f t="shared" si="3"/>
        <v>89.25</v>
      </c>
      <c r="O16" s="19">
        <f t="shared" si="4"/>
        <v>0</v>
      </c>
      <c r="P16" s="20">
        <f t="shared" si="5"/>
        <v>-4.5</v>
      </c>
      <c r="Q16" s="254">
        <f t="shared" si="6"/>
        <v>0.95199999999999996</v>
      </c>
      <c r="R16" s="489"/>
      <c r="S16" s="40">
        <v>0.29305555555555557</v>
      </c>
      <c r="T16" s="40">
        <v>0.32430555555555557</v>
      </c>
      <c r="U16" s="251">
        <f t="shared" si="18"/>
        <v>6.9999999999999751</v>
      </c>
      <c r="V16" s="261">
        <f t="shared" si="17"/>
        <v>45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-72</v>
      </c>
      <c r="AF16" s="254">
        <f t="shared" si="9"/>
        <v>0.95199999999999996</v>
      </c>
      <c r="AG16" s="489"/>
    </row>
    <row r="17" spans="1:33" ht="16.5" customHeight="1">
      <c r="A17" s="526" t="s">
        <v>52</v>
      </c>
      <c r="B17" s="262" t="s">
        <v>103</v>
      </c>
      <c r="C17" s="515" t="s">
        <v>123</v>
      </c>
      <c r="D17" s="515"/>
      <c r="E17" s="42">
        <v>50.98</v>
      </c>
      <c r="F17" s="262">
        <v>800</v>
      </c>
      <c r="G17" s="251">
        <f t="shared" si="15"/>
        <v>40784</v>
      </c>
      <c r="H17" s="125">
        <v>2</v>
      </c>
      <c r="I17" s="260">
        <v>16</v>
      </c>
      <c r="J17" s="37">
        <v>2000</v>
      </c>
      <c r="K17" s="17">
        <f t="shared" si="1"/>
        <v>125</v>
      </c>
      <c r="L17" s="260">
        <v>16</v>
      </c>
      <c r="M17" s="18">
        <f t="shared" si="16"/>
        <v>1919.9999999999945</v>
      </c>
      <c r="N17" s="17">
        <f t="shared" si="3"/>
        <v>119.99999999999966</v>
      </c>
      <c r="O17" s="19">
        <f t="shared" si="4"/>
        <v>0</v>
      </c>
      <c r="P17" s="20">
        <f t="shared" si="5"/>
        <v>-5.0000000000003411</v>
      </c>
      <c r="Q17" s="254">
        <f t="shared" si="6"/>
        <v>0.9599999999999973</v>
      </c>
      <c r="R17" s="489"/>
      <c r="S17" s="40">
        <v>0.70833333333333337</v>
      </c>
      <c r="T17" s="40">
        <v>0.72569444444444453</v>
      </c>
      <c r="U17" s="251" t="str">
        <f t="shared" si="18"/>
        <v/>
      </c>
      <c r="V17" s="261">
        <f t="shared" si="17"/>
        <v>25.000000000000071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-80.000000000005457</v>
      </c>
      <c r="AF17" s="254">
        <f t="shared" si="9"/>
        <v>0.9599999999999973</v>
      </c>
      <c r="AG17" s="489"/>
    </row>
    <row r="18" spans="1:33" ht="16.5" customHeight="1">
      <c r="A18" s="526" t="s">
        <v>52</v>
      </c>
      <c r="B18" s="262" t="s">
        <v>103</v>
      </c>
      <c r="C18" s="515" t="s">
        <v>132</v>
      </c>
      <c r="D18" s="515"/>
      <c r="E18" s="42">
        <v>50.92</v>
      </c>
      <c r="F18" s="262">
        <v>1944</v>
      </c>
      <c r="G18" s="251">
        <f t="shared" si="15"/>
        <v>98988.48000000001</v>
      </c>
      <c r="H18" s="125" t="s">
        <v>79</v>
      </c>
      <c r="I18" s="260">
        <v>15</v>
      </c>
      <c r="J18" s="37">
        <v>2000</v>
      </c>
      <c r="K18" s="17">
        <f t="shared" si="1"/>
        <v>133.33333333333334</v>
      </c>
      <c r="L18" s="260">
        <v>15</v>
      </c>
      <c r="M18" s="18">
        <f t="shared" si="16"/>
        <v>1912.1311475409855</v>
      </c>
      <c r="N18" s="17">
        <f t="shared" si="3"/>
        <v>127.47540983606569</v>
      </c>
      <c r="O18" s="19">
        <f t="shared" si="4"/>
        <v>0</v>
      </c>
      <c r="P18" s="20">
        <f t="shared" si="5"/>
        <v>-5.8579234972676488</v>
      </c>
      <c r="Q18" s="254">
        <f t="shared" si="6"/>
        <v>0.95606557377049262</v>
      </c>
      <c r="R18" s="489"/>
      <c r="S18" s="40">
        <v>0.72916666666666674</v>
      </c>
      <c r="T18" s="40">
        <v>0.77152777777777781</v>
      </c>
      <c r="U18" s="251">
        <f t="shared" si="18"/>
        <v>4.9999999999999822</v>
      </c>
      <c r="V18" s="261">
        <f t="shared" si="17"/>
        <v>60.999999999999943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-87.868852459014533</v>
      </c>
      <c r="AF18" s="254">
        <f t="shared" si="9"/>
        <v>0.95606557377049273</v>
      </c>
      <c r="AG18" s="489"/>
    </row>
    <row r="19" spans="1:33" ht="16.5" customHeight="1">
      <c r="A19" s="526" t="s">
        <v>52</v>
      </c>
      <c r="B19" s="262" t="s">
        <v>103</v>
      </c>
      <c r="C19" s="521" t="s">
        <v>133</v>
      </c>
      <c r="D19" s="522"/>
      <c r="E19" s="42">
        <v>50.67</v>
      </c>
      <c r="F19" s="262">
        <v>1417</v>
      </c>
      <c r="G19" s="251">
        <f t="shared" si="15"/>
        <v>71799.39</v>
      </c>
      <c r="H19" s="125" t="s">
        <v>79</v>
      </c>
      <c r="I19" s="260">
        <v>15</v>
      </c>
      <c r="J19" s="37">
        <v>2000</v>
      </c>
      <c r="K19" s="17">
        <f t="shared" si="1"/>
        <v>133.33333333333334</v>
      </c>
      <c r="L19" s="260">
        <v>15</v>
      </c>
      <c r="M19" s="18">
        <f t="shared" si="16"/>
        <v>1932.2727272727273</v>
      </c>
      <c r="N19" s="17">
        <f t="shared" si="3"/>
        <v>128.81818181818181</v>
      </c>
      <c r="O19" s="19">
        <f t="shared" si="4"/>
        <v>0</v>
      </c>
      <c r="P19" s="20">
        <f t="shared" si="5"/>
        <v>-4.5151515151515298</v>
      </c>
      <c r="Q19" s="254">
        <f t="shared" si="6"/>
        <v>0.96613636363636357</v>
      </c>
      <c r="R19" s="489"/>
      <c r="S19" s="40">
        <v>0.77569444444444446</v>
      </c>
      <c r="T19" s="40">
        <v>0.80625000000000002</v>
      </c>
      <c r="U19" s="251">
        <f t="shared" si="18"/>
        <v>5.9999999999999787</v>
      </c>
      <c r="V19" s="261">
        <f t="shared" si="17"/>
        <v>44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-67.727272727272748</v>
      </c>
      <c r="AF19" s="254">
        <f t="shared" si="9"/>
        <v>0.96613636363636357</v>
      </c>
      <c r="AG19" s="489"/>
    </row>
    <row r="20" spans="1:33" ht="16.5" customHeight="1">
      <c r="A20" s="526" t="s">
        <v>52</v>
      </c>
      <c r="B20" s="262" t="s">
        <v>103</v>
      </c>
      <c r="C20" s="258" t="s">
        <v>134</v>
      </c>
      <c r="D20" s="259"/>
      <c r="E20" s="42">
        <v>57.3</v>
      </c>
      <c r="F20" s="262">
        <v>1666</v>
      </c>
      <c r="G20" s="251">
        <f t="shared" si="15"/>
        <v>95461.799999999988</v>
      </c>
      <c r="H20" s="125" t="s">
        <v>79</v>
      </c>
      <c r="I20" s="260">
        <v>13</v>
      </c>
      <c r="J20" s="37">
        <v>2000</v>
      </c>
      <c r="K20" s="17">
        <f t="shared" si="1"/>
        <v>153.84615384615384</v>
      </c>
      <c r="L20" s="260">
        <v>13</v>
      </c>
      <c r="M20" s="18">
        <f t="shared" si="16"/>
        <v>1922.3076923076933</v>
      </c>
      <c r="N20" s="17">
        <f t="shared" si="3"/>
        <v>147.86982248520718</v>
      </c>
      <c r="O20" s="19">
        <f t="shared" si="4"/>
        <v>0</v>
      </c>
      <c r="P20" s="20">
        <f t="shared" si="5"/>
        <v>-5.9763313609466593</v>
      </c>
      <c r="Q20" s="254">
        <f t="shared" si="6"/>
        <v>0.96115384615384669</v>
      </c>
      <c r="R20" s="489"/>
      <c r="S20" s="40">
        <v>0.81041666666666667</v>
      </c>
      <c r="T20" s="40">
        <v>0.84652777777777777</v>
      </c>
      <c r="U20" s="251">
        <f t="shared" si="18"/>
        <v>5.9999999999999787</v>
      </c>
      <c r="V20" s="261">
        <f t="shared" si="17"/>
        <v>51.999999999999972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-77.692307692306713</v>
      </c>
      <c r="AF20" s="254">
        <f t="shared" si="9"/>
        <v>0.96115384615384669</v>
      </c>
      <c r="AG20" s="489"/>
    </row>
    <row r="21" spans="1:33" ht="16.5" customHeight="1">
      <c r="A21" s="526" t="s">
        <v>52</v>
      </c>
      <c r="B21" s="42" t="s">
        <v>71</v>
      </c>
      <c r="C21" s="494"/>
      <c r="D21" s="494"/>
      <c r="E21" s="255"/>
      <c r="F21" s="44"/>
      <c r="G21" s="17"/>
      <c r="H21" s="262"/>
      <c r="I21" s="30">
        <v>17</v>
      </c>
      <c r="J21" s="37">
        <v>1785.7142857142858</v>
      </c>
      <c r="K21" s="17">
        <f t="shared" si="1"/>
        <v>105.0420168067227</v>
      </c>
      <c r="L21" s="30">
        <v>17</v>
      </c>
      <c r="M21" s="18">
        <f>AVERAGE(M14:M20)</f>
        <v>1710.7181260623879</v>
      </c>
      <c r="N21" s="17">
        <f t="shared" si="3"/>
        <v>100.63047800366988</v>
      </c>
      <c r="O21" s="19">
        <f t="shared" si="4"/>
        <v>0</v>
      </c>
      <c r="P21" s="20">
        <f t="shared" si="5"/>
        <v>-4.4115388030528209</v>
      </c>
      <c r="Q21" s="254">
        <f t="shared" si="6"/>
        <v>0.9580021505949371</v>
      </c>
      <c r="R21" s="489"/>
      <c r="S21" s="40"/>
      <c r="T21" s="40"/>
      <c r="U21" s="251"/>
      <c r="V21" s="261"/>
      <c r="W21" s="17"/>
      <c r="X21" s="17"/>
      <c r="Y21" s="31">
        <f>SUM(Y14:Y20)</f>
        <v>0</v>
      </c>
      <c r="Z21" s="31">
        <f>SUM(Z14:Z20)</f>
        <v>0</v>
      </c>
      <c r="AA21" s="495"/>
      <c r="AB21" s="495"/>
      <c r="AC21" s="31">
        <v>3</v>
      </c>
      <c r="AD21" s="31">
        <f>SUM(AD14:AD20)</f>
        <v>0</v>
      </c>
      <c r="AE21" s="19">
        <f t="shared" si="8"/>
        <v>-74.996159651897869</v>
      </c>
      <c r="AF21" s="254">
        <f t="shared" si="9"/>
        <v>0.95800215059493721</v>
      </c>
      <c r="AG21" s="489"/>
    </row>
    <row r="22" spans="1:33" ht="15.75" customHeight="1">
      <c r="A22" s="519" t="s">
        <v>56</v>
      </c>
      <c r="B22" s="42" t="s">
        <v>126</v>
      </c>
      <c r="C22" s="515" t="s">
        <v>135</v>
      </c>
      <c r="D22" s="515"/>
      <c r="E22" s="42">
        <v>43.14</v>
      </c>
      <c r="F22" s="262">
        <v>715</v>
      </c>
      <c r="G22" s="251">
        <f t="shared" ref="G22:G28" si="19">E22*F22</f>
        <v>30845.100000000002</v>
      </c>
      <c r="H22" s="125" t="s">
        <v>79</v>
      </c>
      <c r="I22" s="260">
        <v>17</v>
      </c>
      <c r="J22" s="37">
        <v>2000</v>
      </c>
      <c r="K22" s="17">
        <f t="shared" si="1"/>
        <v>117.64705882352941</v>
      </c>
      <c r="L22" s="260">
        <v>17</v>
      </c>
      <c r="M22" s="18">
        <f t="shared" ref="M22:M28" si="20">F22/V22*60</f>
        <v>1950</v>
      </c>
      <c r="N22" s="17">
        <f t="shared" si="3"/>
        <v>114.70588235294117</v>
      </c>
      <c r="O22" s="19">
        <f t="shared" si="4"/>
        <v>0</v>
      </c>
      <c r="P22" s="20">
        <f t="shared" si="5"/>
        <v>-2.941176470588232</v>
      </c>
      <c r="Q22" s="254">
        <f t="shared" si="6"/>
        <v>0.97499999999999998</v>
      </c>
      <c r="R22" s="489">
        <f>Q29</f>
        <v>0.96251418819822376</v>
      </c>
      <c r="S22" s="40">
        <v>0.20833333333333334</v>
      </c>
      <c r="T22" s="40">
        <v>0.22361111111111112</v>
      </c>
      <c r="U22" s="251"/>
      <c r="V22" s="261">
        <f t="shared" ref="V22:V28" si="21">(T22-S22)*24*60</f>
        <v>22</v>
      </c>
      <c r="W22" s="28"/>
      <c r="X22" s="28"/>
      <c r="Y22" s="28"/>
      <c r="Z22" s="28"/>
      <c r="AA22" s="491"/>
      <c r="AB22" s="491"/>
      <c r="AC22" s="154">
        <v>3</v>
      </c>
      <c r="AD22" s="25"/>
      <c r="AE22" s="19">
        <f t="shared" si="8"/>
        <v>-50</v>
      </c>
      <c r="AF22" s="254">
        <f t="shared" si="9"/>
        <v>0.97499999999999998</v>
      </c>
      <c r="AG22" s="489">
        <f>AF29</f>
        <v>0.96251418819822365</v>
      </c>
    </row>
    <row r="23" spans="1:33" ht="15.75" customHeight="1">
      <c r="A23" s="520" t="s">
        <v>56</v>
      </c>
      <c r="B23" s="42" t="s">
        <v>103</v>
      </c>
      <c r="C23" s="515" t="s">
        <v>137</v>
      </c>
      <c r="D23" s="515"/>
      <c r="E23" s="42">
        <v>57.73</v>
      </c>
      <c r="F23" s="262">
        <v>2236</v>
      </c>
      <c r="G23" s="251">
        <f t="shared" si="19"/>
        <v>129084.28</v>
      </c>
      <c r="H23" s="125" t="s">
        <v>79</v>
      </c>
      <c r="I23" s="260">
        <v>14</v>
      </c>
      <c r="J23" s="37">
        <v>2000</v>
      </c>
      <c r="K23" s="17">
        <f t="shared" si="1"/>
        <v>142.85714285714286</v>
      </c>
      <c r="L23" s="260">
        <v>14</v>
      </c>
      <c r="M23" s="18">
        <f t="shared" si="20"/>
        <v>1916.5714285714289</v>
      </c>
      <c r="N23" s="17">
        <f t="shared" si="3"/>
        <v>136.89795918367349</v>
      </c>
      <c r="O23" s="19">
        <f t="shared" si="4"/>
        <v>0</v>
      </c>
      <c r="P23" s="20">
        <f t="shared" si="5"/>
        <v>-5.9591836734693686</v>
      </c>
      <c r="Q23" s="254">
        <f t="shared" si="6"/>
        <v>0.95828571428571441</v>
      </c>
      <c r="R23" s="489"/>
      <c r="S23" s="40">
        <v>0.2277777777777778</v>
      </c>
      <c r="T23" s="40">
        <v>0.27638888888888891</v>
      </c>
      <c r="U23" s="251">
        <f t="shared" ref="U23:U28" si="22">IF(S23=TIME(17,0,0),"",(S23-T22)*24*60)</f>
        <v>6.0000000000000187</v>
      </c>
      <c r="V23" s="261">
        <f t="shared" si="21"/>
        <v>69.999999999999986</v>
      </c>
      <c r="W23" s="23"/>
      <c r="X23" s="251"/>
      <c r="Y23" s="251"/>
      <c r="Z23" s="251"/>
      <c r="AA23" s="491"/>
      <c r="AB23" s="491"/>
      <c r="AC23" s="154"/>
      <c r="AD23" s="25"/>
      <c r="AE23" s="19">
        <f t="shared" si="8"/>
        <v>-83.428571428571104</v>
      </c>
      <c r="AF23" s="254">
        <f t="shared" si="9"/>
        <v>0.95828571428571441</v>
      </c>
      <c r="AG23" s="489"/>
    </row>
    <row r="24" spans="1:33" ht="15.75" customHeight="1">
      <c r="A24" s="520" t="s">
        <v>56</v>
      </c>
      <c r="B24" s="42" t="s">
        <v>103</v>
      </c>
      <c r="C24" s="515" t="s">
        <v>138</v>
      </c>
      <c r="D24" s="515"/>
      <c r="E24" s="42">
        <v>53.68</v>
      </c>
      <c r="F24" s="262">
        <v>1205</v>
      </c>
      <c r="G24" s="251">
        <f t="shared" si="19"/>
        <v>64684.4</v>
      </c>
      <c r="H24" s="125" t="s">
        <v>79</v>
      </c>
      <c r="I24" s="260">
        <v>16</v>
      </c>
      <c r="J24" s="37">
        <v>2000</v>
      </c>
      <c r="K24" s="17">
        <f t="shared" si="1"/>
        <v>125</v>
      </c>
      <c r="L24" s="260">
        <v>16</v>
      </c>
      <c r="M24" s="18">
        <f t="shared" si="20"/>
        <v>1954.0540540540526</v>
      </c>
      <c r="N24" s="17">
        <f t="shared" si="3"/>
        <v>122.12837837837829</v>
      </c>
      <c r="O24" s="19">
        <f t="shared" si="4"/>
        <v>0</v>
      </c>
      <c r="P24" s="20">
        <f t="shared" si="5"/>
        <v>-2.8716216216217134</v>
      </c>
      <c r="Q24" s="254">
        <f t="shared" si="6"/>
        <v>0.97702702702702626</v>
      </c>
      <c r="R24" s="489"/>
      <c r="S24" s="40">
        <v>0.28055555555555556</v>
      </c>
      <c r="T24" s="40">
        <v>0.30625000000000002</v>
      </c>
      <c r="U24" s="251">
        <f t="shared" si="22"/>
        <v>5.9999999999999787</v>
      </c>
      <c r="V24" s="261">
        <f t="shared" si="21"/>
        <v>37.000000000000028</v>
      </c>
      <c r="W24" s="23"/>
      <c r="X24" s="251"/>
      <c r="Y24" s="251"/>
      <c r="Z24" s="251"/>
      <c r="AA24" s="491"/>
      <c r="AB24" s="491"/>
      <c r="AC24" s="154"/>
      <c r="AD24" s="25"/>
      <c r="AE24" s="19">
        <f t="shared" si="8"/>
        <v>-45.945945945947415</v>
      </c>
      <c r="AF24" s="254">
        <f t="shared" si="9"/>
        <v>0.97702702702702626</v>
      </c>
      <c r="AG24" s="489"/>
    </row>
    <row r="25" spans="1:33" ht="15.75" customHeight="1">
      <c r="A25" s="520" t="s">
        <v>56</v>
      </c>
      <c r="B25" s="42" t="s">
        <v>103</v>
      </c>
      <c r="C25" s="515" t="s">
        <v>140</v>
      </c>
      <c r="D25" s="515"/>
      <c r="E25" s="42">
        <v>50.49</v>
      </c>
      <c r="F25" s="262">
        <v>1692</v>
      </c>
      <c r="G25" s="251">
        <f t="shared" si="19"/>
        <v>85429.08</v>
      </c>
      <c r="H25" s="125" t="s">
        <v>79</v>
      </c>
      <c r="I25" s="260">
        <v>15</v>
      </c>
      <c r="J25" s="37">
        <v>2000</v>
      </c>
      <c r="K25" s="17">
        <f t="shared" si="1"/>
        <v>133.33333333333334</v>
      </c>
      <c r="L25" s="260">
        <v>15</v>
      </c>
      <c r="M25" s="18">
        <f t="shared" si="20"/>
        <v>1915.4716981132085</v>
      </c>
      <c r="N25" s="17">
        <f t="shared" si="3"/>
        <v>127.69811320754724</v>
      </c>
      <c r="O25" s="19">
        <f t="shared" si="4"/>
        <v>0</v>
      </c>
      <c r="P25" s="20">
        <f t="shared" si="5"/>
        <v>-5.6352201257861054</v>
      </c>
      <c r="Q25" s="254">
        <f t="shared" si="6"/>
        <v>0.95773584905660425</v>
      </c>
      <c r="R25" s="489"/>
      <c r="S25" s="40">
        <v>0.70833333333333337</v>
      </c>
      <c r="T25" s="40">
        <v>0.74513888888888891</v>
      </c>
      <c r="U25" s="251" t="str">
        <f t="shared" si="22"/>
        <v/>
      </c>
      <c r="V25" s="261">
        <f t="shared" si="21"/>
        <v>52.999999999999972</v>
      </c>
      <c r="W25" s="23"/>
      <c r="X25" s="251"/>
      <c r="Y25" s="251"/>
      <c r="Z25" s="251"/>
      <c r="AA25" s="491"/>
      <c r="AB25" s="491"/>
      <c r="AC25" s="154"/>
      <c r="AD25" s="25"/>
      <c r="AE25" s="19">
        <f t="shared" si="8"/>
        <v>-84.528301886791496</v>
      </c>
      <c r="AF25" s="254">
        <f t="shared" si="9"/>
        <v>0.95773584905660425</v>
      </c>
      <c r="AG25" s="489"/>
    </row>
    <row r="26" spans="1:33" ht="15.75" customHeight="1">
      <c r="A26" s="520" t="s">
        <v>56</v>
      </c>
      <c r="B26" s="42" t="s">
        <v>103</v>
      </c>
      <c r="C26" s="515" t="s">
        <v>141</v>
      </c>
      <c r="D26" s="515"/>
      <c r="E26" s="42">
        <v>57.73</v>
      </c>
      <c r="F26" s="262">
        <v>1124</v>
      </c>
      <c r="G26" s="251">
        <f t="shared" si="19"/>
        <v>64888.52</v>
      </c>
      <c r="H26" s="125" t="s">
        <v>79</v>
      </c>
      <c r="I26" s="260">
        <v>16</v>
      </c>
      <c r="J26" s="37">
        <v>1500</v>
      </c>
      <c r="K26" s="17">
        <f t="shared" si="1"/>
        <v>93.75</v>
      </c>
      <c r="L26" s="260">
        <v>16</v>
      </c>
      <c r="M26" s="18">
        <f t="shared" si="20"/>
        <v>1434.8936170212769</v>
      </c>
      <c r="N26" s="17">
        <f t="shared" si="3"/>
        <v>89.680851063829806</v>
      </c>
      <c r="O26" s="19">
        <f t="shared" si="4"/>
        <v>0</v>
      </c>
      <c r="P26" s="20">
        <f t="shared" si="5"/>
        <v>-4.069148936170194</v>
      </c>
      <c r="Q26" s="254">
        <f t="shared" si="6"/>
        <v>0.95659574468085129</v>
      </c>
      <c r="R26" s="489"/>
      <c r="S26" s="40">
        <v>0.74930555555555556</v>
      </c>
      <c r="T26" s="40">
        <v>0.78194444444444444</v>
      </c>
      <c r="U26" s="251">
        <f t="shared" si="22"/>
        <v>5.9999999999999787</v>
      </c>
      <c r="V26" s="261">
        <f t="shared" si="21"/>
        <v>46.999999999999993</v>
      </c>
      <c r="W26" s="23"/>
      <c r="X26" s="251"/>
      <c r="Y26" s="251"/>
      <c r="Z26" s="251"/>
      <c r="AA26" s="491"/>
      <c r="AB26" s="491"/>
      <c r="AC26" s="154"/>
      <c r="AD26" s="25"/>
      <c r="AE26" s="19">
        <f t="shared" si="8"/>
        <v>-65.106382978723104</v>
      </c>
      <c r="AF26" s="254">
        <f t="shared" si="9"/>
        <v>0.95659574468085129</v>
      </c>
      <c r="AG26" s="489"/>
    </row>
    <row r="27" spans="1:33" ht="15.75" customHeight="1">
      <c r="A27" s="520" t="s">
        <v>56</v>
      </c>
      <c r="B27" s="42" t="s">
        <v>103</v>
      </c>
      <c r="C27" s="515" t="s">
        <v>108</v>
      </c>
      <c r="D27" s="515"/>
      <c r="E27" s="42">
        <v>54.29</v>
      </c>
      <c r="F27" s="262">
        <v>700</v>
      </c>
      <c r="G27" s="251">
        <f t="shared" si="19"/>
        <v>38003</v>
      </c>
      <c r="H27" s="125">
        <v>2</v>
      </c>
      <c r="I27" s="260">
        <v>20</v>
      </c>
      <c r="J27" s="37">
        <v>2000</v>
      </c>
      <c r="K27" s="17">
        <f t="shared" si="1"/>
        <v>100</v>
      </c>
      <c r="L27" s="260">
        <v>20</v>
      </c>
      <c r="M27" s="18">
        <f t="shared" si="20"/>
        <v>1909.0909090909158</v>
      </c>
      <c r="N27" s="17">
        <f t="shared" si="3"/>
        <v>95.454545454545794</v>
      </c>
      <c r="O27" s="19">
        <f t="shared" si="4"/>
        <v>0</v>
      </c>
      <c r="P27" s="20">
        <f t="shared" si="5"/>
        <v>-4.5454545454542057</v>
      </c>
      <c r="Q27" s="254">
        <f t="shared" si="6"/>
        <v>0.95454545454545792</v>
      </c>
      <c r="R27" s="489"/>
      <c r="S27" s="40">
        <v>0.78611111111111109</v>
      </c>
      <c r="T27" s="40">
        <v>0.80138888888888882</v>
      </c>
      <c r="U27" s="251">
        <f t="shared" si="22"/>
        <v>5.9999999999999787</v>
      </c>
      <c r="V27" s="261">
        <f t="shared" si="21"/>
        <v>21.999999999999922</v>
      </c>
      <c r="W27" s="23"/>
      <c r="X27" s="28"/>
      <c r="Y27" s="28"/>
      <c r="Z27" s="28"/>
      <c r="AA27" s="491"/>
      <c r="AB27" s="491"/>
      <c r="AC27" s="154"/>
      <c r="AD27" s="25"/>
      <c r="AE27" s="19">
        <f t="shared" si="8"/>
        <v>-90.909090909084171</v>
      </c>
      <c r="AF27" s="254">
        <f t="shared" si="9"/>
        <v>0.95454545454545792</v>
      </c>
      <c r="AG27" s="489"/>
    </row>
    <row r="28" spans="1:33" ht="15.75" customHeight="1">
      <c r="A28" s="520" t="s">
        <v>56</v>
      </c>
      <c r="B28" s="42" t="s">
        <v>103</v>
      </c>
      <c r="C28" s="515" t="s">
        <v>142</v>
      </c>
      <c r="D28" s="515"/>
      <c r="E28" s="42">
        <v>53.68</v>
      </c>
      <c r="F28" s="262">
        <v>1743</v>
      </c>
      <c r="G28" s="251">
        <f t="shared" si="19"/>
        <v>93564.24</v>
      </c>
      <c r="H28" s="125" t="s">
        <v>79</v>
      </c>
      <c r="I28" s="260">
        <v>16</v>
      </c>
      <c r="J28" s="37">
        <v>1500</v>
      </c>
      <c r="K28" s="17">
        <f t="shared" si="1"/>
        <v>93.75</v>
      </c>
      <c r="L28" s="260">
        <v>16</v>
      </c>
      <c r="M28" s="18">
        <f t="shared" si="20"/>
        <v>1432.6027397260264</v>
      </c>
      <c r="N28" s="17">
        <f t="shared" si="3"/>
        <v>89.537671232876647</v>
      </c>
      <c r="O28" s="19">
        <f t="shared" si="4"/>
        <v>0</v>
      </c>
      <c r="P28" s="20">
        <f t="shared" si="5"/>
        <v>-4.2123287671233527</v>
      </c>
      <c r="Q28" s="254">
        <f t="shared" si="6"/>
        <v>0.95506849315068421</v>
      </c>
      <c r="R28" s="489"/>
      <c r="S28" s="40">
        <v>0.80694444444444435</v>
      </c>
      <c r="T28" s="40">
        <v>0.85763888888888884</v>
      </c>
      <c r="U28" s="251">
        <f t="shared" si="22"/>
        <v>7.9999999999999716</v>
      </c>
      <c r="V28" s="261">
        <f t="shared" si="21"/>
        <v>73.000000000000057</v>
      </c>
      <c r="W28" s="23"/>
      <c r="X28" s="28"/>
      <c r="Y28" s="29"/>
      <c r="Z28" s="29"/>
      <c r="AA28" s="503"/>
      <c r="AB28" s="504"/>
      <c r="AC28" s="154"/>
      <c r="AD28" s="25"/>
      <c r="AE28" s="19">
        <f t="shared" si="8"/>
        <v>-67.397260273973643</v>
      </c>
      <c r="AF28" s="254">
        <f t="shared" si="9"/>
        <v>0.95506849315068421</v>
      </c>
      <c r="AG28" s="489"/>
    </row>
    <row r="29" spans="1:33" ht="15.75" customHeight="1">
      <c r="A29" s="520" t="s">
        <v>56</v>
      </c>
      <c r="B29" s="42" t="s">
        <v>71</v>
      </c>
      <c r="C29" s="494"/>
      <c r="D29" s="494"/>
      <c r="E29" s="255"/>
      <c r="F29" s="262"/>
      <c r="G29" s="251"/>
      <c r="H29" s="262"/>
      <c r="I29" s="30">
        <v>16.285714285714285</v>
      </c>
      <c r="J29" s="37">
        <v>1857.1428571428571</v>
      </c>
      <c r="K29" s="17">
        <f t="shared" si="1"/>
        <v>114.03508771929825</v>
      </c>
      <c r="L29" s="30">
        <v>16.285714285714285</v>
      </c>
      <c r="M29" s="18">
        <f>AVERAGE(M22:M28)</f>
        <v>1787.5263495109868</v>
      </c>
      <c r="N29" s="17">
        <f t="shared" si="3"/>
        <v>109.76038988225359</v>
      </c>
      <c r="O29" s="19">
        <f t="shared" si="4"/>
        <v>0</v>
      </c>
      <c r="P29" s="20">
        <f t="shared" si="5"/>
        <v>-4.2746978370446556</v>
      </c>
      <c r="Q29" s="254">
        <f t="shared" si="6"/>
        <v>0.96251418819822376</v>
      </c>
      <c r="R29" s="489"/>
      <c r="S29" s="40"/>
      <c r="T29" s="40"/>
      <c r="U29" s="17"/>
      <c r="V29" s="261"/>
      <c r="W29" s="17"/>
      <c r="X29" s="17"/>
      <c r="Y29" s="31">
        <f>SUM(Y22:Y28)</f>
        <v>0</v>
      </c>
      <c r="Z29" s="31">
        <f>SUM(Z22:Z28)</f>
        <v>0</v>
      </c>
      <c r="AA29" s="495"/>
      <c r="AB29" s="495"/>
      <c r="AC29" s="31">
        <v>3</v>
      </c>
      <c r="AD29" s="31">
        <f>SUM(AD22:AD28)</f>
        <v>0</v>
      </c>
      <c r="AE29" s="19">
        <f t="shared" si="8"/>
        <v>-69.616507631870263</v>
      </c>
      <c r="AF29" s="254">
        <f t="shared" si="9"/>
        <v>0.96251418819822365</v>
      </c>
      <c r="AG29" s="489"/>
    </row>
    <row r="30" spans="1:33" ht="15.75" customHeight="1">
      <c r="A30" s="518" t="s">
        <v>59</v>
      </c>
      <c r="B30" s="42" t="s">
        <v>80</v>
      </c>
      <c r="C30" s="515" t="s">
        <v>81</v>
      </c>
      <c r="D30" s="515"/>
      <c r="E30" s="42">
        <v>31.29</v>
      </c>
      <c r="F30" s="262">
        <v>7018</v>
      </c>
      <c r="G30" s="251">
        <f t="shared" ref="G30:G34" si="23">E30*F30</f>
        <v>219593.22</v>
      </c>
      <c r="H30" s="125" t="s">
        <v>79</v>
      </c>
      <c r="I30" s="260">
        <v>18</v>
      </c>
      <c r="J30" s="37">
        <v>2400</v>
      </c>
      <c r="K30" s="17">
        <f t="shared" si="1"/>
        <v>133.33333333333334</v>
      </c>
      <c r="L30" s="260">
        <v>18</v>
      </c>
      <c r="M30" s="18">
        <f t="shared" ref="M30:M34" si="24">F30/V30*60</f>
        <v>2288.4782608695641</v>
      </c>
      <c r="N30" s="17">
        <f t="shared" si="3"/>
        <v>127.13768115942023</v>
      </c>
      <c r="O30" s="19">
        <f t="shared" si="4"/>
        <v>0</v>
      </c>
      <c r="P30" s="20">
        <f t="shared" si="5"/>
        <v>-6.1956521739131176</v>
      </c>
      <c r="Q30" s="254">
        <f t="shared" si="6"/>
        <v>0.9535326086956516</v>
      </c>
      <c r="R30" s="489">
        <f>Q35</f>
        <v>0.95556325552175203</v>
      </c>
      <c r="S30" s="40">
        <v>8.3333333333333329E-2</v>
      </c>
      <c r="T30" s="40">
        <v>0.21111111111111114</v>
      </c>
      <c r="U30" s="251"/>
      <c r="V30" s="261">
        <f t="shared" ref="V30:V34" si="25">(T30-S30)*24*60</f>
        <v>184.00000000000006</v>
      </c>
      <c r="W30" s="23">
        <f>T30</f>
        <v>0.21111111111111114</v>
      </c>
      <c r="X30" s="23">
        <f>S31</f>
        <v>0.23194444444444448</v>
      </c>
      <c r="Y30" s="23"/>
      <c r="Z30" s="23"/>
      <c r="AA30" s="491"/>
      <c r="AB30" s="491"/>
      <c r="AC30" s="154">
        <v>6</v>
      </c>
      <c r="AD30" s="25"/>
      <c r="AE30" s="19">
        <f t="shared" si="8"/>
        <v>-111.52173913043589</v>
      </c>
      <c r="AF30" s="254">
        <f t="shared" si="9"/>
        <v>0.95353260869565171</v>
      </c>
      <c r="AG30" s="489">
        <f>AF35</f>
        <v>0.95556325552175203</v>
      </c>
    </row>
    <row r="31" spans="1:33" ht="15.75" customHeight="1">
      <c r="A31" s="518" t="s">
        <v>59</v>
      </c>
      <c r="B31" s="42" t="s">
        <v>80</v>
      </c>
      <c r="C31" s="515" t="s">
        <v>82</v>
      </c>
      <c r="D31" s="515"/>
      <c r="E31" s="42">
        <v>26.2</v>
      </c>
      <c r="F31" s="262">
        <v>3879</v>
      </c>
      <c r="G31" s="251">
        <f t="shared" si="23"/>
        <v>101629.8</v>
      </c>
      <c r="H31" s="125" t="s">
        <v>79</v>
      </c>
      <c r="I31" s="260">
        <v>20</v>
      </c>
      <c r="J31" s="37">
        <v>2400</v>
      </c>
      <c r="K31" s="17">
        <f t="shared" si="1"/>
        <v>120</v>
      </c>
      <c r="L31" s="260">
        <v>20</v>
      </c>
      <c r="M31" s="18">
        <f t="shared" si="24"/>
        <v>2304.3564356435645</v>
      </c>
      <c r="N31" s="17">
        <f t="shared" si="3"/>
        <v>115.21782178217822</v>
      </c>
      <c r="O31" s="19">
        <f t="shared" si="4"/>
        <v>0</v>
      </c>
      <c r="P31" s="20">
        <f t="shared" si="5"/>
        <v>-4.7821782178217802</v>
      </c>
      <c r="Q31" s="254">
        <f t="shared" si="6"/>
        <v>0.96014851485148511</v>
      </c>
      <c r="R31" s="489"/>
      <c r="S31" s="40">
        <v>0.23194444444444448</v>
      </c>
      <c r="T31" s="40">
        <v>0.30208333333333337</v>
      </c>
      <c r="U31" s="251">
        <f t="shared" ref="U31:U34" si="26">(S31-T30)*24*60</f>
        <v>30.000000000000014</v>
      </c>
      <c r="V31" s="261">
        <f t="shared" si="25"/>
        <v>101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-95.64356435643549</v>
      </c>
      <c r="AF31" s="254">
        <f t="shared" si="9"/>
        <v>0.96014851485148522</v>
      </c>
      <c r="AG31" s="489"/>
    </row>
    <row r="32" spans="1:33" ht="15.75" customHeight="1">
      <c r="A32" s="518" t="s">
        <v>59</v>
      </c>
      <c r="B32" s="42" t="s">
        <v>80</v>
      </c>
      <c r="C32" s="515" t="s">
        <v>83</v>
      </c>
      <c r="D32" s="515"/>
      <c r="E32" s="42">
        <v>25.99</v>
      </c>
      <c r="F32" s="262">
        <v>3447</v>
      </c>
      <c r="G32" s="251">
        <f t="shared" si="23"/>
        <v>89587.53</v>
      </c>
      <c r="H32" s="125" t="s">
        <v>79</v>
      </c>
      <c r="I32" s="260">
        <v>14</v>
      </c>
      <c r="J32" s="37">
        <v>2400</v>
      </c>
      <c r="K32" s="17">
        <f t="shared" si="1"/>
        <v>171.42857142857142</v>
      </c>
      <c r="L32" s="260">
        <v>14</v>
      </c>
      <c r="M32" s="18">
        <f t="shared" si="24"/>
        <v>2298</v>
      </c>
      <c r="N32" s="17">
        <f t="shared" si="3"/>
        <v>164.14285714285714</v>
      </c>
      <c r="O32" s="19">
        <f t="shared" si="4"/>
        <v>0</v>
      </c>
      <c r="P32" s="20">
        <f t="shared" si="5"/>
        <v>-7.2857142857142776</v>
      </c>
      <c r="Q32" s="254">
        <f t="shared" si="6"/>
        <v>0.95750000000000002</v>
      </c>
      <c r="R32" s="489"/>
      <c r="S32" s="40">
        <v>0.30763888888888891</v>
      </c>
      <c r="T32" s="40">
        <v>0.37013888888888891</v>
      </c>
      <c r="U32" s="251">
        <f t="shared" si="26"/>
        <v>7.9999999999999716</v>
      </c>
      <c r="V32" s="261">
        <f t="shared" si="25"/>
        <v>90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-102</v>
      </c>
      <c r="AF32" s="254">
        <f t="shared" si="9"/>
        <v>0.95750000000000002</v>
      </c>
      <c r="AG32" s="489"/>
    </row>
    <row r="33" spans="1:33" ht="15.75" customHeight="1">
      <c r="A33" s="518" t="s">
        <v>59</v>
      </c>
      <c r="B33" s="42" t="s">
        <v>80</v>
      </c>
      <c r="C33" s="515" t="s">
        <v>84</v>
      </c>
      <c r="D33" s="515"/>
      <c r="E33" s="42">
        <v>20.52</v>
      </c>
      <c r="F33" s="262">
        <v>3197</v>
      </c>
      <c r="G33" s="251">
        <f t="shared" si="23"/>
        <v>65602.44</v>
      </c>
      <c r="H33" s="125" t="s">
        <v>79</v>
      </c>
      <c r="I33" s="260">
        <v>18</v>
      </c>
      <c r="J33" s="37">
        <v>2400</v>
      </c>
      <c r="K33" s="17">
        <f t="shared" si="1"/>
        <v>133.33333333333334</v>
      </c>
      <c r="L33" s="260">
        <v>18</v>
      </c>
      <c r="M33" s="18">
        <f t="shared" si="24"/>
        <v>2283.5714285714275</v>
      </c>
      <c r="N33" s="17">
        <f t="shared" si="3"/>
        <v>126.86507936507931</v>
      </c>
      <c r="O33" s="19">
        <f t="shared" si="4"/>
        <v>0</v>
      </c>
      <c r="P33" s="20">
        <f t="shared" si="5"/>
        <v>-6.4682539682540323</v>
      </c>
      <c r="Q33" s="254">
        <f t="shared" si="6"/>
        <v>0.95148809523809474</v>
      </c>
      <c r="R33" s="489"/>
      <c r="S33" s="40">
        <v>0.375</v>
      </c>
      <c r="T33" s="40">
        <v>0.43333333333333335</v>
      </c>
      <c r="U33" s="251">
        <f t="shared" si="26"/>
        <v>6.9999999999999751</v>
      </c>
      <c r="V33" s="261">
        <f t="shared" si="25"/>
        <v>84.000000000000028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-116.42857142857247</v>
      </c>
      <c r="AF33" s="254">
        <f t="shared" si="9"/>
        <v>0.95148809523809486</v>
      </c>
      <c r="AG33" s="489"/>
    </row>
    <row r="34" spans="1:33" ht="15.75" customHeight="1">
      <c r="A34" s="518" t="s">
        <v>59</v>
      </c>
      <c r="B34" s="42" t="s">
        <v>80</v>
      </c>
      <c r="C34" s="515" t="s">
        <v>85</v>
      </c>
      <c r="D34" s="515"/>
      <c r="E34" s="42">
        <v>25.98</v>
      </c>
      <c r="F34" s="262">
        <v>2598</v>
      </c>
      <c r="G34" s="251">
        <f t="shared" si="23"/>
        <v>67496.040000000008</v>
      </c>
      <c r="H34" s="125" t="s">
        <v>79</v>
      </c>
      <c r="I34" s="260">
        <v>21</v>
      </c>
      <c r="J34" s="37">
        <v>2400</v>
      </c>
      <c r="K34" s="17">
        <f t="shared" si="1"/>
        <v>114.28571428571429</v>
      </c>
      <c r="L34" s="260">
        <v>21</v>
      </c>
      <c r="M34" s="18">
        <f t="shared" si="24"/>
        <v>2292.3529411764703</v>
      </c>
      <c r="N34" s="17">
        <f t="shared" si="3"/>
        <v>109.15966386554621</v>
      </c>
      <c r="O34" s="19">
        <f t="shared" si="4"/>
        <v>0</v>
      </c>
      <c r="P34" s="20">
        <f t="shared" si="5"/>
        <v>-5.1260504201680845</v>
      </c>
      <c r="Q34" s="254">
        <f t="shared" si="6"/>
        <v>0.95514705882352924</v>
      </c>
      <c r="R34" s="489"/>
      <c r="S34" s="40">
        <v>0.43819444444444444</v>
      </c>
      <c r="T34" s="40">
        <v>0.48541666666666666</v>
      </c>
      <c r="U34" s="251">
        <f t="shared" si="26"/>
        <v>6.9999999999999751</v>
      </c>
      <c r="V34" s="261">
        <f t="shared" si="25"/>
        <v>68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-107.64705882352973</v>
      </c>
      <c r="AF34" s="254">
        <f t="shared" si="9"/>
        <v>0.95514705882352924</v>
      </c>
      <c r="AG34" s="489"/>
    </row>
    <row r="35" spans="1:33" ht="15.75" customHeight="1">
      <c r="A35" s="518" t="s">
        <v>59</v>
      </c>
      <c r="B35" s="42" t="s">
        <v>71</v>
      </c>
      <c r="C35" s="494"/>
      <c r="D35" s="494"/>
      <c r="E35" s="255"/>
      <c r="F35" s="262"/>
      <c r="G35" s="251"/>
      <c r="H35" s="262"/>
      <c r="I35" s="30">
        <v>18.2</v>
      </c>
      <c r="J35" s="37">
        <v>2400</v>
      </c>
      <c r="K35" s="17">
        <f t="shared" si="1"/>
        <v>131.86813186813188</v>
      </c>
      <c r="L35" s="30">
        <v>18.2</v>
      </c>
      <c r="M35" s="18">
        <f>AVERAGE(M30:M34)</f>
        <v>2293.3518132522049</v>
      </c>
      <c r="N35" s="17">
        <f t="shared" si="3"/>
        <v>126.0083413874838</v>
      </c>
      <c r="O35" s="19">
        <f t="shared" si="4"/>
        <v>0</v>
      </c>
      <c r="P35" s="20">
        <f t="shared" si="5"/>
        <v>-5.8597904806480869</v>
      </c>
      <c r="Q35" s="254">
        <f t="shared" si="6"/>
        <v>0.95556325552175203</v>
      </c>
      <c r="R35" s="489"/>
      <c r="S35" s="40"/>
      <c r="T35" s="40"/>
      <c r="U35" s="251"/>
      <c r="V35" s="261"/>
      <c r="W35" s="251"/>
      <c r="X35" s="251"/>
      <c r="Y35" s="31">
        <f>SUM(Y30:Y34)</f>
        <v>0</v>
      </c>
      <c r="Z35" s="31">
        <f>SUM(Z30:Z34)</f>
        <v>0</v>
      </c>
      <c r="AA35" s="495"/>
      <c r="AB35" s="495"/>
      <c r="AC35" s="31">
        <v>6</v>
      </c>
      <c r="AD35" s="31">
        <f>SUM(AD30:AD34)</f>
        <v>0</v>
      </c>
      <c r="AE35" s="19">
        <f t="shared" si="8"/>
        <v>-106.64818674779508</v>
      </c>
      <c r="AF35" s="254">
        <f t="shared" si="9"/>
        <v>0.95556325552175203</v>
      </c>
      <c r="AG35" s="489"/>
    </row>
    <row r="36" spans="1:33" ht="15.75" customHeight="1">
      <c r="A36" s="516" t="s">
        <v>1450</v>
      </c>
      <c r="B36" s="42" t="s">
        <v>80</v>
      </c>
      <c r="C36" s="490" t="s">
        <v>87</v>
      </c>
      <c r="D36" s="490"/>
      <c r="E36" s="42">
        <v>26.2</v>
      </c>
      <c r="F36" s="262">
        <v>4910</v>
      </c>
      <c r="G36" s="251">
        <f t="shared" ref="G36:G42" si="27">E36*F36</f>
        <v>128642</v>
      </c>
      <c r="H36" s="125" t="s">
        <v>79</v>
      </c>
      <c r="I36" s="260">
        <v>18</v>
      </c>
      <c r="J36" s="37">
        <v>2400</v>
      </c>
      <c r="K36" s="17">
        <f t="shared" si="1"/>
        <v>133.33333333333334</v>
      </c>
      <c r="L36" s="260">
        <v>18</v>
      </c>
      <c r="M36" s="18">
        <f t="shared" ref="M36:M42" si="28">F36/V36*60</f>
        <v>2283.7209302325582</v>
      </c>
      <c r="N36" s="17">
        <f t="shared" si="3"/>
        <v>126.8733850129199</v>
      </c>
      <c r="O36" s="19">
        <f t="shared" si="4"/>
        <v>0</v>
      </c>
      <c r="P36" s="20">
        <f t="shared" si="5"/>
        <v>-6.4599483204134458</v>
      </c>
      <c r="Q36" s="254">
        <f t="shared" si="6"/>
        <v>0.95155038759689914</v>
      </c>
      <c r="R36" s="489">
        <f>Q43</f>
        <v>0.95808356547483398</v>
      </c>
      <c r="S36" s="40">
        <v>8.3333333333333329E-2</v>
      </c>
      <c r="T36" s="40">
        <v>0.17291666666666666</v>
      </c>
      <c r="U36" s="251"/>
      <c r="V36" s="261">
        <f t="shared" ref="V36:V42" si="29">(T36-S36)*24*60</f>
        <v>129</v>
      </c>
      <c r="W36" s="28">
        <f>T36</f>
        <v>0.17291666666666666</v>
      </c>
      <c r="X36" s="28">
        <f>S37</f>
        <v>0.19444444444444445</v>
      </c>
      <c r="Y36" s="28"/>
      <c r="Z36" s="28"/>
      <c r="AA36" s="491"/>
      <c r="AB36" s="491"/>
      <c r="AC36" s="154">
        <v>8</v>
      </c>
      <c r="AD36" s="25"/>
      <c r="AE36" s="19">
        <f t="shared" si="8"/>
        <v>-116.2790697674418</v>
      </c>
      <c r="AF36" s="254">
        <f t="shared" si="9"/>
        <v>0.95155038759689925</v>
      </c>
      <c r="AG36" s="489">
        <f>AF43</f>
        <v>0.95808356547483398</v>
      </c>
    </row>
    <row r="37" spans="1:33" ht="15.75" customHeight="1">
      <c r="A37" s="516" t="s">
        <v>1450</v>
      </c>
      <c r="B37" s="42" t="s">
        <v>80</v>
      </c>
      <c r="C37" s="490" t="s">
        <v>88</v>
      </c>
      <c r="D37" s="490"/>
      <c r="E37" s="42">
        <v>26.18</v>
      </c>
      <c r="F37" s="262">
        <v>1742</v>
      </c>
      <c r="G37" s="251">
        <f t="shared" si="27"/>
        <v>45605.56</v>
      </c>
      <c r="H37" s="125" t="s">
        <v>79</v>
      </c>
      <c r="I37" s="260">
        <v>19</v>
      </c>
      <c r="J37" s="37">
        <v>2400</v>
      </c>
      <c r="K37" s="17">
        <f t="shared" si="1"/>
        <v>126.31578947368421</v>
      </c>
      <c r="L37" s="260">
        <v>19</v>
      </c>
      <c r="M37" s="18">
        <f t="shared" si="28"/>
        <v>2322.6666666666665</v>
      </c>
      <c r="N37" s="17">
        <f t="shared" si="3"/>
        <v>122.24561403508771</v>
      </c>
      <c r="O37" s="19">
        <f t="shared" si="4"/>
        <v>0</v>
      </c>
      <c r="P37" s="20">
        <f t="shared" si="5"/>
        <v>-4.0701754385964932</v>
      </c>
      <c r="Q37" s="254">
        <f t="shared" si="6"/>
        <v>0.96777777777777774</v>
      </c>
      <c r="R37" s="489"/>
      <c r="S37" s="40">
        <v>0.19444444444444445</v>
      </c>
      <c r="T37" s="40">
        <v>0.22569444444444445</v>
      </c>
      <c r="U37" s="251">
        <f t="shared" ref="U37:U42" si="30">(S37-T36)*24*60</f>
        <v>31.000000000000011</v>
      </c>
      <c r="V37" s="261">
        <f t="shared" si="29"/>
        <v>45</v>
      </c>
      <c r="W37" s="251"/>
      <c r="X37" s="251"/>
      <c r="Y37" s="251"/>
      <c r="Z37" s="251"/>
      <c r="AA37" s="491"/>
      <c r="AB37" s="491"/>
      <c r="AC37" s="154"/>
      <c r="AD37" s="25"/>
      <c r="AE37" s="19">
        <f t="shared" si="8"/>
        <v>-77.333333333333485</v>
      </c>
      <c r="AF37" s="254">
        <f t="shared" si="9"/>
        <v>0.96777777777777774</v>
      </c>
      <c r="AG37" s="489"/>
    </row>
    <row r="38" spans="1:33">
      <c r="A38" s="517" t="s">
        <v>1450</v>
      </c>
      <c r="B38" s="42" t="s">
        <v>80</v>
      </c>
      <c r="C38" s="490" t="s">
        <v>89</v>
      </c>
      <c r="D38" s="490"/>
      <c r="E38" s="42">
        <v>26.39</v>
      </c>
      <c r="F38" s="262">
        <v>4736</v>
      </c>
      <c r="G38" s="251">
        <f t="shared" si="27"/>
        <v>124983.04000000001</v>
      </c>
      <c r="H38" s="125" t="s">
        <v>79</v>
      </c>
      <c r="I38" s="260">
        <v>19</v>
      </c>
      <c r="J38" s="37">
        <v>2400</v>
      </c>
      <c r="K38" s="17">
        <f t="shared" si="1"/>
        <v>126.31578947368421</v>
      </c>
      <c r="L38" s="260">
        <v>19</v>
      </c>
      <c r="M38" s="18">
        <f t="shared" si="28"/>
        <v>2291.6129032258063</v>
      </c>
      <c r="N38" s="17">
        <f t="shared" si="3"/>
        <v>120.61120543293718</v>
      </c>
      <c r="O38" s="19">
        <f t="shared" si="4"/>
        <v>0</v>
      </c>
      <c r="P38" s="20">
        <f t="shared" si="5"/>
        <v>-5.7045840407470223</v>
      </c>
      <c r="Q38" s="254">
        <f t="shared" si="6"/>
        <v>0.95483870967741935</v>
      </c>
      <c r="R38" s="489"/>
      <c r="S38" s="40">
        <v>0.22916666666666666</v>
      </c>
      <c r="T38" s="40">
        <v>0.31527777777777777</v>
      </c>
      <c r="U38" s="251">
        <f t="shared" si="30"/>
        <v>4.9999999999999822</v>
      </c>
      <c r="V38" s="261">
        <f t="shared" si="29"/>
        <v>123.99999999999999</v>
      </c>
      <c r="W38" s="251"/>
      <c r="X38" s="251"/>
      <c r="Y38" s="251"/>
      <c r="Z38" s="251"/>
      <c r="AA38" s="491"/>
      <c r="AB38" s="491"/>
      <c r="AC38" s="154"/>
      <c r="AD38" s="25"/>
      <c r="AE38" s="19">
        <f t="shared" si="8"/>
        <v>-108.38709677419365</v>
      </c>
      <c r="AF38" s="254">
        <f t="shared" si="9"/>
        <v>0.95483870967741935</v>
      </c>
      <c r="AG38" s="489"/>
    </row>
    <row r="39" spans="1:33">
      <c r="A39" s="517" t="s">
        <v>1450</v>
      </c>
      <c r="B39" s="42" t="s">
        <v>80</v>
      </c>
      <c r="C39" s="490" t="s">
        <v>90</v>
      </c>
      <c r="D39" s="490"/>
      <c r="E39" s="42">
        <v>22.69</v>
      </c>
      <c r="F39" s="262">
        <v>1544</v>
      </c>
      <c r="G39" s="251">
        <f t="shared" si="27"/>
        <v>35033.360000000001</v>
      </c>
      <c r="H39" s="125" t="s">
        <v>79</v>
      </c>
      <c r="I39" s="260">
        <v>15</v>
      </c>
      <c r="J39" s="37">
        <v>2400</v>
      </c>
      <c r="K39" s="17">
        <f t="shared" si="1"/>
        <v>160</v>
      </c>
      <c r="L39" s="260">
        <v>15</v>
      </c>
      <c r="M39" s="18">
        <f t="shared" si="28"/>
        <v>2315.9999999999991</v>
      </c>
      <c r="N39" s="17">
        <f t="shared" si="3"/>
        <v>154.39999999999995</v>
      </c>
      <c r="O39" s="19">
        <f t="shared" si="4"/>
        <v>0</v>
      </c>
      <c r="P39" s="20">
        <f t="shared" si="5"/>
        <v>-5.6000000000000512</v>
      </c>
      <c r="Q39" s="254">
        <f t="shared" si="6"/>
        <v>0.96499999999999964</v>
      </c>
      <c r="R39" s="489"/>
      <c r="S39" s="40">
        <v>0.32013888888888886</v>
      </c>
      <c r="T39" s="40">
        <v>0.34791666666666665</v>
      </c>
      <c r="U39" s="251">
        <f t="shared" si="30"/>
        <v>6.9999999999999751</v>
      </c>
      <c r="V39" s="261">
        <f t="shared" si="29"/>
        <v>40.000000000000014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-84.000000000000909</v>
      </c>
      <c r="AF39" s="254">
        <f t="shared" si="9"/>
        <v>0.96499999999999964</v>
      </c>
      <c r="AG39" s="489"/>
    </row>
    <row r="40" spans="1:33">
      <c r="A40" s="517" t="s">
        <v>1450</v>
      </c>
      <c r="B40" s="42" t="s">
        <v>80</v>
      </c>
      <c r="C40" s="490" t="s">
        <v>91</v>
      </c>
      <c r="D40" s="490"/>
      <c r="E40" s="42">
        <v>24.45</v>
      </c>
      <c r="F40" s="262">
        <v>2064</v>
      </c>
      <c r="G40" s="251">
        <f t="shared" si="27"/>
        <v>50464.799999999996</v>
      </c>
      <c r="H40" s="125" t="s">
        <v>79</v>
      </c>
      <c r="I40" s="260">
        <v>20</v>
      </c>
      <c r="J40" s="37">
        <v>2400</v>
      </c>
      <c r="K40" s="17">
        <f t="shared" si="1"/>
        <v>120</v>
      </c>
      <c r="L40" s="260">
        <v>20</v>
      </c>
      <c r="M40" s="18">
        <f t="shared" si="28"/>
        <v>2293.3333333333344</v>
      </c>
      <c r="N40" s="17">
        <f t="shared" si="3"/>
        <v>114.66666666666671</v>
      </c>
      <c r="O40" s="19">
        <f t="shared" si="4"/>
        <v>0</v>
      </c>
      <c r="P40" s="20">
        <f t="shared" si="5"/>
        <v>-5.333333333333286</v>
      </c>
      <c r="Q40" s="254">
        <f t="shared" si="6"/>
        <v>0.95555555555555594</v>
      </c>
      <c r="R40" s="489"/>
      <c r="S40" s="40">
        <v>0.3520833333333333</v>
      </c>
      <c r="T40" s="40">
        <v>0.38958333333333328</v>
      </c>
      <c r="U40" s="251">
        <f t="shared" si="30"/>
        <v>5.9999999999999787</v>
      </c>
      <c r="V40" s="261">
        <f t="shared" si="29"/>
        <v>53.999999999999972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-106.66666666666561</v>
      </c>
      <c r="AF40" s="254">
        <f t="shared" si="9"/>
        <v>0.95555555555555605</v>
      </c>
      <c r="AG40" s="489"/>
    </row>
    <row r="41" spans="1:33">
      <c r="A41" s="517" t="s">
        <v>1450</v>
      </c>
      <c r="B41" s="42" t="s">
        <v>80</v>
      </c>
      <c r="C41" s="490" t="s">
        <v>1224</v>
      </c>
      <c r="D41" s="490"/>
      <c r="E41" s="42">
        <v>22.69</v>
      </c>
      <c r="F41" s="262">
        <v>6300</v>
      </c>
      <c r="G41" s="251">
        <f t="shared" si="27"/>
        <v>142947</v>
      </c>
      <c r="H41" s="125">
        <v>2</v>
      </c>
      <c r="I41" s="260">
        <v>16</v>
      </c>
      <c r="J41" s="37">
        <v>2400</v>
      </c>
      <c r="K41" s="17">
        <f t="shared" si="1"/>
        <v>150</v>
      </c>
      <c r="L41" s="260">
        <v>16</v>
      </c>
      <c r="M41" s="18">
        <f t="shared" si="28"/>
        <v>2290.9090909090901</v>
      </c>
      <c r="N41" s="17">
        <f t="shared" si="3"/>
        <v>143.18181818181813</v>
      </c>
      <c r="O41" s="19">
        <f t="shared" si="4"/>
        <v>0</v>
      </c>
      <c r="P41" s="20">
        <f t="shared" si="5"/>
        <v>-6.8181818181818699</v>
      </c>
      <c r="Q41" s="254">
        <f t="shared" si="6"/>
        <v>0.95454545454545425</v>
      </c>
      <c r="R41" s="489"/>
      <c r="S41" s="40">
        <v>0.39374999999999993</v>
      </c>
      <c r="T41" s="40">
        <v>0.5083333333333333</v>
      </c>
      <c r="U41" s="251">
        <f t="shared" si="30"/>
        <v>5.9999999999999787</v>
      </c>
      <c r="V41" s="261">
        <f t="shared" si="29"/>
        <v>165.00000000000006</v>
      </c>
      <c r="W41" s="23">
        <f>T41</f>
        <v>0.5083333333333333</v>
      </c>
      <c r="X41" s="23">
        <f>S42</f>
        <v>0.54861111111111105</v>
      </c>
      <c r="Y41" s="23"/>
      <c r="Z41" s="23"/>
      <c r="AA41" s="491"/>
      <c r="AB41" s="491"/>
      <c r="AC41" s="154"/>
      <c r="AD41" s="25"/>
      <c r="AE41" s="19">
        <f t="shared" si="8"/>
        <v>-109.09090909090992</v>
      </c>
      <c r="AF41" s="254">
        <f t="shared" si="9"/>
        <v>0.95454545454545425</v>
      </c>
      <c r="AG41" s="489"/>
    </row>
    <row r="42" spans="1:33">
      <c r="A42" s="517" t="s">
        <v>1450</v>
      </c>
      <c r="B42" s="42" t="s">
        <v>80</v>
      </c>
      <c r="C42" s="490" t="s">
        <v>1224</v>
      </c>
      <c r="D42" s="490"/>
      <c r="E42" s="42">
        <v>22.69</v>
      </c>
      <c r="F42" s="262">
        <v>4710</v>
      </c>
      <c r="G42" s="251">
        <f t="shared" si="27"/>
        <v>106869.90000000001</v>
      </c>
      <c r="H42" s="125" t="s">
        <v>79</v>
      </c>
      <c r="I42" s="260">
        <v>16</v>
      </c>
      <c r="J42" s="37">
        <v>2400</v>
      </c>
      <c r="K42" s="17">
        <f t="shared" si="1"/>
        <v>150</v>
      </c>
      <c r="L42" s="260">
        <v>16</v>
      </c>
      <c r="M42" s="18">
        <f t="shared" si="28"/>
        <v>2297.5609756097556</v>
      </c>
      <c r="N42" s="17">
        <f t="shared" si="3"/>
        <v>143.59756097560972</v>
      </c>
      <c r="O42" s="19">
        <f t="shared" si="4"/>
        <v>0</v>
      </c>
      <c r="P42" s="20">
        <f t="shared" si="5"/>
        <v>-6.4024390243902758</v>
      </c>
      <c r="Q42" s="254">
        <f t="shared" si="6"/>
        <v>0.95731707317073145</v>
      </c>
      <c r="R42" s="489"/>
      <c r="S42" s="40">
        <v>0.54861111111111105</v>
      </c>
      <c r="T42" s="40">
        <v>0.63402777777777775</v>
      </c>
      <c r="U42" s="251">
        <f t="shared" si="30"/>
        <v>57.999999999999957</v>
      </c>
      <c r="V42" s="261">
        <f t="shared" si="29"/>
        <v>123.00000000000004</v>
      </c>
      <c r="W42" s="23"/>
      <c r="X42" s="23"/>
      <c r="Y42" s="26"/>
      <c r="Z42" s="26"/>
      <c r="AA42" s="503"/>
      <c r="AB42" s="504"/>
      <c r="AC42" s="154"/>
      <c r="AD42" s="25"/>
      <c r="AE42" s="19">
        <f t="shared" si="8"/>
        <v>-102.43902439024441</v>
      </c>
      <c r="AF42" s="254">
        <f t="shared" si="9"/>
        <v>0.95731707317073145</v>
      </c>
      <c r="AG42" s="489"/>
    </row>
    <row r="43" spans="1:33">
      <c r="A43" s="517" t="s">
        <v>1450</v>
      </c>
      <c r="B43" s="44" t="s">
        <v>1451</v>
      </c>
      <c r="C43" s="494"/>
      <c r="D43" s="494"/>
      <c r="E43" s="255"/>
      <c r="F43" s="44"/>
      <c r="G43" s="17"/>
      <c r="H43" s="262"/>
      <c r="I43" s="30">
        <v>17.571428571428573</v>
      </c>
      <c r="J43" s="37">
        <v>2400</v>
      </c>
      <c r="K43" s="17">
        <f t="shared" si="1"/>
        <v>136.58536585365852</v>
      </c>
      <c r="L43" s="30">
        <v>17.571428571428573</v>
      </c>
      <c r="M43" s="18">
        <f>AVERAGE(M36:M42)</f>
        <v>2299.4005571396015</v>
      </c>
      <c r="N43" s="17">
        <f t="shared" si="3"/>
        <v>130.8601943087578</v>
      </c>
      <c r="O43" s="19">
        <f t="shared" si="4"/>
        <v>0</v>
      </c>
      <c r="P43" s="20">
        <f t="shared" si="5"/>
        <v>-5.7251715449007179</v>
      </c>
      <c r="Q43" s="254">
        <f t="shared" si="6"/>
        <v>0.95808356547483398</v>
      </c>
      <c r="R43" s="489"/>
      <c r="S43" s="40"/>
      <c r="T43" s="40"/>
      <c r="U43" s="17"/>
      <c r="V43" s="261"/>
      <c r="W43" s="17"/>
      <c r="X43" s="17"/>
      <c r="Y43" s="31">
        <f>SUM(Y36:Y42)</f>
        <v>0</v>
      </c>
      <c r="Z43" s="31">
        <f>SUM(Z36:Z42)</f>
        <v>0</v>
      </c>
      <c r="AA43" s="495"/>
      <c r="AB43" s="495"/>
      <c r="AC43" s="31">
        <v>8</v>
      </c>
      <c r="AD43" s="31">
        <f>SUM(AD36:AD42)</f>
        <v>0</v>
      </c>
      <c r="AE43" s="19">
        <f t="shared" si="8"/>
        <v>-100.59944286039854</v>
      </c>
      <c r="AF43" s="254">
        <f t="shared" si="9"/>
        <v>0.95808356547483398</v>
      </c>
      <c r="AG43" s="489"/>
    </row>
    <row r="44" spans="1:33" ht="15.75" customHeight="1">
      <c r="A44" s="512" t="s">
        <v>1452</v>
      </c>
      <c r="B44" s="42" t="s">
        <v>93</v>
      </c>
      <c r="C44" s="501" t="s">
        <v>94</v>
      </c>
      <c r="D44" s="502"/>
      <c r="E44" s="42">
        <v>21.13</v>
      </c>
      <c r="F44" s="262">
        <v>4671</v>
      </c>
      <c r="G44" s="251">
        <f t="shared" ref="G44:G50" si="31">E44*F44</f>
        <v>98698.23</v>
      </c>
      <c r="H44" s="125" t="s">
        <v>79</v>
      </c>
      <c r="I44" s="260">
        <v>10</v>
      </c>
      <c r="J44" s="37">
        <v>3000</v>
      </c>
      <c r="K44" s="17">
        <f t="shared" si="1"/>
        <v>300</v>
      </c>
      <c r="L44" s="260">
        <v>10</v>
      </c>
      <c r="M44" s="18">
        <f t="shared" ref="M44:M50" si="32">F44/V44*60</f>
        <v>2859.795918367347</v>
      </c>
      <c r="N44" s="18">
        <f t="shared" si="3"/>
        <v>285.9795918367347</v>
      </c>
      <c r="O44" s="19">
        <f t="shared" si="4"/>
        <v>0</v>
      </c>
      <c r="P44" s="20">
        <f t="shared" si="5"/>
        <v>-14.020408163265301</v>
      </c>
      <c r="Q44" s="254">
        <f t="shared" si="6"/>
        <v>0.95326530612244897</v>
      </c>
      <c r="R44" s="509">
        <f>Q51</f>
        <v>0.9632063075655205</v>
      </c>
      <c r="S44" s="40">
        <v>8.3333333333333329E-2</v>
      </c>
      <c r="T44" s="40">
        <v>0.15138888888888888</v>
      </c>
      <c r="U44" s="28"/>
      <c r="V44" s="261">
        <f t="shared" ref="V44:V50" si="33">(T44-S44)*24*60</f>
        <v>98</v>
      </c>
      <c r="W44" s="23">
        <f>T44</f>
        <v>0.15138888888888888</v>
      </c>
      <c r="X44" s="23">
        <f>S45</f>
        <v>0.17291666666666666</v>
      </c>
      <c r="Y44" s="26"/>
      <c r="Z44" s="26"/>
      <c r="AA44" s="503"/>
      <c r="AB44" s="504"/>
      <c r="AC44" s="154" t="s">
        <v>79</v>
      </c>
      <c r="AD44" s="25"/>
      <c r="AE44" s="19">
        <f t="shared" si="8"/>
        <v>-140.20408163265301</v>
      </c>
      <c r="AF44" s="254">
        <f t="shared" si="9"/>
        <v>0.95326530612244897</v>
      </c>
      <c r="AG44" s="509">
        <f>AF51</f>
        <v>0.96320630756552039</v>
      </c>
    </row>
    <row r="45" spans="1:33" ht="15.75" customHeight="1">
      <c r="A45" s="513" t="s">
        <v>1452</v>
      </c>
      <c r="B45" s="42" t="s">
        <v>93</v>
      </c>
      <c r="C45" s="501" t="s">
        <v>95</v>
      </c>
      <c r="D45" s="502"/>
      <c r="E45" s="42">
        <v>27.17</v>
      </c>
      <c r="F45" s="262">
        <v>6385</v>
      </c>
      <c r="G45" s="251">
        <f t="shared" si="31"/>
        <v>173480.45</v>
      </c>
      <c r="H45" s="125" t="s">
        <v>79</v>
      </c>
      <c r="I45" s="260">
        <v>10</v>
      </c>
      <c r="J45" s="37">
        <v>3000</v>
      </c>
      <c r="K45" s="17">
        <f t="shared" si="1"/>
        <v>300</v>
      </c>
      <c r="L45" s="260">
        <v>10</v>
      </c>
      <c r="M45" s="18">
        <f t="shared" si="32"/>
        <v>2858.9552238805973</v>
      </c>
      <c r="N45" s="18">
        <f t="shared" si="3"/>
        <v>285.8955223880597</v>
      </c>
      <c r="O45" s="19">
        <f t="shared" si="4"/>
        <v>0</v>
      </c>
      <c r="P45" s="20">
        <f t="shared" si="5"/>
        <v>-14.104477611940297</v>
      </c>
      <c r="Q45" s="254">
        <f t="shared" si="6"/>
        <v>0.95298507462686566</v>
      </c>
      <c r="R45" s="510"/>
      <c r="S45" s="40">
        <v>0.17291666666666666</v>
      </c>
      <c r="T45" s="40">
        <v>0.26597222222222222</v>
      </c>
      <c r="U45" s="251">
        <f t="shared" ref="U45:U50" si="34">(S45-T44)*24*60</f>
        <v>31.000000000000011</v>
      </c>
      <c r="V45" s="261">
        <f t="shared" si="33"/>
        <v>134</v>
      </c>
      <c r="W45" s="23"/>
      <c r="X45" s="23"/>
      <c r="Y45" s="26"/>
      <c r="Z45" s="26"/>
      <c r="AA45" s="503"/>
      <c r="AB45" s="504"/>
      <c r="AC45" s="154">
        <v>1</v>
      </c>
      <c r="AD45" s="25"/>
      <c r="AE45" s="19">
        <f t="shared" si="8"/>
        <v>-141.04477611940274</v>
      </c>
      <c r="AF45" s="254">
        <f t="shared" si="9"/>
        <v>0.95298507462686577</v>
      </c>
      <c r="AG45" s="510"/>
    </row>
    <row r="46" spans="1:33" ht="15.75" customHeight="1">
      <c r="A46" s="513" t="s">
        <v>1452</v>
      </c>
      <c r="B46" s="42" t="s">
        <v>93</v>
      </c>
      <c r="C46" s="501" t="s">
        <v>96</v>
      </c>
      <c r="D46" s="502"/>
      <c r="E46" s="42">
        <v>35.119999999999997</v>
      </c>
      <c r="F46" s="262">
        <v>4407</v>
      </c>
      <c r="G46" s="251">
        <f t="shared" si="31"/>
        <v>154773.84</v>
      </c>
      <c r="H46" s="125" t="s">
        <v>79</v>
      </c>
      <c r="I46" s="260">
        <v>10</v>
      </c>
      <c r="J46" s="37">
        <v>3000</v>
      </c>
      <c r="K46" s="17">
        <f t="shared" si="1"/>
        <v>300</v>
      </c>
      <c r="L46" s="260">
        <v>10</v>
      </c>
      <c r="M46" s="18">
        <f t="shared" si="32"/>
        <v>2874.1304347826085</v>
      </c>
      <c r="N46" s="18">
        <f t="shared" si="3"/>
        <v>287.41304347826087</v>
      </c>
      <c r="O46" s="19">
        <f t="shared" si="4"/>
        <v>0</v>
      </c>
      <c r="P46" s="20">
        <f t="shared" si="5"/>
        <v>-12.586956521739125</v>
      </c>
      <c r="Q46" s="254">
        <f t="shared" si="6"/>
        <v>0.95804347826086955</v>
      </c>
      <c r="R46" s="510"/>
      <c r="S46" s="40">
        <v>0.27152777777777776</v>
      </c>
      <c r="T46" s="40">
        <v>0.33541666666666664</v>
      </c>
      <c r="U46" s="251">
        <f t="shared" si="34"/>
        <v>7.9999999999999716</v>
      </c>
      <c r="V46" s="261">
        <f t="shared" si="33"/>
        <v>92</v>
      </c>
      <c r="W46" s="23"/>
      <c r="X46" s="23"/>
      <c r="Y46" s="26"/>
      <c r="Z46" s="26"/>
      <c r="AA46" s="503"/>
      <c r="AB46" s="504"/>
      <c r="AC46" s="154" t="s">
        <v>79</v>
      </c>
      <c r="AD46" s="25"/>
      <c r="AE46" s="19">
        <f t="shared" si="8"/>
        <v>-125.86956521739148</v>
      </c>
      <c r="AF46" s="254">
        <f t="shared" si="9"/>
        <v>0.95804347826086955</v>
      </c>
      <c r="AG46" s="510"/>
    </row>
    <row r="47" spans="1:33" ht="15.75" customHeight="1">
      <c r="A47" s="513" t="s">
        <v>1452</v>
      </c>
      <c r="B47" s="42" t="s">
        <v>93</v>
      </c>
      <c r="C47" s="501" t="s">
        <v>97</v>
      </c>
      <c r="D47" s="502"/>
      <c r="E47" s="42">
        <v>31</v>
      </c>
      <c r="F47" s="262">
        <v>913</v>
      </c>
      <c r="G47" s="251">
        <f t="shared" si="31"/>
        <v>28303</v>
      </c>
      <c r="H47" s="125" t="s">
        <v>79</v>
      </c>
      <c r="I47" s="260">
        <v>13</v>
      </c>
      <c r="J47" s="37">
        <v>2000</v>
      </c>
      <c r="K47" s="17">
        <f t="shared" si="1"/>
        <v>153.84615384615384</v>
      </c>
      <c r="L47" s="260">
        <v>13</v>
      </c>
      <c r="M47" s="18">
        <f t="shared" si="32"/>
        <v>1956.4285714285729</v>
      </c>
      <c r="N47" s="18">
        <f t="shared" si="3"/>
        <v>150.4945054945056</v>
      </c>
      <c r="O47" s="19">
        <f t="shared" si="4"/>
        <v>0</v>
      </c>
      <c r="P47" s="20">
        <f t="shared" si="5"/>
        <v>-3.3516483516482367</v>
      </c>
      <c r="Q47" s="254">
        <f t="shared" si="6"/>
        <v>0.97821428571428648</v>
      </c>
      <c r="R47" s="510"/>
      <c r="S47" s="40">
        <v>0.33958333333333329</v>
      </c>
      <c r="T47" s="40">
        <v>0.35902777777777772</v>
      </c>
      <c r="U47" s="251">
        <f t="shared" si="34"/>
        <v>5.9999999999999787</v>
      </c>
      <c r="V47" s="261">
        <f t="shared" si="33"/>
        <v>27.999999999999979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-43.571428571427077</v>
      </c>
      <c r="AF47" s="254">
        <f t="shared" si="9"/>
        <v>0.97821428571428648</v>
      </c>
      <c r="AG47" s="510"/>
    </row>
    <row r="48" spans="1:33" ht="15.75" customHeight="1">
      <c r="A48" s="513" t="s">
        <v>1452</v>
      </c>
      <c r="B48" s="42" t="s">
        <v>93</v>
      </c>
      <c r="C48" s="501" t="s">
        <v>99</v>
      </c>
      <c r="D48" s="502"/>
      <c r="E48" s="42">
        <v>32.020000000000003</v>
      </c>
      <c r="F48" s="262">
        <v>2080</v>
      </c>
      <c r="G48" s="251">
        <f t="shared" si="31"/>
        <v>66601.600000000006</v>
      </c>
      <c r="H48" s="125" t="s">
        <v>79</v>
      </c>
      <c r="I48" s="260">
        <v>11</v>
      </c>
      <c r="J48" s="37">
        <v>3000</v>
      </c>
      <c r="K48" s="17">
        <f t="shared" si="1"/>
        <v>272.72727272727275</v>
      </c>
      <c r="L48" s="260">
        <v>11</v>
      </c>
      <c r="M48" s="18">
        <f t="shared" si="32"/>
        <v>2902.3255813953483</v>
      </c>
      <c r="N48" s="18">
        <f t="shared" si="3"/>
        <v>263.84778012684984</v>
      </c>
      <c r="O48" s="19">
        <f t="shared" si="4"/>
        <v>0</v>
      </c>
      <c r="P48" s="20">
        <f t="shared" si="5"/>
        <v>-8.8794926004229069</v>
      </c>
      <c r="Q48" s="254">
        <f t="shared" si="6"/>
        <v>0.96744186046511604</v>
      </c>
      <c r="R48" s="510"/>
      <c r="S48" s="40">
        <v>0.36388888888888882</v>
      </c>
      <c r="T48" s="40">
        <v>0.39374999999999993</v>
      </c>
      <c r="U48" s="251">
        <f t="shared" si="34"/>
        <v>6.9999999999999751</v>
      </c>
      <c r="V48" s="261">
        <f t="shared" si="33"/>
        <v>43.000000000000007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-97.674418604651692</v>
      </c>
      <c r="AF48" s="254">
        <f t="shared" si="9"/>
        <v>0.96744186046511615</v>
      </c>
      <c r="AG48" s="510"/>
    </row>
    <row r="49" spans="1:33" ht="15.75" customHeight="1">
      <c r="A49" s="513" t="s">
        <v>1452</v>
      </c>
      <c r="B49" s="42" t="s">
        <v>93</v>
      </c>
      <c r="C49" s="501" t="s">
        <v>112</v>
      </c>
      <c r="D49" s="502"/>
      <c r="E49" s="42">
        <v>35.869999999999997</v>
      </c>
      <c r="F49" s="262">
        <v>2766</v>
      </c>
      <c r="G49" s="251">
        <f t="shared" si="31"/>
        <v>99216.42</v>
      </c>
      <c r="H49" s="125" t="s">
        <v>79</v>
      </c>
      <c r="I49" s="260">
        <v>9</v>
      </c>
      <c r="J49" s="37">
        <v>3000</v>
      </c>
      <c r="K49" s="17">
        <f t="shared" si="1"/>
        <v>333.33333333333331</v>
      </c>
      <c r="L49" s="260">
        <v>9</v>
      </c>
      <c r="M49" s="18">
        <f t="shared" si="32"/>
        <v>2861.3793103448261</v>
      </c>
      <c r="N49" s="18">
        <f t="shared" si="3"/>
        <v>317.93103448275843</v>
      </c>
      <c r="O49" s="19">
        <f t="shared" si="4"/>
        <v>0</v>
      </c>
      <c r="P49" s="20">
        <f t="shared" si="5"/>
        <v>-15.40229885057488</v>
      </c>
      <c r="Q49" s="254">
        <f t="shared" si="6"/>
        <v>0.95379310344827539</v>
      </c>
      <c r="R49" s="510"/>
      <c r="S49" s="40">
        <v>0.39930555555555547</v>
      </c>
      <c r="T49" s="40">
        <v>0.43958333333333327</v>
      </c>
      <c r="U49" s="251">
        <f t="shared" si="34"/>
        <v>7.9999999999999716</v>
      </c>
      <c r="V49" s="261">
        <f t="shared" si="33"/>
        <v>58.000000000000036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-138.62068965517392</v>
      </c>
      <c r="AF49" s="254">
        <f t="shared" si="9"/>
        <v>0.95379310344827539</v>
      </c>
      <c r="AG49" s="510"/>
    </row>
    <row r="50" spans="1:33" ht="15.75" customHeight="1">
      <c r="A50" s="513" t="s">
        <v>1452</v>
      </c>
      <c r="B50" s="42" t="s">
        <v>93</v>
      </c>
      <c r="C50" s="501" t="s">
        <v>113</v>
      </c>
      <c r="D50" s="502"/>
      <c r="E50" s="42">
        <v>34.36</v>
      </c>
      <c r="F50" s="262">
        <v>1328</v>
      </c>
      <c r="G50" s="251">
        <f t="shared" si="31"/>
        <v>45630.080000000002</v>
      </c>
      <c r="H50" s="125" t="s">
        <v>79</v>
      </c>
      <c r="I50" s="260">
        <v>10</v>
      </c>
      <c r="J50" s="37">
        <v>3000</v>
      </c>
      <c r="K50" s="17">
        <f t="shared" si="1"/>
        <v>300</v>
      </c>
      <c r="L50" s="260">
        <v>10</v>
      </c>
      <c r="M50" s="18">
        <f t="shared" si="32"/>
        <v>2951.1111111111127</v>
      </c>
      <c r="N50" s="18">
        <f t="shared" si="3"/>
        <v>295.11111111111126</v>
      </c>
      <c r="O50" s="19">
        <f t="shared" si="4"/>
        <v>0</v>
      </c>
      <c r="P50" s="20">
        <f t="shared" si="5"/>
        <v>-4.8888888888887436</v>
      </c>
      <c r="Q50" s="254">
        <f t="shared" si="6"/>
        <v>0.98370370370370419</v>
      </c>
      <c r="R50" s="510"/>
      <c r="S50" s="40">
        <v>0.44444444444444436</v>
      </c>
      <c r="T50" s="40">
        <v>0.46319444444444435</v>
      </c>
      <c r="U50" s="251">
        <f t="shared" si="34"/>
        <v>6.9999999999999751</v>
      </c>
      <c r="V50" s="261">
        <f t="shared" si="33"/>
        <v>26.999999999999986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-48.888888888887323</v>
      </c>
      <c r="AF50" s="254">
        <f t="shared" si="9"/>
        <v>0.98370370370370419</v>
      </c>
      <c r="AG50" s="510"/>
    </row>
    <row r="51" spans="1:33" ht="15.75" customHeight="1">
      <c r="A51" s="514" t="s">
        <v>1452</v>
      </c>
      <c r="B51" s="42" t="s">
        <v>1451</v>
      </c>
      <c r="C51" s="492"/>
      <c r="D51" s="493"/>
      <c r="E51" s="252"/>
      <c r="F51" s="262"/>
      <c r="G51" s="251"/>
      <c r="H51" s="262"/>
      <c r="I51" s="30">
        <v>10.428571428571429</v>
      </c>
      <c r="J51" s="37">
        <v>2857.1428571428573</v>
      </c>
      <c r="K51" s="17">
        <f t="shared" si="1"/>
        <v>273.97260273972603</v>
      </c>
      <c r="L51" s="30">
        <v>10.428571428571429</v>
      </c>
      <c r="M51" s="18">
        <f>AVERAGE(M44:M50)</f>
        <v>2752.0180216157728</v>
      </c>
      <c r="N51" s="17">
        <f t="shared" si="3"/>
        <v>263.89213905904671</v>
      </c>
      <c r="O51" s="19">
        <f t="shared" si="4"/>
        <v>0</v>
      </c>
      <c r="P51" s="20">
        <f t="shared" si="5"/>
        <v>-10.080463680679316</v>
      </c>
      <c r="Q51" s="254">
        <f t="shared" si="6"/>
        <v>0.9632063075655205</v>
      </c>
      <c r="R51" s="511"/>
      <c r="S51" s="40"/>
      <c r="T51" s="40"/>
      <c r="U51" s="251"/>
      <c r="V51" s="261"/>
      <c r="W51" s="23"/>
      <c r="X51" s="23"/>
      <c r="Y51" s="31">
        <f>SUM(Y44:Y50)</f>
        <v>0</v>
      </c>
      <c r="Z51" s="31">
        <f>SUM(Z44:Z50)</f>
        <v>0</v>
      </c>
      <c r="AA51" s="505"/>
      <c r="AB51" s="506"/>
      <c r="AC51" s="31">
        <v>1</v>
      </c>
      <c r="AD51" s="31">
        <f>SUM(AD44:AD50)</f>
        <v>0</v>
      </c>
      <c r="AE51" s="19">
        <f t="shared" si="8"/>
        <v>-105.12483552708454</v>
      </c>
      <c r="AF51" s="254">
        <f t="shared" si="9"/>
        <v>0.96320630756552039</v>
      </c>
      <c r="AG51" s="511"/>
    </row>
    <row r="52" spans="1:33" ht="15.75" customHeight="1">
      <c r="A52" s="507" t="s">
        <v>1453</v>
      </c>
      <c r="B52" s="42" t="s">
        <v>100</v>
      </c>
      <c r="C52" s="490" t="s">
        <v>101</v>
      </c>
      <c r="D52" s="490"/>
      <c r="E52" s="42">
        <v>46</v>
      </c>
      <c r="F52" s="46">
        <v>1097</v>
      </c>
      <c r="G52" s="251">
        <f t="shared" ref="G52:G59" si="35">E52*F52</f>
        <v>50462</v>
      </c>
      <c r="H52" s="125" t="s">
        <v>79</v>
      </c>
      <c r="I52" s="260">
        <v>17</v>
      </c>
      <c r="J52" s="37">
        <v>2000</v>
      </c>
      <c r="K52" s="17">
        <f t="shared" si="1"/>
        <v>117.64705882352941</v>
      </c>
      <c r="L52" s="260">
        <v>17</v>
      </c>
      <c r="M52" s="18">
        <f t="shared" ref="M52:M59" si="36">F52/V52*60</f>
        <v>1935.8823529411766</v>
      </c>
      <c r="N52" s="18">
        <f t="shared" si="3"/>
        <v>113.87543252595157</v>
      </c>
      <c r="O52" s="19">
        <f t="shared" si="4"/>
        <v>0</v>
      </c>
      <c r="P52" s="20">
        <f t="shared" si="5"/>
        <v>-3.7716262975778392</v>
      </c>
      <c r="Q52" s="254">
        <f t="shared" si="6"/>
        <v>0.96794117647058842</v>
      </c>
      <c r="R52" s="489">
        <f>Q60</f>
        <v>0.93456906634849912</v>
      </c>
      <c r="S52" s="40">
        <v>0.20833333333333334</v>
      </c>
      <c r="T52" s="40">
        <v>0.23194444444444445</v>
      </c>
      <c r="U52" s="28"/>
      <c r="V52" s="261">
        <f t="shared" ref="V52:V59" si="37">(T52-S52)*24*60</f>
        <v>34</v>
      </c>
      <c r="W52" s="28"/>
      <c r="X52" s="28"/>
      <c r="Y52" s="28"/>
      <c r="Z52" s="28"/>
      <c r="AA52" s="491"/>
      <c r="AB52" s="491"/>
      <c r="AC52" s="154">
        <v>3</v>
      </c>
      <c r="AD52" s="25"/>
      <c r="AE52" s="19">
        <f t="shared" si="8"/>
        <v>-64.117647058823422</v>
      </c>
      <c r="AF52" s="254">
        <f t="shared" si="9"/>
        <v>0.9679411764705883</v>
      </c>
      <c r="AG52" s="489">
        <f>AF60</f>
        <v>0.93456906634849912</v>
      </c>
    </row>
    <row r="53" spans="1:33" ht="15.75" customHeight="1">
      <c r="A53" s="507" t="s">
        <v>1453</v>
      </c>
      <c r="B53" s="42" t="s">
        <v>100</v>
      </c>
      <c r="C53" s="490" t="s">
        <v>102</v>
      </c>
      <c r="D53" s="490"/>
      <c r="E53" s="42">
        <v>46</v>
      </c>
      <c r="F53" s="46">
        <v>1262</v>
      </c>
      <c r="G53" s="251">
        <f t="shared" si="35"/>
        <v>58052</v>
      </c>
      <c r="H53" s="125" t="s">
        <v>79</v>
      </c>
      <c r="I53" s="260">
        <v>17</v>
      </c>
      <c r="J53" s="37">
        <v>2000</v>
      </c>
      <c r="K53" s="17">
        <f t="shared" si="1"/>
        <v>117.64705882352941</v>
      </c>
      <c r="L53" s="260">
        <v>17</v>
      </c>
      <c r="M53" s="18">
        <f t="shared" si="36"/>
        <v>1941.5384615384628</v>
      </c>
      <c r="N53" s="18">
        <f t="shared" si="3"/>
        <v>114.20814479638017</v>
      </c>
      <c r="O53" s="19">
        <f t="shared" si="4"/>
        <v>0</v>
      </c>
      <c r="P53" s="20">
        <f t="shared" si="5"/>
        <v>-3.438914027149238</v>
      </c>
      <c r="Q53" s="254">
        <f t="shared" si="6"/>
        <v>0.97076923076923149</v>
      </c>
      <c r="R53" s="489"/>
      <c r="S53" s="40">
        <v>0.23750000000000002</v>
      </c>
      <c r="T53" s="40">
        <v>0.26458333333333334</v>
      </c>
      <c r="U53" s="251">
        <f t="shared" ref="U53:U59" si="38">IF(S53=TIME(17,0,0),"",(S53-T52)*24*60)</f>
        <v>8.0000000000000107</v>
      </c>
      <c r="V53" s="261">
        <f t="shared" si="37"/>
        <v>38.999999999999979</v>
      </c>
      <c r="W53" s="23"/>
      <c r="X53" s="23"/>
      <c r="Y53" s="23"/>
      <c r="Z53" s="23"/>
      <c r="AA53" s="491"/>
      <c r="AB53" s="491"/>
      <c r="AC53" s="154"/>
      <c r="AD53" s="25"/>
      <c r="AE53" s="19">
        <f t="shared" si="8"/>
        <v>-58.461538461537202</v>
      </c>
      <c r="AF53" s="254">
        <f t="shared" si="9"/>
        <v>0.97076923076923138</v>
      </c>
      <c r="AG53" s="489"/>
    </row>
    <row r="54" spans="1:33" ht="15.75" customHeight="1">
      <c r="A54" s="507" t="s">
        <v>1453</v>
      </c>
      <c r="B54" s="42" t="s">
        <v>103</v>
      </c>
      <c r="C54" s="501" t="s">
        <v>105</v>
      </c>
      <c r="D54" s="502"/>
      <c r="E54" s="42">
        <v>56.43</v>
      </c>
      <c r="F54" s="46">
        <v>1766</v>
      </c>
      <c r="G54" s="251">
        <f t="shared" si="35"/>
        <v>99655.38</v>
      </c>
      <c r="H54" s="125" t="s">
        <v>79</v>
      </c>
      <c r="I54" s="260">
        <v>22</v>
      </c>
      <c r="J54" s="37">
        <v>2000</v>
      </c>
      <c r="K54" s="17">
        <f t="shared" si="1"/>
        <v>90.909090909090907</v>
      </c>
      <c r="L54" s="260">
        <v>22</v>
      </c>
      <c r="M54" s="18">
        <f t="shared" si="36"/>
        <v>1681.9047619047615</v>
      </c>
      <c r="N54" s="18">
        <f t="shared" si="3"/>
        <v>76.450216450216431</v>
      </c>
      <c r="O54" s="19">
        <f t="shared" si="4"/>
        <v>0</v>
      </c>
      <c r="P54" s="20">
        <f t="shared" si="5"/>
        <v>-14.458874458874476</v>
      </c>
      <c r="Q54" s="254">
        <f t="shared" si="6"/>
        <v>0.84095238095238078</v>
      </c>
      <c r="R54" s="489"/>
      <c r="S54" s="40">
        <v>0.27013888888888887</v>
      </c>
      <c r="T54" s="40">
        <v>0.31388888888888888</v>
      </c>
      <c r="U54" s="251">
        <f t="shared" si="38"/>
        <v>7.9999999999999716</v>
      </c>
      <c r="V54" s="261">
        <f t="shared" si="37"/>
        <v>63.000000000000014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-318.09523809523853</v>
      </c>
      <c r="AF54" s="254">
        <f t="shared" si="9"/>
        <v>0.84095238095238078</v>
      </c>
      <c r="AG54" s="489"/>
    </row>
    <row r="55" spans="1:33" ht="15.75" customHeight="1">
      <c r="A55" s="507" t="s">
        <v>1453</v>
      </c>
      <c r="B55" s="42" t="s">
        <v>103</v>
      </c>
      <c r="C55" s="256" t="s">
        <v>518</v>
      </c>
      <c r="D55" s="257"/>
      <c r="E55" s="42">
        <v>51.75</v>
      </c>
      <c r="F55" s="46">
        <v>2298</v>
      </c>
      <c r="G55" s="251">
        <f t="shared" si="35"/>
        <v>118921.5</v>
      </c>
      <c r="H55" s="125" t="s">
        <v>79</v>
      </c>
      <c r="I55" s="260">
        <v>25</v>
      </c>
      <c r="J55" s="37">
        <v>2000</v>
      </c>
      <c r="K55" s="17">
        <f t="shared" si="1"/>
        <v>80</v>
      </c>
      <c r="L55" s="260">
        <v>25</v>
      </c>
      <c r="M55" s="18">
        <f t="shared" si="36"/>
        <v>1702.2222222222215</v>
      </c>
      <c r="N55" s="18">
        <f t="shared" si="3"/>
        <v>68.08888888888886</v>
      </c>
      <c r="O55" s="19">
        <f t="shared" si="4"/>
        <v>0</v>
      </c>
      <c r="P55" s="20">
        <f t="shared" si="5"/>
        <v>-11.91111111111114</v>
      </c>
      <c r="Q55" s="254">
        <f t="shared" si="6"/>
        <v>0.85111111111111071</v>
      </c>
      <c r="R55" s="489"/>
      <c r="S55" s="40">
        <v>0.31805555555555554</v>
      </c>
      <c r="T55" s="40">
        <v>0.37430555555555556</v>
      </c>
      <c r="U55" s="251">
        <f t="shared" si="38"/>
        <v>5.9999999999999787</v>
      </c>
      <c r="V55" s="261">
        <f t="shared" si="37"/>
        <v>81.000000000000028</v>
      </c>
      <c r="W55" s="23"/>
      <c r="X55" s="23"/>
      <c r="Y55" s="26"/>
      <c r="Z55" s="26"/>
      <c r="AA55" s="491"/>
      <c r="AB55" s="491"/>
      <c r="AC55" s="154"/>
      <c r="AD55" s="25"/>
      <c r="AE55" s="19">
        <f t="shared" si="8"/>
        <v>-297.77777777777851</v>
      </c>
      <c r="AF55" s="254">
        <f t="shared" si="9"/>
        <v>0.85111111111111071</v>
      </c>
      <c r="AG55" s="489"/>
    </row>
    <row r="56" spans="1:33" ht="15.75" customHeight="1">
      <c r="A56" s="507" t="s">
        <v>1453</v>
      </c>
      <c r="B56" s="42" t="s">
        <v>103</v>
      </c>
      <c r="C56" s="256" t="s">
        <v>106</v>
      </c>
      <c r="D56" s="257"/>
      <c r="E56" s="42">
        <v>55.56</v>
      </c>
      <c r="F56" s="46">
        <v>1704</v>
      </c>
      <c r="G56" s="251">
        <f t="shared" si="35"/>
        <v>94674.240000000005</v>
      </c>
      <c r="H56" s="125" t="s">
        <v>79</v>
      </c>
      <c r="I56" s="260">
        <v>17</v>
      </c>
      <c r="J56" s="37">
        <v>2000</v>
      </c>
      <c r="K56" s="17">
        <f t="shared" si="1"/>
        <v>117.64705882352941</v>
      </c>
      <c r="L56" s="260">
        <v>17</v>
      </c>
      <c r="M56" s="18">
        <f t="shared" si="36"/>
        <v>1929.0566037735859</v>
      </c>
      <c r="N56" s="18">
        <f t="shared" si="3"/>
        <v>113.47391786903447</v>
      </c>
      <c r="O56" s="19">
        <f t="shared" si="4"/>
        <v>0</v>
      </c>
      <c r="P56" s="20">
        <f t="shared" si="5"/>
        <v>-4.17314095449494</v>
      </c>
      <c r="Q56" s="254">
        <f t="shared" si="6"/>
        <v>0.96452830188679306</v>
      </c>
      <c r="R56" s="489"/>
      <c r="S56" s="40">
        <v>0.70833333333333337</v>
      </c>
      <c r="T56" s="40">
        <v>0.74513888888888891</v>
      </c>
      <c r="U56" s="251" t="str">
        <f t="shared" si="38"/>
        <v/>
      </c>
      <c r="V56" s="261">
        <f t="shared" si="37"/>
        <v>52.999999999999972</v>
      </c>
      <c r="W56" s="23"/>
      <c r="X56" s="23"/>
      <c r="Y56" s="26"/>
      <c r="Z56" s="26"/>
      <c r="AA56" s="491"/>
      <c r="AB56" s="491"/>
      <c r="AC56" s="154"/>
      <c r="AD56" s="25"/>
      <c r="AE56" s="19">
        <f t="shared" si="8"/>
        <v>-70.943396226414052</v>
      </c>
      <c r="AF56" s="254">
        <f t="shared" si="9"/>
        <v>0.96452830188679295</v>
      </c>
      <c r="AG56" s="489"/>
    </row>
    <row r="57" spans="1:33" ht="15.75" customHeight="1">
      <c r="A57" s="507" t="s">
        <v>1453</v>
      </c>
      <c r="B57" s="42" t="s">
        <v>103</v>
      </c>
      <c r="C57" s="501" t="s">
        <v>107</v>
      </c>
      <c r="D57" s="502"/>
      <c r="E57" s="42">
        <v>55.32</v>
      </c>
      <c r="F57" s="46">
        <v>1182</v>
      </c>
      <c r="G57" s="251">
        <f t="shared" si="35"/>
        <v>65388.24</v>
      </c>
      <c r="H57" s="125" t="s">
        <v>79</v>
      </c>
      <c r="I57" s="260">
        <v>15</v>
      </c>
      <c r="J57" s="37">
        <v>2000</v>
      </c>
      <c r="K57" s="17">
        <f t="shared" si="1"/>
        <v>133.33333333333334</v>
      </c>
      <c r="L57" s="260">
        <v>15</v>
      </c>
      <c r="M57" s="18">
        <f t="shared" si="36"/>
        <v>1916.7567567567553</v>
      </c>
      <c r="N57" s="18">
        <f t="shared" si="3"/>
        <v>127.78378378378369</v>
      </c>
      <c r="O57" s="19">
        <f t="shared" si="4"/>
        <v>0</v>
      </c>
      <c r="P57" s="20">
        <f t="shared" si="5"/>
        <v>-5.5495495495496527</v>
      </c>
      <c r="Q57" s="254">
        <f t="shared" si="6"/>
        <v>0.95837837837837758</v>
      </c>
      <c r="R57" s="489"/>
      <c r="S57" s="40">
        <v>0.75069444444444444</v>
      </c>
      <c r="T57" s="40">
        <v>0.77638888888888891</v>
      </c>
      <c r="U57" s="251">
        <f t="shared" si="38"/>
        <v>7.9999999999999716</v>
      </c>
      <c r="V57" s="261">
        <f t="shared" si="37"/>
        <v>37.000000000000028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-83.243243243244706</v>
      </c>
      <c r="AF57" s="254">
        <f t="shared" si="9"/>
        <v>0.95837837837837769</v>
      </c>
      <c r="AG57" s="489"/>
    </row>
    <row r="58" spans="1:33" ht="15.75" customHeight="1">
      <c r="A58" s="507" t="s">
        <v>1453</v>
      </c>
      <c r="B58" s="42" t="s">
        <v>103</v>
      </c>
      <c r="C58" s="501" t="s">
        <v>516</v>
      </c>
      <c r="D58" s="502"/>
      <c r="E58" s="42">
        <v>50.67</v>
      </c>
      <c r="F58" s="46">
        <v>1277</v>
      </c>
      <c r="G58" s="251">
        <f t="shared" si="35"/>
        <v>64705.590000000004</v>
      </c>
      <c r="H58" s="125" t="s">
        <v>79</v>
      </c>
      <c r="I58" s="260">
        <v>16</v>
      </c>
      <c r="J58" s="37">
        <v>2000</v>
      </c>
      <c r="K58" s="17">
        <f t="shared" si="1"/>
        <v>125</v>
      </c>
      <c r="L58" s="260">
        <v>16</v>
      </c>
      <c r="M58" s="18">
        <f t="shared" si="36"/>
        <v>1915.4999999999993</v>
      </c>
      <c r="N58" s="18">
        <f t="shared" si="3"/>
        <v>119.71874999999996</v>
      </c>
      <c r="O58" s="19">
        <f t="shared" si="4"/>
        <v>0</v>
      </c>
      <c r="P58" s="20">
        <f t="shared" si="5"/>
        <v>-5.2812500000000426</v>
      </c>
      <c r="Q58" s="254">
        <f t="shared" si="6"/>
        <v>0.95774999999999966</v>
      </c>
      <c r="R58" s="489"/>
      <c r="S58" s="40">
        <v>0.77986111111111112</v>
      </c>
      <c r="T58" s="40">
        <v>0.80763888888888891</v>
      </c>
      <c r="U58" s="251">
        <f t="shared" si="38"/>
        <v>4.9999999999999822</v>
      </c>
      <c r="V58" s="261">
        <f t="shared" si="37"/>
        <v>40.000000000000014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-84.500000000000682</v>
      </c>
      <c r="AF58" s="254">
        <f t="shared" si="9"/>
        <v>0.95774999999999966</v>
      </c>
      <c r="AG58" s="489"/>
    </row>
    <row r="59" spans="1:33" ht="15.75" customHeight="1">
      <c r="A59" s="507" t="s">
        <v>1453</v>
      </c>
      <c r="B59" s="42" t="s">
        <v>103</v>
      </c>
      <c r="C59" s="501" t="s">
        <v>108</v>
      </c>
      <c r="D59" s="502"/>
      <c r="E59" s="42">
        <v>54.29</v>
      </c>
      <c r="F59" s="46">
        <v>1319</v>
      </c>
      <c r="G59" s="251">
        <f t="shared" si="35"/>
        <v>71608.509999999995</v>
      </c>
      <c r="H59" s="125" t="s">
        <v>79</v>
      </c>
      <c r="I59" s="260">
        <v>20</v>
      </c>
      <c r="J59" s="37">
        <v>2000</v>
      </c>
      <c r="K59" s="17">
        <f t="shared" si="1"/>
        <v>100</v>
      </c>
      <c r="L59" s="260">
        <v>20</v>
      </c>
      <c r="M59" s="18">
        <f t="shared" si="36"/>
        <v>1930.2439024390237</v>
      </c>
      <c r="N59" s="18">
        <f t="shared" si="3"/>
        <v>96.51219512195118</v>
      </c>
      <c r="O59" s="19">
        <f t="shared" si="4"/>
        <v>0</v>
      </c>
      <c r="P59" s="20">
        <f t="shared" si="5"/>
        <v>-3.48780487804882</v>
      </c>
      <c r="Q59" s="254">
        <f t="shared" si="6"/>
        <v>0.96512195121951183</v>
      </c>
      <c r="R59" s="489"/>
      <c r="S59" s="40">
        <v>0.81111111111111112</v>
      </c>
      <c r="T59" s="40">
        <v>0.83958333333333335</v>
      </c>
      <c r="U59" s="251">
        <f t="shared" si="38"/>
        <v>4.9999999999999822</v>
      </c>
      <c r="V59" s="261">
        <f t="shared" si="37"/>
        <v>41.000000000000014</v>
      </c>
      <c r="W59" s="23"/>
      <c r="X59" s="23"/>
      <c r="Y59" s="26"/>
      <c r="Z59" s="26"/>
      <c r="AA59" s="503"/>
      <c r="AB59" s="504"/>
      <c r="AC59" s="154"/>
      <c r="AD59" s="25"/>
      <c r="AE59" s="19">
        <f t="shared" si="8"/>
        <v>-69.756097560976286</v>
      </c>
      <c r="AF59" s="254">
        <f t="shared" si="9"/>
        <v>0.96512195121951183</v>
      </c>
      <c r="AG59" s="489"/>
    </row>
    <row r="60" spans="1:33">
      <c r="A60" s="508" t="s">
        <v>1453</v>
      </c>
      <c r="B60" s="42" t="s">
        <v>1451</v>
      </c>
      <c r="C60" s="494"/>
      <c r="D60" s="494"/>
      <c r="E60" s="255"/>
      <c r="F60" s="44"/>
      <c r="G60" s="17"/>
      <c r="H60" s="262"/>
      <c r="I60" s="30">
        <v>18.625</v>
      </c>
      <c r="J60" s="37">
        <v>2000</v>
      </c>
      <c r="K60" s="17">
        <f t="shared" si="1"/>
        <v>107.38255033557047</v>
      </c>
      <c r="L60" s="30">
        <v>18.625</v>
      </c>
      <c r="M60" s="18">
        <f>AVERAGE(M52:M59)</f>
        <v>1869.1381326969984</v>
      </c>
      <c r="N60" s="17">
        <f t="shared" si="3"/>
        <v>100.3564098092348</v>
      </c>
      <c r="O60" s="19">
        <f t="shared" si="4"/>
        <v>0</v>
      </c>
      <c r="P60" s="20">
        <f t="shared" si="5"/>
        <v>-7.0261405263356664</v>
      </c>
      <c r="Q60" s="254">
        <f t="shared" si="6"/>
        <v>0.93456906634849912</v>
      </c>
      <c r="R60" s="489"/>
      <c r="S60" s="41"/>
      <c r="T60" s="40"/>
      <c r="U60" s="17"/>
      <c r="V60" s="261"/>
      <c r="W60" s="17"/>
      <c r="X60" s="17"/>
      <c r="Y60" s="31">
        <f>SUM(Y52:Y59)</f>
        <v>0</v>
      </c>
      <c r="Z60" s="31">
        <f>SUM(Z52:Z59)</f>
        <v>0</v>
      </c>
      <c r="AA60" s="495"/>
      <c r="AB60" s="495"/>
      <c r="AC60" s="31">
        <v>3</v>
      </c>
      <c r="AD60" s="31">
        <f>SUM(AD52:AD59)</f>
        <v>0</v>
      </c>
      <c r="AE60" s="19">
        <f t="shared" si="8"/>
        <v>-130.86186730300165</v>
      </c>
      <c r="AF60" s="254">
        <f t="shared" si="9"/>
        <v>0.93456906634849912</v>
      </c>
      <c r="AG60" s="489"/>
    </row>
    <row r="61" spans="1:33" ht="15.75" customHeight="1">
      <c r="A61" s="499" t="s">
        <v>1454</v>
      </c>
      <c r="B61" s="262" t="s">
        <v>100</v>
      </c>
      <c r="C61" s="490" t="s">
        <v>109</v>
      </c>
      <c r="D61" s="490"/>
      <c r="E61" s="42">
        <v>26.97</v>
      </c>
      <c r="F61" s="46">
        <v>2030</v>
      </c>
      <c r="G61" s="251">
        <f t="shared" ref="G61:G64" si="39">E61*F61</f>
        <v>54749.1</v>
      </c>
      <c r="H61" s="125" t="s">
        <v>79</v>
      </c>
      <c r="I61" s="260">
        <v>8</v>
      </c>
      <c r="J61" s="37">
        <v>1500</v>
      </c>
      <c r="K61" s="17">
        <f t="shared" si="1"/>
        <v>187.5</v>
      </c>
      <c r="L61" s="260">
        <v>8</v>
      </c>
      <c r="M61" s="18">
        <f t="shared" ref="M61:M64" si="40">F61/V61*60</f>
        <v>1432.9411764705887</v>
      </c>
      <c r="N61" s="17">
        <f t="shared" si="3"/>
        <v>179.11764705882359</v>
      </c>
      <c r="O61" s="19">
        <f t="shared" si="4"/>
        <v>0</v>
      </c>
      <c r="P61" s="20">
        <f t="shared" si="5"/>
        <v>-8.3823529411764071</v>
      </c>
      <c r="Q61" s="254">
        <f t="shared" si="6"/>
        <v>0.95529411764705918</v>
      </c>
      <c r="R61" s="489">
        <f>Q65</f>
        <v>0.95937211134453804</v>
      </c>
      <c r="S61" s="40">
        <v>0.20833333333333334</v>
      </c>
      <c r="T61" s="40">
        <v>0.2673611111111111</v>
      </c>
      <c r="U61" s="251"/>
      <c r="V61" s="261">
        <f t="shared" ref="V61:V64" si="41">(T61-S61)*24*60</f>
        <v>84.999999999999972</v>
      </c>
      <c r="W61" s="28"/>
      <c r="X61" s="28"/>
      <c r="Y61" s="28"/>
      <c r="Z61" s="28"/>
      <c r="AA61" s="491"/>
      <c r="AB61" s="491"/>
      <c r="AC61" s="154" t="s">
        <v>79</v>
      </c>
      <c r="AD61" s="25"/>
      <c r="AE61" s="19">
        <f t="shared" si="8"/>
        <v>-67.058823529411256</v>
      </c>
      <c r="AF61" s="254">
        <f t="shared" si="9"/>
        <v>0.95529411764705918</v>
      </c>
      <c r="AG61" s="489">
        <f>AF65</f>
        <v>0.95937211134453804</v>
      </c>
    </row>
    <row r="62" spans="1:33" ht="15.75" customHeight="1">
      <c r="A62" s="499" t="s">
        <v>1454</v>
      </c>
      <c r="B62" s="262" t="s">
        <v>93</v>
      </c>
      <c r="C62" s="490" t="s">
        <v>110</v>
      </c>
      <c r="D62" s="490"/>
      <c r="E62" s="42">
        <v>26.78</v>
      </c>
      <c r="F62" s="46">
        <v>2315</v>
      </c>
      <c r="G62" s="251">
        <f t="shared" si="39"/>
        <v>61995.700000000004</v>
      </c>
      <c r="H62" s="125" t="s">
        <v>79</v>
      </c>
      <c r="I62" s="260">
        <v>10</v>
      </c>
      <c r="J62" s="37">
        <v>3000</v>
      </c>
      <c r="K62" s="17">
        <f t="shared" si="1"/>
        <v>300</v>
      </c>
      <c r="L62" s="260">
        <v>10</v>
      </c>
      <c r="M62" s="18">
        <f t="shared" si="40"/>
        <v>2893.7500000000009</v>
      </c>
      <c r="N62" s="17">
        <f t="shared" si="3"/>
        <v>289.37500000000011</v>
      </c>
      <c r="O62" s="19">
        <f t="shared" si="4"/>
        <v>0</v>
      </c>
      <c r="P62" s="20">
        <f t="shared" si="5"/>
        <v>-10.624999999999886</v>
      </c>
      <c r="Q62" s="254">
        <f t="shared" si="6"/>
        <v>0.96458333333333368</v>
      </c>
      <c r="R62" s="489"/>
      <c r="S62" s="40">
        <v>0.27291666666666664</v>
      </c>
      <c r="T62" s="40">
        <v>0.30624999999999997</v>
      </c>
      <c r="U62" s="251">
        <f t="shared" ref="U62:U64" si="42">(S62-T61)*24*60</f>
        <v>7.9999999999999716</v>
      </c>
      <c r="V62" s="261">
        <f t="shared" si="41"/>
        <v>47.999999999999986</v>
      </c>
      <c r="W62" s="251"/>
      <c r="X62" s="251"/>
      <c r="Y62" s="251"/>
      <c r="Z62" s="251"/>
      <c r="AA62" s="491"/>
      <c r="AB62" s="491"/>
      <c r="AC62" s="154" t="s">
        <v>79</v>
      </c>
      <c r="AD62" s="25"/>
      <c r="AE62" s="19">
        <f t="shared" si="8"/>
        <v>-106.24999999999909</v>
      </c>
      <c r="AF62" s="254">
        <f t="shared" si="9"/>
        <v>0.96458333333333368</v>
      </c>
      <c r="AG62" s="489"/>
    </row>
    <row r="63" spans="1:33" ht="15.75" customHeight="1">
      <c r="A63" s="499" t="s">
        <v>1454</v>
      </c>
      <c r="B63" s="262" t="s">
        <v>100</v>
      </c>
      <c r="C63" s="490" t="s">
        <v>519</v>
      </c>
      <c r="D63" s="490"/>
      <c r="E63" s="42">
        <v>27.4</v>
      </c>
      <c r="F63" s="46">
        <v>2878</v>
      </c>
      <c r="G63" s="251">
        <f t="shared" si="39"/>
        <v>78857.2</v>
      </c>
      <c r="H63" s="125" t="s">
        <v>79</v>
      </c>
      <c r="I63" s="260">
        <v>10</v>
      </c>
      <c r="J63" s="37">
        <v>1500</v>
      </c>
      <c r="K63" s="17">
        <f t="shared" si="1"/>
        <v>150</v>
      </c>
      <c r="L63" s="260">
        <v>10</v>
      </c>
      <c r="M63" s="18">
        <f t="shared" si="40"/>
        <v>1439.0000000000002</v>
      </c>
      <c r="N63" s="17">
        <f t="shared" si="3"/>
        <v>143.90000000000003</v>
      </c>
      <c r="O63" s="19">
        <f t="shared" si="4"/>
        <v>0</v>
      </c>
      <c r="P63" s="20">
        <f t="shared" si="5"/>
        <v>-6.0999999999999659</v>
      </c>
      <c r="Q63" s="254">
        <f t="shared" si="6"/>
        <v>0.95933333333333359</v>
      </c>
      <c r="R63" s="489"/>
      <c r="S63" s="40">
        <v>0.3118055555555555</v>
      </c>
      <c r="T63" s="40">
        <v>0.39513888888888882</v>
      </c>
      <c r="U63" s="251">
        <f t="shared" si="42"/>
        <v>7.9999999999999716</v>
      </c>
      <c r="V63" s="261">
        <f t="shared" si="41"/>
        <v>119.99999999999997</v>
      </c>
      <c r="W63" s="251"/>
      <c r="X63" s="251"/>
      <c r="Y63" s="251"/>
      <c r="Z63" s="251"/>
      <c r="AA63" s="491"/>
      <c r="AB63" s="491"/>
      <c r="AC63" s="154" t="s">
        <v>79</v>
      </c>
      <c r="AD63" s="25"/>
      <c r="AE63" s="19">
        <f t="shared" si="8"/>
        <v>-60.999999999999773</v>
      </c>
      <c r="AF63" s="254">
        <f t="shared" si="9"/>
        <v>0.95933333333333348</v>
      </c>
      <c r="AG63" s="489"/>
    </row>
    <row r="64" spans="1:33" ht="15.75" customHeight="1">
      <c r="A64" s="499" t="s">
        <v>1454</v>
      </c>
      <c r="B64" s="262" t="s">
        <v>93</v>
      </c>
      <c r="C64" s="490" t="s">
        <v>1235</v>
      </c>
      <c r="D64" s="490"/>
      <c r="E64" s="42">
        <v>37.85</v>
      </c>
      <c r="F64" s="46">
        <v>3564</v>
      </c>
      <c r="G64" s="251">
        <f t="shared" si="39"/>
        <v>134897.4</v>
      </c>
      <c r="H64" s="125" t="s">
        <v>79</v>
      </c>
      <c r="I64" s="260">
        <v>12</v>
      </c>
      <c r="J64" s="37">
        <v>2000</v>
      </c>
      <c r="K64" s="17">
        <f t="shared" si="1"/>
        <v>166.66666666666666</v>
      </c>
      <c r="L64" s="260">
        <v>12</v>
      </c>
      <c r="M64" s="18">
        <f t="shared" si="40"/>
        <v>1909.2857142857144</v>
      </c>
      <c r="N64" s="17">
        <f t="shared" si="3"/>
        <v>159.10714285714286</v>
      </c>
      <c r="O64" s="19">
        <f t="shared" si="4"/>
        <v>0</v>
      </c>
      <c r="P64" s="20">
        <f t="shared" si="5"/>
        <v>-7.559523809523796</v>
      </c>
      <c r="Q64" s="254">
        <f t="shared" si="6"/>
        <v>0.95464285714285724</v>
      </c>
      <c r="R64" s="489"/>
      <c r="S64" s="40">
        <v>0.39930555555555547</v>
      </c>
      <c r="T64" s="40">
        <v>0.47708333333333325</v>
      </c>
      <c r="U64" s="251">
        <f t="shared" si="42"/>
        <v>5.9999999999999787</v>
      </c>
      <c r="V64" s="261">
        <f t="shared" si="41"/>
        <v>112</v>
      </c>
      <c r="W64" s="251"/>
      <c r="X64" s="251"/>
      <c r="Y64" s="251"/>
      <c r="Z64" s="251"/>
      <c r="AA64" s="491"/>
      <c r="AB64" s="491"/>
      <c r="AC64" s="154" t="s">
        <v>79</v>
      </c>
      <c r="AD64" s="25"/>
      <c r="AE64" s="19">
        <f t="shared" si="8"/>
        <v>-90.714285714285552</v>
      </c>
      <c r="AF64" s="254">
        <f t="shared" si="9"/>
        <v>0.95464285714285724</v>
      </c>
      <c r="AG64" s="489"/>
    </row>
    <row r="65" spans="1:33">
      <c r="A65" s="500" t="s">
        <v>1454</v>
      </c>
      <c r="B65" s="42" t="s">
        <v>1455</v>
      </c>
      <c r="C65" s="494"/>
      <c r="D65" s="494"/>
      <c r="E65" s="255"/>
      <c r="F65" s="44"/>
      <c r="G65" s="17"/>
      <c r="H65" s="262"/>
      <c r="I65" s="30">
        <v>10</v>
      </c>
      <c r="J65" s="37">
        <v>2000</v>
      </c>
      <c r="K65" s="17">
        <f t="shared" si="1"/>
        <v>200</v>
      </c>
      <c r="L65" s="30">
        <v>10</v>
      </c>
      <c r="M65" s="18">
        <f>AVERAGE(M61:M64)</f>
        <v>1918.744222689076</v>
      </c>
      <c r="N65" s="17">
        <f t="shared" si="3"/>
        <v>191.87442226890761</v>
      </c>
      <c r="O65" s="19">
        <f t="shared" si="4"/>
        <v>0</v>
      </c>
      <c r="P65" s="20">
        <f t="shared" si="5"/>
        <v>-8.1255777310923918</v>
      </c>
      <c r="Q65" s="254">
        <f t="shared" si="6"/>
        <v>0.95937211134453804</v>
      </c>
      <c r="R65" s="489"/>
      <c r="S65" s="40"/>
      <c r="T65" s="40"/>
      <c r="U65" s="17"/>
      <c r="V65" s="261"/>
      <c r="W65" s="17"/>
      <c r="X65" s="17"/>
      <c r="Y65" s="31">
        <f>SUM(Y61:Y64)</f>
        <v>0</v>
      </c>
      <c r="Z65" s="31">
        <f>SUM(Z61:Z64)</f>
        <v>0</v>
      </c>
      <c r="AA65" s="495"/>
      <c r="AB65" s="495"/>
      <c r="AC65" s="31">
        <v>0</v>
      </c>
      <c r="AD65" s="31">
        <f>SUM(AD61:AD64)</f>
        <v>0</v>
      </c>
      <c r="AE65" s="19">
        <f t="shared" si="8"/>
        <v>-81.255777310924032</v>
      </c>
      <c r="AF65" s="254">
        <f t="shared" si="9"/>
        <v>0.95937211134453804</v>
      </c>
      <c r="AG65" s="489"/>
    </row>
    <row r="66" spans="1:33" ht="15.75" customHeight="1">
      <c r="A66" s="496" t="s">
        <v>1456</v>
      </c>
      <c r="B66" s="262" t="s">
        <v>80</v>
      </c>
      <c r="C66" s="490" t="s">
        <v>115</v>
      </c>
      <c r="D66" s="490"/>
      <c r="E66" s="42">
        <v>20.2</v>
      </c>
      <c r="F66" s="262">
        <v>1555</v>
      </c>
      <c r="G66" s="251">
        <f t="shared" ref="G66:G70" si="43">E66*F66</f>
        <v>31411</v>
      </c>
      <c r="H66" s="125" t="s">
        <v>79</v>
      </c>
      <c r="I66" s="260">
        <v>19</v>
      </c>
      <c r="J66" s="37">
        <v>2400</v>
      </c>
      <c r="K66" s="17">
        <f t="shared" si="1"/>
        <v>126.31578947368421</v>
      </c>
      <c r="L66" s="260">
        <v>19</v>
      </c>
      <c r="M66" s="18">
        <f t="shared" ref="M66:M70" si="44">F66/V66*60</f>
        <v>2332.5</v>
      </c>
      <c r="N66" s="17">
        <f t="shared" si="3"/>
        <v>122.76315789473684</v>
      </c>
      <c r="O66" s="19">
        <f t="shared" si="4"/>
        <v>0</v>
      </c>
      <c r="P66" s="20">
        <f t="shared" si="5"/>
        <v>-3.5526315789473699</v>
      </c>
      <c r="Q66" s="254">
        <f t="shared" si="6"/>
        <v>0.97187499999999993</v>
      </c>
      <c r="R66" s="489">
        <f>Q71</f>
        <v>0.95919470698383991</v>
      </c>
      <c r="S66" s="40">
        <v>8.3333333333333329E-2</v>
      </c>
      <c r="T66" s="40">
        <v>0.1111111111111111</v>
      </c>
      <c r="U66" s="28"/>
      <c r="V66" s="261">
        <f t="shared" ref="V66:V70" si="45">(T66-S66)*24*60</f>
        <v>40</v>
      </c>
      <c r="W66" s="23">
        <f>T66</f>
        <v>0.1111111111111111</v>
      </c>
      <c r="X66" s="23">
        <f>S67</f>
        <v>0.13055555555555556</v>
      </c>
      <c r="Y66" s="23"/>
      <c r="Z66" s="23"/>
      <c r="AA66" s="491"/>
      <c r="AB66" s="491"/>
      <c r="AC66" s="154">
        <v>6</v>
      </c>
      <c r="AD66" s="25"/>
      <c r="AE66" s="19">
        <f t="shared" si="8"/>
        <v>-67.5</v>
      </c>
      <c r="AF66" s="254">
        <f t="shared" si="9"/>
        <v>0.97187500000000004</v>
      </c>
      <c r="AG66" s="489">
        <f>AF71</f>
        <v>0.95919470698383991</v>
      </c>
    </row>
    <row r="67" spans="1:33" ht="15.75" customHeight="1">
      <c r="A67" s="497" t="s">
        <v>1456</v>
      </c>
      <c r="B67" s="262" t="s">
        <v>80</v>
      </c>
      <c r="C67" s="490" t="s">
        <v>116</v>
      </c>
      <c r="D67" s="490"/>
      <c r="E67" s="42">
        <v>20.52</v>
      </c>
      <c r="F67" s="262">
        <v>2530</v>
      </c>
      <c r="G67" s="251">
        <f t="shared" si="43"/>
        <v>51915.6</v>
      </c>
      <c r="H67" s="125" t="s">
        <v>79</v>
      </c>
      <c r="I67" s="260">
        <v>18</v>
      </c>
      <c r="J67" s="37">
        <v>2400</v>
      </c>
      <c r="K67" s="17">
        <f t="shared" si="1"/>
        <v>133.33333333333334</v>
      </c>
      <c r="L67" s="260">
        <v>18</v>
      </c>
      <c r="M67" s="18">
        <f t="shared" si="44"/>
        <v>2300</v>
      </c>
      <c r="N67" s="17">
        <f t="shared" si="3"/>
        <v>127.77777777777777</v>
      </c>
      <c r="O67" s="19">
        <f t="shared" si="4"/>
        <v>0</v>
      </c>
      <c r="P67" s="20">
        <f t="shared" si="5"/>
        <v>-5.5555555555555713</v>
      </c>
      <c r="Q67" s="254">
        <f t="shared" si="6"/>
        <v>0.95833333333333326</v>
      </c>
      <c r="R67" s="489"/>
      <c r="S67" s="40">
        <v>0.13055555555555556</v>
      </c>
      <c r="T67" s="40">
        <v>0.1763888888888889</v>
      </c>
      <c r="U67" s="251">
        <f t="shared" ref="U67:U70" si="46">(S67-T66)*24*60</f>
        <v>28.000000000000021</v>
      </c>
      <c r="V67" s="261">
        <f t="shared" si="45"/>
        <v>66</v>
      </c>
      <c r="W67" s="23"/>
      <c r="X67" s="23"/>
      <c r="Y67" s="23"/>
      <c r="Z67" s="23"/>
      <c r="AA67" s="491"/>
      <c r="AB67" s="491"/>
      <c r="AC67" s="154"/>
      <c r="AD67" s="25"/>
      <c r="AE67" s="19">
        <f t="shared" si="8"/>
        <v>-100</v>
      </c>
      <c r="AF67" s="254">
        <f t="shared" si="9"/>
        <v>0.95833333333333337</v>
      </c>
      <c r="AG67" s="489"/>
    </row>
    <row r="68" spans="1:33" ht="15.75" customHeight="1">
      <c r="A68" s="497" t="s">
        <v>1456</v>
      </c>
      <c r="B68" s="262" t="s">
        <v>80</v>
      </c>
      <c r="C68" s="490" t="s">
        <v>117</v>
      </c>
      <c r="D68" s="490"/>
      <c r="E68" s="42">
        <v>24.43</v>
      </c>
      <c r="F68" s="262">
        <v>5158</v>
      </c>
      <c r="G68" s="251">
        <f t="shared" si="43"/>
        <v>126009.94</v>
      </c>
      <c r="H68" s="125" t="s">
        <v>79</v>
      </c>
      <c r="I68" s="260">
        <v>14</v>
      </c>
      <c r="J68" s="37">
        <v>2400</v>
      </c>
      <c r="K68" s="17">
        <f t="shared" si="1"/>
        <v>171.42857142857142</v>
      </c>
      <c r="L68" s="260">
        <v>14</v>
      </c>
      <c r="M68" s="18">
        <f t="shared" si="44"/>
        <v>2292.4444444444439</v>
      </c>
      <c r="N68" s="17">
        <f t="shared" si="3"/>
        <v>163.74603174603172</v>
      </c>
      <c r="O68" s="19">
        <f t="shared" si="4"/>
        <v>0</v>
      </c>
      <c r="P68" s="20">
        <f t="shared" si="5"/>
        <v>-7.6825396825396979</v>
      </c>
      <c r="Q68" s="254">
        <f t="shared" si="6"/>
        <v>0.95518518518518514</v>
      </c>
      <c r="R68" s="489"/>
      <c r="S68" s="40">
        <v>0.17986111111111111</v>
      </c>
      <c r="T68" s="40">
        <v>0.27361111111111114</v>
      </c>
      <c r="U68" s="251">
        <f t="shared" si="46"/>
        <v>4.9999999999999822</v>
      </c>
      <c r="V68" s="261">
        <f t="shared" si="45"/>
        <v>135.00000000000006</v>
      </c>
      <c r="W68" s="23"/>
      <c r="X68" s="23"/>
      <c r="Y68" s="23"/>
      <c r="Z68" s="23"/>
      <c r="AA68" s="491"/>
      <c r="AB68" s="491"/>
      <c r="AC68" s="154"/>
      <c r="AD68" s="25"/>
      <c r="AE68" s="19">
        <f t="shared" si="8"/>
        <v>-107.55555555555611</v>
      </c>
      <c r="AF68" s="254">
        <f t="shared" si="9"/>
        <v>0.95518518518518492</v>
      </c>
      <c r="AG68" s="489"/>
    </row>
    <row r="69" spans="1:33" ht="15.75" customHeight="1">
      <c r="A69" s="497" t="s">
        <v>1456</v>
      </c>
      <c r="B69" s="262" t="s">
        <v>80</v>
      </c>
      <c r="C69" s="490" t="s">
        <v>118</v>
      </c>
      <c r="D69" s="490"/>
      <c r="E69" s="42">
        <v>20.21</v>
      </c>
      <c r="F69" s="262">
        <v>3180</v>
      </c>
      <c r="G69" s="251">
        <f t="shared" si="43"/>
        <v>64267.8</v>
      </c>
      <c r="H69" s="125" t="s">
        <v>79</v>
      </c>
      <c r="I69" s="260">
        <v>16</v>
      </c>
      <c r="J69" s="37">
        <v>2400</v>
      </c>
      <c r="K69" s="17">
        <f t="shared" ref="K69:K71" si="47">J69/I69</f>
        <v>150</v>
      </c>
      <c r="L69" s="260">
        <v>16</v>
      </c>
      <c r="M69" s="18">
        <f t="shared" si="44"/>
        <v>2298.7951807228906</v>
      </c>
      <c r="N69" s="17">
        <f t="shared" ref="N69:N71" si="48">M69/L69</f>
        <v>143.67469879518066</v>
      </c>
      <c r="O69" s="19">
        <f t="shared" ref="O69:O71" si="49">L69-I69</f>
        <v>0</v>
      </c>
      <c r="P69" s="20">
        <f t="shared" ref="P69:P71" si="50">N69-K69</f>
        <v>-6.3253012048193398</v>
      </c>
      <c r="Q69" s="254">
        <f t="shared" ref="Q69:Q71" si="51">N69/K69</f>
        <v>0.95783132530120441</v>
      </c>
      <c r="R69" s="489"/>
      <c r="S69" s="40">
        <v>0.27916666666666667</v>
      </c>
      <c r="T69" s="40">
        <v>0.33680555555555558</v>
      </c>
      <c r="U69" s="251">
        <f t="shared" si="46"/>
        <v>7.9999999999999716</v>
      </c>
      <c r="V69" s="261">
        <f t="shared" si="45"/>
        <v>83.000000000000028</v>
      </c>
      <c r="W69" s="23"/>
      <c r="X69" s="23"/>
      <c r="Y69" s="23"/>
      <c r="Z69" s="23"/>
      <c r="AA69" s="491"/>
      <c r="AB69" s="491"/>
      <c r="AC69" s="154"/>
      <c r="AD69" s="25"/>
      <c r="AE69" s="19">
        <f t="shared" ref="AE69:AE71" si="52">M69-J69</f>
        <v>-101.20481927710944</v>
      </c>
      <c r="AF69" s="254">
        <f t="shared" ref="AF69:AF71" si="53">M69/J69</f>
        <v>0.95783132530120441</v>
      </c>
      <c r="AG69" s="489"/>
    </row>
    <row r="70" spans="1:33" ht="15.75" customHeight="1">
      <c r="A70" s="497" t="s">
        <v>1456</v>
      </c>
      <c r="B70" s="262" t="s">
        <v>80</v>
      </c>
      <c r="C70" s="490" t="s">
        <v>119</v>
      </c>
      <c r="D70" s="490"/>
      <c r="E70" s="42">
        <v>19.02</v>
      </c>
      <c r="F70" s="262">
        <v>7279</v>
      </c>
      <c r="G70" s="251">
        <f t="shared" si="43"/>
        <v>138446.57999999999</v>
      </c>
      <c r="H70" s="125" t="s">
        <v>79</v>
      </c>
      <c r="I70" s="260">
        <v>15</v>
      </c>
      <c r="J70" s="37">
        <v>2400</v>
      </c>
      <c r="K70" s="17">
        <f t="shared" si="47"/>
        <v>160</v>
      </c>
      <c r="L70" s="260">
        <v>15</v>
      </c>
      <c r="M70" s="18">
        <f t="shared" si="44"/>
        <v>2286.5968586387439</v>
      </c>
      <c r="N70" s="17">
        <f t="shared" si="48"/>
        <v>152.43979057591625</v>
      </c>
      <c r="O70" s="19">
        <f t="shared" si="49"/>
        <v>0</v>
      </c>
      <c r="P70" s="20">
        <f t="shared" si="50"/>
        <v>-7.5602094240837516</v>
      </c>
      <c r="Q70" s="254">
        <f t="shared" si="51"/>
        <v>0.95274869109947657</v>
      </c>
      <c r="R70" s="489"/>
      <c r="S70" s="40">
        <v>0.34236111111111112</v>
      </c>
      <c r="T70" s="40">
        <v>0.47499999999999998</v>
      </c>
      <c r="U70" s="251">
        <f t="shared" si="46"/>
        <v>7.9999999999999716</v>
      </c>
      <c r="V70" s="261">
        <f t="shared" si="45"/>
        <v>190.99999999999997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52"/>
        <v>-113.40314136125608</v>
      </c>
      <c r="AF70" s="254">
        <f t="shared" si="53"/>
        <v>0.95274869109947669</v>
      </c>
      <c r="AG70" s="489"/>
    </row>
    <row r="71" spans="1:33" ht="16.5" customHeight="1">
      <c r="A71" s="498" t="s">
        <v>1456</v>
      </c>
      <c r="B71" s="42" t="s">
        <v>1455</v>
      </c>
      <c r="C71" s="492"/>
      <c r="D71" s="493"/>
      <c r="E71" s="255"/>
      <c r="F71" s="44"/>
      <c r="G71" s="17"/>
      <c r="H71" s="262"/>
      <c r="I71" s="30">
        <v>16.399999999999999</v>
      </c>
      <c r="J71" s="37">
        <v>2400</v>
      </c>
      <c r="K71" s="17">
        <f t="shared" si="47"/>
        <v>146.34146341463415</v>
      </c>
      <c r="L71" s="30">
        <v>16.399999999999999</v>
      </c>
      <c r="M71" s="18">
        <f>AVERAGE(M66:M70)</f>
        <v>2302.0672967612159</v>
      </c>
      <c r="N71" s="17">
        <f t="shared" si="48"/>
        <v>140.36995711958633</v>
      </c>
      <c r="O71" s="19">
        <f t="shared" si="49"/>
        <v>0</v>
      </c>
      <c r="P71" s="20">
        <f t="shared" si="50"/>
        <v>-5.971506295047817</v>
      </c>
      <c r="Q71" s="254">
        <f t="shared" si="51"/>
        <v>0.95919470698383991</v>
      </c>
      <c r="R71" s="489"/>
      <c r="S71" s="40"/>
      <c r="T71" s="40"/>
      <c r="U71" s="17"/>
      <c r="V71" s="261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v>6</v>
      </c>
      <c r="AD71" s="31">
        <f>SUM(AD66:AD70)</f>
        <v>0</v>
      </c>
      <c r="AE71" s="19">
        <f t="shared" si="52"/>
        <v>-97.932703238784143</v>
      </c>
      <c r="AF71" s="254">
        <f t="shared" si="53"/>
        <v>0.95919470698383991</v>
      </c>
      <c r="AG71" s="489"/>
    </row>
    <row r="72" spans="1:33">
      <c r="D72" s="33"/>
      <c r="E72" s="33"/>
    </row>
  </sheetData>
  <mergeCells count="194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4:A21"/>
    <mergeCell ref="C14:D14"/>
    <mergeCell ref="R14:R21"/>
    <mergeCell ref="AA14:AB14"/>
    <mergeCell ref="AG14:AG21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G22:AG29"/>
    <mergeCell ref="C23:D23"/>
    <mergeCell ref="AA23:AB23"/>
    <mergeCell ref="C24:D24"/>
    <mergeCell ref="AA24:AB24"/>
    <mergeCell ref="C25:D25"/>
    <mergeCell ref="C18:D18"/>
    <mergeCell ref="AA18:AB18"/>
    <mergeCell ref="C19:D19"/>
    <mergeCell ref="AA19:AB19"/>
    <mergeCell ref="AA20:AB20"/>
    <mergeCell ref="C21:D21"/>
    <mergeCell ref="AA21:AB21"/>
    <mergeCell ref="C29:D29"/>
    <mergeCell ref="AA29:AB29"/>
    <mergeCell ref="A30:A35"/>
    <mergeCell ref="C30:D30"/>
    <mergeCell ref="R30:R35"/>
    <mergeCell ref="AA30:AB30"/>
    <mergeCell ref="AA35:AB35"/>
    <mergeCell ref="AA25:AB25"/>
    <mergeCell ref="C26:D26"/>
    <mergeCell ref="AA26:AB26"/>
    <mergeCell ref="C27:D27"/>
    <mergeCell ref="AA27:AB27"/>
    <mergeCell ref="C28:D28"/>
    <mergeCell ref="AA28:AB28"/>
    <mergeCell ref="A22:A29"/>
    <mergeCell ref="C22:D22"/>
    <mergeCell ref="R22:R29"/>
    <mergeCell ref="AA22:AB22"/>
    <mergeCell ref="AG36:AG43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C43:D43"/>
    <mergeCell ref="AA43:AB43"/>
    <mergeCell ref="A44:A51"/>
    <mergeCell ref="C44:D44"/>
    <mergeCell ref="R44:R51"/>
    <mergeCell ref="AA44:AB44"/>
    <mergeCell ref="AA49:AB49"/>
    <mergeCell ref="C50:D50"/>
    <mergeCell ref="AA50:AB50"/>
    <mergeCell ref="C51:D51"/>
    <mergeCell ref="AA51:AB51"/>
    <mergeCell ref="AG52:AG60"/>
    <mergeCell ref="C53:D53"/>
    <mergeCell ref="AA53:AB53"/>
    <mergeCell ref="C54:D54"/>
    <mergeCell ref="AA54:AB54"/>
    <mergeCell ref="C59:D59"/>
    <mergeCell ref="AA59:AB59"/>
    <mergeCell ref="C60:D60"/>
    <mergeCell ref="AA60:AB60"/>
    <mergeCell ref="AG44:AG51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61:A65"/>
    <mergeCell ref="C61:D61"/>
    <mergeCell ref="R61:R65"/>
    <mergeCell ref="AA61:AB61"/>
    <mergeCell ref="AA55:AB55"/>
    <mergeCell ref="AA56:AB56"/>
    <mergeCell ref="C57:D57"/>
    <mergeCell ref="AA57:AB57"/>
    <mergeCell ref="C58:D58"/>
    <mergeCell ref="AA58:AB58"/>
    <mergeCell ref="A52:A60"/>
    <mergeCell ref="C52:D52"/>
    <mergeCell ref="R52:R60"/>
    <mergeCell ref="AA52:AB52"/>
    <mergeCell ref="AG61:AG65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</mergeCells>
  <phoneticPr fontId="3" type="noConversion"/>
  <conditionalFormatting sqref="O60:O61 O64:O71 O5:O11 O13:O15 O51:O57 O21:O49">
    <cfRule type="cellIs" dxfId="1343" priority="59" operator="greaterThan">
      <formula>0</formula>
    </cfRule>
  </conditionalFormatting>
  <conditionalFormatting sqref="P5:P9 P64 AE64 P66:P70 P30:P34 P61 P11 P13:P15 P22:P28 P52:P57 P36:P49 AE5:AE61 AE66:AE71">
    <cfRule type="cellIs" dxfId="1342" priority="63" operator="lessThan">
      <formula>0</formula>
    </cfRule>
  </conditionalFormatting>
  <conditionalFormatting sqref="AF64 Q60:Q61 Q64:Q71 Q5:Q11 Q13:Q15 Q51:Q57 Q21:Q49 AF5:AF61 AF66:AF71">
    <cfRule type="cellIs" dxfId="1341" priority="60" operator="greaterThan">
      <formula>1</formula>
    </cfRule>
    <cfRule type="cellIs" dxfId="1340" priority="61" operator="lessThan">
      <formula>0.8</formula>
    </cfRule>
  </conditionalFormatting>
  <conditionalFormatting sqref="AG14:AG15 R14:R15 AG64 R21:R27 AG21:AG27 AG60:AG61 R60:R61 R64:R71 AG5:AG11 R5:R11 R29:R49 AG29:AG49 AG51:AG57 R51:R57">
    <cfRule type="cellIs" dxfId="1339" priority="65" operator="lessThan">
      <formula>0.8</formula>
    </cfRule>
  </conditionalFormatting>
  <conditionalFormatting sqref="AG44">
    <cfRule type="cellIs" dxfId="1338" priority="67" operator="lessThan">
      <formula>0.8</formula>
    </cfRule>
  </conditionalFormatting>
  <conditionalFormatting sqref="AG22:AG27">
    <cfRule type="cellIs" dxfId="1337" priority="64" operator="lessThan">
      <formula>0.8</formula>
    </cfRule>
  </conditionalFormatting>
  <conditionalFormatting sqref="AG30">
    <cfRule type="cellIs" dxfId="1336" priority="66" operator="lessThan">
      <formula>0.8</formula>
    </cfRule>
  </conditionalFormatting>
  <conditionalFormatting sqref="AG36:AG42">
    <cfRule type="cellIs" dxfId="1335" priority="62" operator="lessThan">
      <formula>0.8</formula>
    </cfRule>
  </conditionalFormatting>
  <conditionalFormatting sqref="AE65">
    <cfRule type="cellIs" dxfId="1334" priority="58" operator="lessThan">
      <formula>0</formula>
    </cfRule>
  </conditionalFormatting>
  <conditionalFormatting sqref="AF65">
    <cfRule type="cellIs" dxfId="1333" priority="56" operator="greaterThan">
      <formula>1</formula>
    </cfRule>
    <cfRule type="cellIs" dxfId="1332" priority="57" operator="lessThan">
      <formula>0.8</formula>
    </cfRule>
  </conditionalFormatting>
  <conditionalFormatting sqref="O16:O17">
    <cfRule type="cellIs" dxfId="1331" priority="51" operator="greaterThan">
      <formula>0</formula>
    </cfRule>
  </conditionalFormatting>
  <conditionalFormatting sqref="P16:P17">
    <cfRule type="cellIs" dxfId="1330" priority="54" operator="lessThan">
      <formula>0</formula>
    </cfRule>
  </conditionalFormatting>
  <conditionalFormatting sqref="Q16:Q17">
    <cfRule type="cellIs" dxfId="1329" priority="52" operator="greaterThan">
      <formula>1</formula>
    </cfRule>
    <cfRule type="cellIs" dxfId="1328" priority="53" operator="lessThan">
      <formula>0.8</formula>
    </cfRule>
  </conditionalFormatting>
  <conditionalFormatting sqref="R16:R17 AG16:AG17">
    <cfRule type="cellIs" dxfId="1327" priority="55" operator="lessThan">
      <formula>0.8</formula>
    </cfRule>
  </conditionalFormatting>
  <conditionalFormatting sqref="O12">
    <cfRule type="cellIs" dxfId="1326" priority="47" operator="greaterThan">
      <formula>0</formula>
    </cfRule>
  </conditionalFormatting>
  <conditionalFormatting sqref="P12">
    <cfRule type="cellIs" dxfId="1325" priority="50" operator="lessThan">
      <formula>0</formula>
    </cfRule>
  </conditionalFormatting>
  <conditionalFormatting sqref="Q12">
    <cfRule type="cellIs" dxfId="1324" priority="48" operator="greaterThan">
      <formula>1</formula>
    </cfRule>
    <cfRule type="cellIs" dxfId="1323" priority="49" operator="lessThan">
      <formula>0.8</formula>
    </cfRule>
  </conditionalFormatting>
  <conditionalFormatting sqref="O58">
    <cfRule type="cellIs" dxfId="1322" priority="42" operator="greaterThan">
      <formula>0</formula>
    </cfRule>
  </conditionalFormatting>
  <conditionalFormatting sqref="P58">
    <cfRule type="cellIs" dxfId="1321" priority="45" operator="lessThan">
      <formula>0</formula>
    </cfRule>
  </conditionalFormatting>
  <conditionalFormatting sqref="Q58">
    <cfRule type="cellIs" dxfId="1320" priority="43" operator="greaterThan">
      <formula>1</formula>
    </cfRule>
    <cfRule type="cellIs" dxfId="1319" priority="44" operator="lessThan">
      <formula>0.8</formula>
    </cfRule>
  </conditionalFormatting>
  <conditionalFormatting sqref="R58 AG58">
    <cfRule type="cellIs" dxfId="1318" priority="46" operator="lessThan">
      <formula>0.8</formula>
    </cfRule>
  </conditionalFormatting>
  <conditionalFormatting sqref="O63">
    <cfRule type="cellIs" dxfId="1317" priority="37" operator="greaterThan">
      <formula>0</formula>
    </cfRule>
  </conditionalFormatting>
  <conditionalFormatting sqref="P63 AE63">
    <cfRule type="cellIs" dxfId="1316" priority="40" operator="lessThan">
      <formula>0</formula>
    </cfRule>
  </conditionalFormatting>
  <conditionalFormatting sqref="Q63 AF63">
    <cfRule type="cellIs" dxfId="1315" priority="38" operator="greaterThan">
      <formula>1</formula>
    </cfRule>
    <cfRule type="cellIs" dxfId="1314" priority="39" operator="lessThan">
      <formula>0.8</formula>
    </cfRule>
  </conditionalFormatting>
  <conditionalFormatting sqref="R63 AG63">
    <cfRule type="cellIs" dxfId="1313" priority="41" operator="lessThan">
      <formula>0.8</formula>
    </cfRule>
  </conditionalFormatting>
  <conditionalFormatting sqref="O18:O19">
    <cfRule type="cellIs" dxfId="1312" priority="32" operator="greaterThan">
      <formula>0</formula>
    </cfRule>
  </conditionalFormatting>
  <conditionalFormatting sqref="P18:P19">
    <cfRule type="cellIs" dxfId="1311" priority="35" operator="lessThan">
      <formula>0</formula>
    </cfRule>
  </conditionalFormatting>
  <conditionalFormatting sqref="Q18:Q19">
    <cfRule type="cellIs" dxfId="1310" priority="33" operator="greaterThan">
      <formula>1</formula>
    </cfRule>
    <cfRule type="cellIs" dxfId="1309" priority="34" operator="lessThan">
      <formula>0.8</formula>
    </cfRule>
  </conditionalFormatting>
  <conditionalFormatting sqref="R18:R19 AG18:AG19">
    <cfRule type="cellIs" dxfId="1308" priority="36" operator="lessThan">
      <formula>0.8</formula>
    </cfRule>
  </conditionalFormatting>
  <conditionalFormatting sqref="O50">
    <cfRule type="cellIs" dxfId="1307" priority="26" operator="greaterThan">
      <formula>0</formula>
    </cfRule>
  </conditionalFormatting>
  <conditionalFormatting sqref="P50">
    <cfRule type="cellIs" dxfId="1306" priority="30" operator="lessThan">
      <formula>0</formula>
    </cfRule>
  </conditionalFormatting>
  <conditionalFormatting sqref="Q50">
    <cfRule type="cellIs" dxfId="1305" priority="27" operator="greaterThan">
      <formula>1</formula>
    </cfRule>
    <cfRule type="cellIs" dxfId="1304" priority="28" operator="lessThan">
      <formula>0.8</formula>
    </cfRule>
  </conditionalFormatting>
  <conditionalFormatting sqref="R50 AG50">
    <cfRule type="cellIs" dxfId="1303" priority="31" operator="lessThan">
      <formula>0.8</formula>
    </cfRule>
  </conditionalFormatting>
  <conditionalFormatting sqref="AG50">
    <cfRule type="cellIs" dxfId="1302" priority="29" operator="lessThan">
      <formula>0.8</formula>
    </cfRule>
  </conditionalFormatting>
  <conditionalFormatting sqref="O59">
    <cfRule type="cellIs" dxfId="1301" priority="21" operator="greaterThan">
      <formula>0</formula>
    </cfRule>
  </conditionalFormatting>
  <conditionalFormatting sqref="P59">
    <cfRule type="cellIs" dxfId="1300" priority="24" operator="lessThan">
      <formula>0</formula>
    </cfRule>
  </conditionalFormatting>
  <conditionalFormatting sqref="Q59">
    <cfRule type="cellIs" dxfId="1299" priority="22" operator="greaterThan">
      <formula>1</formula>
    </cfRule>
    <cfRule type="cellIs" dxfId="1298" priority="23" operator="lessThan">
      <formula>0.8</formula>
    </cfRule>
  </conditionalFormatting>
  <conditionalFormatting sqref="AG59 R59">
    <cfRule type="cellIs" dxfId="1297" priority="25" operator="lessThan">
      <formula>0.8</formula>
    </cfRule>
  </conditionalFormatting>
  <conditionalFormatting sqref="R28 AG28">
    <cfRule type="cellIs" dxfId="1296" priority="20" operator="lessThan">
      <formula>0.8</formula>
    </cfRule>
  </conditionalFormatting>
  <conditionalFormatting sqref="AG28">
    <cfRule type="cellIs" dxfId="1295" priority="19" operator="lessThan">
      <formula>0.8</formula>
    </cfRule>
  </conditionalFormatting>
  <conditionalFormatting sqref="O62">
    <cfRule type="cellIs" dxfId="1294" priority="14" operator="greaterThan">
      <formula>0</formula>
    </cfRule>
  </conditionalFormatting>
  <conditionalFormatting sqref="P62 AE62">
    <cfRule type="cellIs" dxfId="1293" priority="17" operator="lessThan">
      <formula>0</formula>
    </cfRule>
  </conditionalFormatting>
  <conditionalFormatting sqref="Q62 AF62">
    <cfRule type="cellIs" dxfId="1292" priority="15" operator="greaterThan">
      <formula>1</formula>
    </cfRule>
    <cfRule type="cellIs" dxfId="1291" priority="16" operator="lessThan">
      <formula>0.8</formula>
    </cfRule>
  </conditionalFormatting>
  <conditionalFormatting sqref="R62 AG62">
    <cfRule type="cellIs" dxfId="1290" priority="18" operator="lessThan">
      <formula>0.8</formula>
    </cfRule>
  </conditionalFormatting>
  <conditionalFormatting sqref="O20">
    <cfRule type="cellIs" dxfId="1289" priority="9" operator="greaterThan">
      <formula>0</formula>
    </cfRule>
  </conditionalFormatting>
  <conditionalFormatting sqref="P20">
    <cfRule type="cellIs" dxfId="1288" priority="12" operator="lessThan">
      <formula>0</formula>
    </cfRule>
  </conditionalFormatting>
  <conditionalFormatting sqref="Q20">
    <cfRule type="cellIs" dxfId="1287" priority="10" operator="greaterThan">
      <formula>1</formula>
    </cfRule>
    <cfRule type="cellIs" dxfId="1286" priority="11" operator="lessThan">
      <formula>0.8</formula>
    </cfRule>
  </conditionalFormatting>
  <conditionalFormatting sqref="AG20 R20">
    <cfRule type="cellIs" dxfId="1285" priority="13" operator="lessThan">
      <formula>0.8</formula>
    </cfRule>
  </conditionalFormatting>
  <conditionalFormatting sqref="P10">
    <cfRule type="cellIs" dxfId="1284" priority="8" operator="lessThan">
      <formula>0</formula>
    </cfRule>
  </conditionalFormatting>
  <conditionalFormatting sqref="P21">
    <cfRule type="cellIs" dxfId="1283" priority="7" operator="lessThan">
      <formula>0</formula>
    </cfRule>
  </conditionalFormatting>
  <conditionalFormatting sqref="P29">
    <cfRule type="cellIs" dxfId="1282" priority="6" operator="lessThan">
      <formula>0</formula>
    </cfRule>
  </conditionalFormatting>
  <conditionalFormatting sqref="P35">
    <cfRule type="cellIs" dxfId="1281" priority="5" operator="lessThan">
      <formula>0</formula>
    </cfRule>
  </conditionalFormatting>
  <conditionalFormatting sqref="P51">
    <cfRule type="cellIs" dxfId="1280" priority="4" operator="lessThan">
      <formula>0</formula>
    </cfRule>
  </conditionalFormatting>
  <conditionalFormatting sqref="P60">
    <cfRule type="cellIs" dxfId="1279" priority="3" operator="lessThan">
      <formula>0</formula>
    </cfRule>
  </conditionalFormatting>
  <conditionalFormatting sqref="P65">
    <cfRule type="cellIs" dxfId="1278" priority="2" operator="lessThan">
      <formula>0</formula>
    </cfRule>
  </conditionalFormatting>
  <conditionalFormatting sqref="P71">
    <cfRule type="cellIs" dxfId="1277" priority="1" operator="lessThan">
      <formula>0</formula>
    </cfRule>
  </conditionalFormatting>
  <dataValidations count="1">
    <dataValidation type="list" allowBlank="1" showInputMessage="1" showErrorMessage="1" sqref="AB10 AA5:AB9 AA10:AA64 AB12:AB61 AA65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31" zoomScale="85" zoomScaleNormal="85" workbookViewId="0">
      <selection activeCell="I13" sqref="I13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1296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1297</v>
      </c>
      <c r="C3" s="478" t="str">
        <f>TEXT('0115 4度C'!A2,"yyyy.mm.ddaaaa")</f>
        <v>2026.01.15星期四</v>
      </c>
      <c r="D3" s="479"/>
      <c r="E3" s="56" t="s">
        <v>1298</v>
      </c>
      <c r="F3" s="480">
        <f>'0115 4度C'!D1</f>
        <v>149019</v>
      </c>
      <c r="G3" s="481"/>
      <c r="H3" s="56" t="s">
        <v>1299</v>
      </c>
      <c r="I3" s="482">
        <f>'0115 4度C'!F1</f>
        <v>5009164.5500000007</v>
      </c>
      <c r="J3" s="483"/>
      <c r="K3" s="57"/>
      <c r="L3" s="58"/>
      <c r="M3" s="59"/>
      <c r="N3" s="59"/>
    </row>
    <row r="4" spans="2:17" ht="28.5" customHeight="1">
      <c r="B4" s="484" t="s">
        <v>1300</v>
      </c>
      <c r="C4" s="470" t="s">
        <v>1301</v>
      </c>
      <c r="D4" s="471"/>
      <c r="E4" s="487" t="s">
        <v>1302</v>
      </c>
      <c r="F4" s="488"/>
      <c r="G4" s="487" t="s">
        <v>167</v>
      </c>
      <c r="H4" s="488"/>
      <c r="I4" s="487" t="s">
        <v>1303</v>
      </c>
      <c r="J4" s="488"/>
      <c r="K4" s="468" t="s">
        <v>1304</v>
      </c>
      <c r="L4" s="469"/>
      <c r="M4" s="469" t="s">
        <v>1305</v>
      </c>
      <c r="N4" s="469"/>
    </row>
    <row r="5" spans="2:17" ht="28.5" customHeight="1">
      <c r="B5" s="485"/>
      <c r="C5" s="470" t="s">
        <v>1306</v>
      </c>
      <c r="D5" s="471"/>
      <c r="E5" s="470" t="s">
        <v>1307</v>
      </c>
      <c r="F5" s="471"/>
      <c r="G5" s="472" t="s">
        <v>1308</v>
      </c>
      <c r="H5" s="473"/>
      <c r="I5" s="474" t="s">
        <v>1309</v>
      </c>
      <c r="J5" s="475"/>
      <c r="K5" s="60" t="s">
        <v>1310</v>
      </c>
      <c r="L5" s="61" t="s">
        <v>1311</v>
      </c>
      <c r="M5" s="60" t="s">
        <v>1310</v>
      </c>
      <c r="N5" s="61" t="s">
        <v>1312</v>
      </c>
    </row>
    <row r="6" spans="2:17" ht="28.5" customHeight="1">
      <c r="B6" s="485"/>
      <c r="C6" s="470" t="s">
        <v>144</v>
      </c>
      <c r="D6" s="471"/>
      <c r="E6" s="462">
        <f>AVERAGE(D13:M13)</f>
        <v>141.09201026328731</v>
      </c>
      <c r="F6" s="463">
        <f>AVERAGE(D31:O31,D13:J13)</f>
        <v>142.3035916423498</v>
      </c>
      <c r="G6" s="464">
        <f>AVERAGE(D13:J13)</f>
        <v>142.3035916423498</v>
      </c>
      <c r="H6" s="465"/>
      <c r="I6" s="464">
        <f>AVERAGE(K13:M13)</f>
        <v>138.26498704547487</v>
      </c>
      <c r="J6" s="465"/>
      <c r="K6" s="466">
        <f>'0115 4度C'!Y2</f>
        <v>0</v>
      </c>
      <c r="L6" s="451">
        <f>'0115 4度C'!Z2</f>
        <v>0</v>
      </c>
      <c r="M6" s="467">
        <f>'0115 4度C'!AC2</f>
        <v>36</v>
      </c>
      <c r="N6" s="451">
        <f>'0115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134.99188256770501</v>
      </c>
      <c r="F7" s="455">
        <f>AVERAGE(D32:O32,D14:J14)</f>
        <v>136.21234227847944</v>
      </c>
      <c r="G7" s="456">
        <f>AVERAGE(D14:J14)</f>
        <v>136.21234227847944</v>
      </c>
      <c r="H7" s="457"/>
      <c r="I7" s="456">
        <f>AVERAGE(K14:M14)</f>
        <v>132.14414324256461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0.95624055527379981</v>
      </c>
      <c r="F8" s="459">
        <f>AVERAGE(D15:J15,D33:O33)</f>
        <v>0.95646956359046265</v>
      </c>
      <c r="G8" s="460">
        <f>AVERAGE(D15:J15)</f>
        <v>0.95646956359046265</v>
      </c>
      <c r="H8" s="461"/>
      <c r="I8" s="460">
        <f>AVERAGE(K15:M15)</f>
        <v>0.95570620253491956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1313</v>
      </c>
      <c r="N9" s="59"/>
      <c r="O9" s="59"/>
      <c r="P9" s="59"/>
      <c r="Q9" s="59"/>
    </row>
    <row r="10" spans="2:17" ht="30" customHeight="1">
      <c r="B10" s="434" t="s">
        <v>1314</v>
      </c>
      <c r="C10" s="435"/>
      <c r="D10" s="436" t="s">
        <v>1315</v>
      </c>
      <c r="E10" s="437"/>
      <c r="F10" s="437"/>
      <c r="G10" s="437"/>
      <c r="H10" s="437"/>
      <c r="I10" s="437"/>
      <c r="J10" s="438"/>
      <c r="K10" s="439" t="s">
        <v>1316</v>
      </c>
      <c r="L10" s="440"/>
      <c r="M10" s="441"/>
      <c r="P10" s="65"/>
      <c r="Q10" s="65"/>
    </row>
    <row r="11" spans="2:17" ht="17.25" customHeight="1">
      <c r="B11" s="442" t="s">
        <v>1317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1318</v>
      </c>
      <c r="C13" s="72" t="s">
        <v>1319</v>
      </c>
      <c r="D13" s="73">
        <f>SUMIFS('0115 4度C'!$K:$K,'0115 4度C'!$A:$A,"新豐6線",'0115 4度C'!$B:$B,"平均")</f>
        <v>112.35955056179775</v>
      </c>
      <c r="E13" s="74">
        <f>SUMIFS('0115 4度C'!$K:$K,'0115 4度C'!$A:$A,"新豐2線",'0115 4度C'!$B:$B,"平均")</f>
        <v>83.333333333333329</v>
      </c>
      <c r="F13" s="75">
        <f>SUMIFS('0115 4度C'!$K:$K,'0115 4度C'!$A:$A,"新豐5線",'0115 4度C'!$B:$B,"平均")</f>
        <v>105.0420168067227</v>
      </c>
      <c r="G13" s="75">
        <f>SUMIFS('0115 4度C'!$K:$K,'0115 4度C'!$A:$A,"新豐7線",'0115 4度C'!$B:$B,"平均")</f>
        <v>114.03508771929825</v>
      </c>
      <c r="H13" s="75">
        <f>SUMIFS('0115 4度C'!$K:$K,'0115 4度C'!$A:$A,"新豐3線",'0115 4度C'!$B:$B,"平均")</f>
        <v>273.97260273972603</v>
      </c>
      <c r="I13" s="75">
        <f>SUMIFS('0115 4度C'!$K:$K,'0115 4度C'!$A:$A,"新豐1線",'0115 4度C'!$B:$B,"平均")</f>
        <v>107.38255033557047</v>
      </c>
      <c r="J13" s="76">
        <f>SUMIFS('0115 4度C'!$K:$K,'0115 4度C'!$A:$A,"新豐10線",'0115 4度C'!$B:$B,"平均")</f>
        <v>200</v>
      </c>
      <c r="K13" s="77">
        <f>SUMIFS('0115 4度C'!$K:$K,'0115 4度C'!$A:$A,"新豐8線",'0115 4度C'!$B:$B,"平均")</f>
        <v>131.86813186813188</v>
      </c>
      <c r="L13" s="78">
        <f>SUMIFS('0115 4度C'!$K:$K,'0115 4度C'!$A:$A,"新豐9線",'0115 4度C'!$B:$B,"平均")</f>
        <v>136.58536585365852</v>
      </c>
      <c r="M13" s="76">
        <f>SUMIFS('0115 4度C'!$K:$K,'0115 4度C'!$A:$A,"新豐4線",'0115 4度C'!$B:$B,"平均")</f>
        <v>146.34146341463415</v>
      </c>
    </row>
    <row r="14" spans="2:17" ht="39.6" customHeight="1">
      <c r="B14" s="447"/>
      <c r="C14" s="79" t="s">
        <v>1320</v>
      </c>
      <c r="D14" s="80">
        <f>SUMIFS('0115 4度C'!$N:$N,'0115 4度C'!$A:$A,"新豐6線",'0115 4度C'!$B:$B,"平均")</f>
        <v>108.55557489124892</v>
      </c>
      <c r="E14" s="81">
        <f>SUMIFS('0115 4度C'!$N:$N,'0115 4度C'!$A:$A,"新豐2線",'0115 4度C'!$B:$B,"平均")</f>
        <v>79.650763086578237</v>
      </c>
      <c r="F14" s="81">
        <f>SUMIFS('0115 4度C'!$N:$N,'0115 4度C'!$A:$A,"新豐5線",'0115 4度C'!$B:$B,"平均")</f>
        <v>101.00633070509774</v>
      </c>
      <c r="G14" s="81">
        <f>SUMIFS('0115 4度C'!$N:$N,'0115 4度C'!$A:$A,"新豐7線",'0115 4度C'!$B:$B,"平均")</f>
        <v>109.43367474156369</v>
      </c>
      <c r="H14" s="81">
        <f>SUMIFS('0115 4度C'!$N:$N,'0115 4度C'!$A:$A,"新豐3線",'0115 4度C'!$B:$B,"平均")</f>
        <v>262.19540809580957</v>
      </c>
      <c r="I14" s="81">
        <f>SUMIFS('0115 4度C'!$N:$N,'0115 4度C'!$A:$A,"新豐1線",'0115 4度C'!$B:$B,"平均")</f>
        <v>100.14314059616181</v>
      </c>
      <c r="J14" s="82">
        <f>SUMIFS('0115 4度C'!$N:$N,'0115 4度C'!$A:$A,"新豐10線",'0115 4度C'!$B:$B,"平均")</f>
        <v>192.50150383289605</v>
      </c>
      <c r="K14" s="83">
        <f>SUMIFS('0115 4度C'!$N:$N,'0115 4度C'!$A:$A,"新豐8線",'0115 4度C'!$B:$B,"平均")</f>
        <v>125.99934802086389</v>
      </c>
      <c r="L14" s="84">
        <f>SUMIFS('0115 4度C'!$N:$N,'0115 4度C'!$A:$A,"新豐9線",'0115 4度C'!$B:$B,"平均")</f>
        <v>130.43388901924519</v>
      </c>
      <c r="M14" s="82">
        <f>SUMIFS('0115 4度C'!$N:$N,'0115 4度C'!$A:$A,"新豐4線",'0115 4度C'!$B:$B,"平均")</f>
        <v>139.99919268758472</v>
      </c>
    </row>
    <row r="15" spans="2:17" ht="40.15" customHeight="1">
      <c r="B15" s="448"/>
      <c r="C15" s="85" t="s">
        <v>1321</v>
      </c>
      <c r="D15" s="86">
        <f t="shared" ref="D15:M15" si="0">D14/D13</f>
        <v>0.96614461653211547</v>
      </c>
      <c r="E15" s="87">
        <f t="shared" si="0"/>
        <v>0.95580915703893887</v>
      </c>
      <c r="F15" s="87">
        <f t="shared" si="0"/>
        <v>0.96158026831253041</v>
      </c>
      <c r="G15" s="87">
        <f t="shared" si="0"/>
        <v>0.95964914773371235</v>
      </c>
      <c r="H15" s="87">
        <f t="shared" si="0"/>
        <v>0.95701323954970496</v>
      </c>
      <c r="I15" s="87">
        <f t="shared" si="0"/>
        <v>0.93258299680175694</v>
      </c>
      <c r="J15" s="88">
        <f t="shared" si="0"/>
        <v>0.9625075191644803</v>
      </c>
      <c r="K15" s="86">
        <f t="shared" si="0"/>
        <v>0.95549505582488437</v>
      </c>
      <c r="L15" s="87">
        <f t="shared" si="0"/>
        <v>0.95496240174804525</v>
      </c>
      <c r="M15" s="88">
        <f t="shared" si="0"/>
        <v>0.95666115003182894</v>
      </c>
    </row>
    <row r="16" spans="2:17" ht="17.25" customHeight="1">
      <c r="B16" s="449" t="s">
        <v>1322</v>
      </c>
      <c r="C16" s="89" t="s">
        <v>1323</v>
      </c>
      <c r="D16" s="90">
        <f>VLOOKUP("新豐6線",'0115 4度C'!$A:$T,19,0)</f>
        <v>0.70833333333333337</v>
      </c>
      <c r="E16" s="91">
        <f>VLOOKUP("新豐2線",'0115 4度C'!$A:$T,19,0)</f>
        <v>0.16666666666666666</v>
      </c>
      <c r="F16" s="91">
        <f>VLOOKUP("新豐5線",'0115 4度C'!$A:$T,19,0)</f>
        <v>0.20833333333333334</v>
      </c>
      <c r="G16" s="91">
        <f>VLOOKUP("新豐7線",'0115 4度C'!$A:$T,19,0)</f>
        <v>0.20833333333333334</v>
      </c>
      <c r="H16" s="91">
        <f>VLOOKUP("新豐3線",'0115 4度C'!$A:$T,19,0)</f>
        <v>8.3333333333333329E-2</v>
      </c>
      <c r="I16" s="91">
        <f>VLOOKUP("新豐1線",'0115 4度C'!$A:$T,19,0)</f>
        <v>0.20833333333333334</v>
      </c>
      <c r="J16" s="92">
        <f>VLOOKUP("新豐10線",'0115 4度C'!$A:$T,19,0)</f>
        <v>0.20833333333333334</v>
      </c>
      <c r="K16" s="93">
        <f>VLOOKUP("新豐8線",'0115 4度C'!$A:$T,19,0)</f>
        <v>8.3333333333333329E-2</v>
      </c>
      <c r="L16" s="94">
        <f>VLOOKUP("新豐9線",'0115 4度C'!$A:$T,19,0)</f>
        <v>8.3333333333333329E-2</v>
      </c>
      <c r="M16" s="95">
        <f>VLOOKUP("新豐4線",'0115 4度C'!$A:$T,19,0)</f>
        <v>8.3333333333333329E-2</v>
      </c>
    </row>
    <row r="17" spans="2:13" ht="17.25" customHeight="1">
      <c r="B17" s="450"/>
      <c r="C17" s="89" t="s">
        <v>1324</v>
      </c>
      <c r="D17" s="93">
        <f>LOOKUP(2,1/(('0115 4度C'!$A:$A="新豐6線")*('0115 4度C'!$T:$T&lt;&gt;"")),'0115 4度C'!$T:$T)</f>
        <v>0.84791666666666676</v>
      </c>
      <c r="E17" s="91">
        <f>LOOKUP(2,1/(('0115 4度C'!$A:$A="新豐2線")*('0115 4度C'!$T:$T&lt;&gt;"")),'0115 4度C'!$T:$T)</f>
        <v>0.40486111111111112</v>
      </c>
      <c r="F17" s="91">
        <f>LOOKUP(2,1/(('0115 4度C'!$A:$A="新豐5線")*('0115 4度C'!$T:$T&lt;&gt;"")),'0115 4度C'!$T:$T)</f>
        <v>0.84375</v>
      </c>
      <c r="G17" s="91">
        <f>LOOKUP(2,1/(('0115 4度C'!$A:$A="新豐7線")*('0115 4度C'!$T:$T&lt;&gt;"")),'0115 4度C'!$T:$T)</f>
        <v>0.84999999999999987</v>
      </c>
      <c r="H17" s="91">
        <f>LOOKUP(2,1/(('0115 4度C'!$A:$A="新豐3線")*('0115 4度C'!$T:$T&lt;&gt;"")),'0115 4度C'!$T:$T)</f>
        <v>0.49930555555555556</v>
      </c>
      <c r="I17" s="91">
        <f>LOOKUP(2,1/(('0115 4度C'!$A:$A="新豐1線")*('0115 4度C'!$T:$T&lt;&gt;"")),'0115 4度C'!$T:$T)</f>
        <v>0.83888888888888891</v>
      </c>
      <c r="J17" s="92">
        <f>LOOKUP(2,1/(('0115 4度C'!$A:$A="新豐10線")*('0115 4度C'!$T:$T&lt;&gt;"")),'0115 4度C'!$T:$T)</f>
        <v>0.51388888888888884</v>
      </c>
      <c r="K17" s="90">
        <f>LOOKUP(2,1/(('0115 4度C'!$A:$A="新豐8線")*('0115 4度C'!$T:$T&lt;&gt;"")),'0115 4度C'!$T:$T)</f>
        <v>0.50902777777777775</v>
      </c>
      <c r="L17" s="91">
        <f>LOOKUP(2,1/(('0115 4度C'!$A:$A="新豐9線")*('0115 4度C'!$T:$T&lt;&gt;"")),'0115 4度C'!$T:$T)</f>
        <v>0.58125000000000004</v>
      </c>
      <c r="M17" s="92">
        <f>LOOKUP(2,1/(('0115 4度C'!$A:$A="新豐4線")*('0115 4度C'!$T:$T&lt;&gt;"")),'0115 4度C'!$T:$T)</f>
        <v>0.4951388888888888</v>
      </c>
    </row>
    <row r="18" spans="2:13" ht="17.25" customHeight="1">
      <c r="B18" s="428" t="s">
        <v>1325</v>
      </c>
      <c r="C18" s="96" t="s">
        <v>1326</v>
      </c>
      <c r="D18" s="97">
        <f>SUMIFS('0115 4度C'!$Y:$Y,'0115 4度C'!$A:$A,"新豐6線",'0115 4度C'!$B:$B,"平均")</f>
        <v>0</v>
      </c>
      <c r="E18" s="98">
        <f>SUMIFS('0115 4度C'!$Y:$Y,'0115 4度C'!$A:$A,"新豐2線",'0115 4度C'!$B:$B,"平均")</f>
        <v>0</v>
      </c>
      <c r="F18" s="98">
        <f>SUMIFS('0115 4度C'!$Y:$Y,'0115 4度C'!$A:$A,"新豐5線",'0115 4度C'!$B:$B,"平均")</f>
        <v>0</v>
      </c>
      <c r="G18" s="98">
        <f>SUMIFS('0115 4度C'!$Y:$Y,'0115 4度C'!$A:$A,"新豐7線",'0115 4度C'!$B:$B,"平均")</f>
        <v>0</v>
      </c>
      <c r="H18" s="98">
        <f>SUMIFS('0115 4度C'!$Y:$Y,'0115 4度C'!$A:$A,"新豐3線",'0115 4度C'!$B:$B,"平均")</f>
        <v>0</v>
      </c>
      <c r="I18" s="98">
        <f>SUMIFS('0115 4度C'!$Y:$Y,'0115 4度C'!$A:$A,"新豐1線",'0115 4度C'!$B:$B,"平均")</f>
        <v>0</v>
      </c>
      <c r="J18" s="99">
        <f>SUMIFS('0115 4度C'!$Y:$Y,'0115 4度C'!$A:$A,"新豐10線",'0115 4度C'!$B:$B,"平均")</f>
        <v>0</v>
      </c>
      <c r="K18" s="100">
        <f>SUMIFS('0115 4度C'!$Y:$Y,'0115 4度C'!$A:$A,"新豐8線",'0115 4度C'!$B:$B,"平均")</f>
        <v>0</v>
      </c>
      <c r="L18" s="98">
        <f>SUMIFS('0115 4度C'!$Y:$Y,'0115 4度C'!$A:$A,"新豐9線",'0115 4度C'!$B:$B,"平均")</f>
        <v>0</v>
      </c>
      <c r="M18" s="99">
        <f>SUMIFS('0115 4度C'!$Y:$Y,'0115 4度C'!$A:$A,"新豐4線",'0115 4度C'!$B:$B,"平均")</f>
        <v>0</v>
      </c>
    </row>
    <row r="19" spans="2:13" ht="17.25" customHeight="1">
      <c r="B19" s="429"/>
      <c r="C19" s="96" t="s">
        <v>1327</v>
      </c>
      <c r="D19" s="97">
        <f>SUMIFS('0115 4度C'!$Z:$Z,'0115 4度C'!$A:$A,"新豐6線",'0115 4度C'!$B:$B,"平均")</f>
        <v>0</v>
      </c>
      <c r="E19" s="98">
        <f>SUMIFS('0115 4度C'!$Z:$Z,'0115 4度C'!$A:$A,"新豐2線",'0115 4度C'!$B:$B,"平均")</f>
        <v>0</v>
      </c>
      <c r="F19" s="98">
        <f>SUMIFS('0115 4度C'!$Z:$Z,'0115 4度C'!$A:$A,"新豐5線",'0115 4度C'!$B:$B,"平均")</f>
        <v>0</v>
      </c>
      <c r="G19" s="98">
        <f>SUMIFS('0115 4度C'!$Z:$Z,'0115 4度C'!$A:$A,"新豐7線",'0115 4度C'!$B:$B,"平均")</f>
        <v>0</v>
      </c>
      <c r="H19" s="98">
        <f>SUMIFS('0115 4度C'!$Z:$Z,'0115 4度C'!$A:$A,"新豐3線",'0115 4度C'!$B:$B,"平均")</f>
        <v>0</v>
      </c>
      <c r="I19" s="98">
        <f>SUMIFS('0115 4度C'!$Z:$Z,'0115 4度C'!$A:$A,"新豐1線",'0115 4度C'!$B:$B,"平均")</f>
        <v>0</v>
      </c>
      <c r="J19" s="99">
        <f>SUMIFS('0115 4度C'!$Z:$Z,'0115 4度C'!$A:$A,"新豐10線",'0115 4度C'!$B:$B,"平均")</f>
        <v>0</v>
      </c>
      <c r="K19" s="100">
        <f>SUMIFS('0115 4度C'!$Z:$Z,'0115 4度C'!$A:$A,"新豐8線",'0115 4度C'!$B:$B,"平均")</f>
        <v>0</v>
      </c>
      <c r="L19" s="98">
        <f>SUMIFS('0115 4度C'!$Z:$Z,'0115 4度C'!$A:$A,"新豐9線",'0115 4度C'!$B:$B,"平均")</f>
        <v>0</v>
      </c>
      <c r="M19" s="99">
        <f>SUMIFS('0115 4度C'!$Z:$Z,'0115 4度C'!$A:$A,"新豐4線",'0115 4度C'!$B:$B,"平均")</f>
        <v>0</v>
      </c>
    </row>
    <row r="20" spans="2:13" ht="17.25" customHeight="1">
      <c r="B20" s="428" t="s">
        <v>1328</v>
      </c>
      <c r="C20" s="96" t="s">
        <v>1326</v>
      </c>
      <c r="D20" s="97">
        <f>SUMIFS('0115 4度C'!$AC:$AC,'0115 4度C'!$A:$A,"新豐6線",'0115 4度C'!$B:$B,"平均")</f>
        <v>1</v>
      </c>
      <c r="E20" s="98">
        <f>SUMIFS('0115 4度C'!$AC:$AC,'0115 4度C'!$A:$A,"新豐2線",'0115 4度C'!$B:$B,"平均")</f>
        <v>2</v>
      </c>
      <c r="F20" s="98">
        <f>SUMIFS('0115 4度C'!$AC:$AC,'0115 4度C'!$A:$A,"新豐5線",'0115 4度C'!$B:$B,"平均")</f>
        <v>3</v>
      </c>
      <c r="G20" s="98">
        <f>SUMIFS('0115 4度C'!$AC:$AC,'0115 4度C'!$A:$A,"新豐7線",'0115 4度C'!$B:$B,"平均")</f>
        <v>3</v>
      </c>
      <c r="H20" s="98">
        <f>SUMIFS('0115 4度C'!$AC:$AC,'0115 4度C'!$A:$A,"新豐3線",'0115 4度C'!$B:$B,"平均")</f>
        <v>2</v>
      </c>
      <c r="I20" s="98">
        <f>SUMIFS('0115 4度C'!$AC:$AC,'0115 4度C'!$A:$A,"新豐1線",'0115 4度C'!$B:$B,"平均")</f>
        <v>4</v>
      </c>
      <c r="J20" s="99">
        <f>SUMIFS('0115 4度C'!$AC:$AC,'0115 4度C'!$A:$A,"新豐10線",'0115 4度C'!$B:$B,"平均")</f>
        <v>1</v>
      </c>
      <c r="K20" s="100">
        <f>SUMIFS('0115 4度C'!$AC:$AC,'0115 4度C'!$A:$A,"新豐8線",'0115 4度C'!$B:$B,"平均")</f>
        <v>7</v>
      </c>
      <c r="L20" s="98">
        <f>SUMIFS('0115 4度C'!$AC:$AC,'0115 4度C'!$A:$A,"新豐9線",'0115 4度C'!$B:$B,"平均")</f>
        <v>7</v>
      </c>
      <c r="M20" s="99">
        <f>SUMIFS('0115 4度C'!$AC:$AC,'0115 4度C'!$A:$A,"新豐4線",'0115 4度C'!$B:$B,"平均")</f>
        <v>6</v>
      </c>
    </row>
    <row r="21" spans="2:13" ht="17.25" customHeight="1">
      <c r="B21" s="429"/>
      <c r="C21" s="96" t="s">
        <v>1329</v>
      </c>
      <c r="D21" s="97">
        <f>SUMIFS('0115 4度C'!$AD:$AD,'0115 4度C'!$A:$A,"新豐6線",'0115 4度C'!$B:$B,"平均")</f>
        <v>0</v>
      </c>
      <c r="E21" s="98">
        <f>SUMIFS('0115 4度C'!$AD:$AD,'0115 4度C'!$A:$A,"新豐2線",'0115 4度C'!$B:$B,"平均")</f>
        <v>0</v>
      </c>
      <c r="F21" s="98">
        <f>SUMIFS('0115 4度C'!$AD:$AD,'0115 4度C'!$A:$A,"新豐5線",'0115 4度C'!$B:$B,"平均")</f>
        <v>0</v>
      </c>
      <c r="G21" s="98">
        <f>SUMIFS('0115 4度C'!$AD:$AD,'0115 4度C'!$A:$A,"新豐7線",'0115 4度C'!$B:$B,"平均")</f>
        <v>0</v>
      </c>
      <c r="H21" s="98">
        <f>SUMIFS('0115 4度C'!$AD:$AD,'0115 4度C'!$A:$A,"新豐3線",'0115 4度C'!$B:$B,"平均")</f>
        <v>0</v>
      </c>
      <c r="I21" s="98">
        <f>SUMIFS('0115 4度C'!$AD:$AD,'0115 4度C'!$A:$A,"新豐1線",'0115 4度C'!$B:$B,"平均")</f>
        <v>0</v>
      </c>
      <c r="J21" s="99">
        <f>SUMIFS('0115 4度C'!$AD:$AD,'0115 4度C'!$A:$A,"新豐10線",'0115 4度C'!$B:$B,"平均")</f>
        <v>0</v>
      </c>
      <c r="K21" s="100">
        <f>SUMIFS('0115 4度C'!$AD:$AD,'0115 4度C'!$A:$A,"新豐8線",'0115 4度C'!$B:$B,"平均")</f>
        <v>0</v>
      </c>
      <c r="L21" s="98">
        <f>SUMIFS('0115 4度C'!$AD:$AD,'0115 4度C'!$A:$A,"新豐9線",'0115 4度C'!$B:$B,"平均")</f>
        <v>0</v>
      </c>
      <c r="M21" s="99">
        <f>SUMIFS('0115 4度C'!$AD:$AD,'0115 4度C'!$A:$A,"新豐4線",'0115 4度C'!$B:$B,"平均")</f>
        <v>0</v>
      </c>
    </row>
    <row r="22" spans="2:13" ht="17.25" customHeight="1">
      <c r="B22" s="430" t="s">
        <v>1330</v>
      </c>
      <c r="C22" s="431"/>
      <c r="D22" s="101">
        <f>SUMIFS('0115 4度C'!$I:$I,'0115 4度C'!$A:$A,"新豐6線",'0115 4度C'!$B:$B,"平均")</f>
        <v>17.8</v>
      </c>
      <c r="E22" s="102">
        <f>SUMIFS('0115 4度C'!$I:$I,'0115 4度C'!$A:$A,"新豐2線",'0115 4度C'!$B:$B,"平均")</f>
        <v>18</v>
      </c>
      <c r="F22" s="102">
        <f>SUMIFS('0115 4度C'!$I:$I,'0115 4度C'!$A:$A,"新豐5線",'0115 4度C'!$B:$B,"平均")</f>
        <v>17</v>
      </c>
      <c r="G22" s="102">
        <f>SUMIFS('0115 4度C'!$I:$I,'0115 4度C'!$A:$A,"新豐7線",'0115 4度C'!$B:$B,"平均")</f>
        <v>16.285714285714285</v>
      </c>
      <c r="H22" s="102">
        <f>SUMIFS('0115 4度C'!$I:$I,'0115 4度C'!$A:$A,"新豐3線",'0115 4度C'!$B:$B,"平均")</f>
        <v>10.428571428571429</v>
      </c>
      <c r="I22" s="102">
        <f>SUMIFS('0115 4度C'!$I:$I,'0115 4度C'!$A:$A,"新豐1線",'0115 4度C'!$B:$B,"平均")</f>
        <v>18.625</v>
      </c>
      <c r="J22" s="103">
        <f>SUMIFS('0115 4度C'!$I:$I,'0115 4度C'!$A:$A,"新豐10線",'0115 4度C'!$B:$B,"平均")</f>
        <v>10</v>
      </c>
      <c r="K22" s="101">
        <f>SUMIFS('0115 4度C'!$I:$I,'0115 4度C'!$A:$A,"新豐8線",'0115 4度C'!$B:$B,"平均")</f>
        <v>18.2</v>
      </c>
      <c r="L22" s="102">
        <f>SUMIFS('0115 4度C'!$I:$I,'0115 4度C'!$A:$A,"新豐9線",'0115 4度C'!$B:$B,"平均")</f>
        <v>17.571428571428573</v>
      </c>
      <c r="M22" s="103">
        <f>SUMIFS('0115 4度C'!$I:$I,'0115 4度C'!$A:$A,"新豐4線",'0115 4度C'!$B:$B,"平均")</f>
        <v>16.399999999999999</v>
      </c>
    </row>
    <row r="23" spans="2:13" ht="17.25" customHeight="1">
      <c r="B23" s="430" t="s">
        <v>1331</v>
      </c>
      <c r="C23" s="431"/>
      <c r="D23" s="104" t="s">
        <v>157</v>
      </c>
      <c r="E23" s="105" t="s">
        <v>158</v>
      </c>
      <c r="F23" s="105" t="s">
        <v>1332</v>
      </c>
      <c r="G23" s="105" t="s">
        <v>1332</v>
      </c>
      <c r="H23" s="105" t="s">
        <v>159</v>
      </c>
      <c r="I23" s="105" t="s">
        <v>157</v>
      </c>
      <c r="J23" s="106" t="s">
        <v>159</v>
      </c>
      <c r="K23" s="104" t="s">
        <v>1333</v>
      </c>
      <c r="L23" s="105" t="s">
        <v>1333</v>
      </c>
      <c r="M23" s="106" t="s">
        <v>1333</v>
      </c>
    </row>
    <row r="24" spans="2:13" ht="17.25" customHeight="1">
      <c r="B24" s="430" t="s">
        <v>1334</v>
      </c>
      <c r="C24" s="431"/>
      <c r="D24" s="104"/>
      <c r="E24" s="105"/>
      <c r="F24" s="105" t="s">
        <v>1335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1336</v>
      </c>
      <c r="C25" s="433"/>
      <c r="D25" s="107"/>
      <c r="E25" s="108" t="s">
        <v>1337</v>
      </c>
      <c r="F25" s="426" t="s">
        <v>1338</v>
      </c>
      <c r="G25" s="427"/>
      <c r="H25" s="108" t="s">
        <v>1339</v>
      </c>
      <c r="I25" s="108" t="s">
        <v>1340</v>
      </c>
      <c r="J25" s="109" t="s">
        <v>1339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7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2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1341</v>
      </c>
      <c r="B1" s="1"/>
      <c r="C1" s="2" t="s">
        <v>1342</v>
      </c>
      <c r="D1" s="3">
        <f>SUM(F5:F71)</f>
        <v>149019</v>
      </c>
      <c r="E1" s="240" t="s">
        <v>1343</v>
      </c>
      <c r="F1" s="1">
        <f>SUM(G5:G71)</f>
        <v>5009164.5500000007</v>
      </c>
      <c r="G1" s="1" t="s">
        <v>1344</v>
      </c>
      <c r="H1" s="5">
        <f>L10+L13+L51+L60+L21+L65+L35+L43+L29+L71</f>
        <v>160.31071428571428</v>
      </c>
      <c r="I1" s="542" t="s">
        <v>1345</v>
      </c>
      <c r="J1" s="542"/>
      <c r="K1" s="542"/>
      <c r="L1" s="542" t="s">
        <v>1346</v>
      </c>
      <c r="M1" s="542"/>
      <c r="N1" s="542"/>
      <c r="O1" s="542" t="s">
        <v>1347</v>
      </c>
      <c r="P1" s="542"/>
      <c r="Q1" s="542"/>
      <c r="R1" s="542"/>
      <c r="S1" s="542" t="s">
        <v>1348</v>
      </c>
      <c r="T1" s="542"/>
      <c r="U1" s="542"/>
      <c r="V1" s="542"/>
      <c r="W1" s="542"/>
      <c r="X1" s="542"/>
      <c r="Y1" s="6" t="s">
        <v>1349</v>
      </c>
      <c r="Z1" s="7" t="s">
        <v>1350</v>
      </c>
      <c r="AA1" s="543" t="s">
        <v>1351</v>
      </c>
      <c r="AB1" s="543"/>
      <c r="AC1" s="156" t="s">
        <v>1349</v>
      </c>
      <c r="AD1" s="7" t="s">
        <v>1352</v>
      </c>
      <c r="AE1" s="542" t="s">
        <v>1353</v>
      </c>
      <c r="AF1" s="544"/>
      <c r="AG1" s="544"/>
    </row>
    <row r="2" spans="1:33" ht="26.25" customHeight="1">
      <c r="A2" s="49">
        <v>46037</v>
      </c>
      <c r="B2" s="50" t="s">
        <v>78</v>
      </c>
      <c r="C2" s="2" t="s">
        <v>1318</v>
      </c>
      <c r="D2" s="10">
        <f>AVERAGE(N10,N13,N51,N60,N21,N65,N29,N35,N43,N71)</f>
        <v>134.99188256770498</v>
      </c>
      <c r="E2" s="11" t="s">
        <v>14</v>
      </c>
      <c r="F2" s="12">
        <f>F1/D1</f>
        <v>33.614267643723288</v>
      </c>
      <c r="G2" s="1" t="s">
        <v>1354</v>
      </c>
      <c r="H2" s="249">
        <f>COUNT(H5:H71)</f>
        <v>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SUM(Y10+Y13+Y21+Y29+Y35+Y43+Y51+Y60+Y65+Y71)</f>
        <v>0</v>
      </c>
      <c r="Z2" s="14">
        <f>SUM(Z10+Z13+Z21+Z29+Z35+Z43+Z51+Z60+Z65+Z71)</f>
        <v>0</v>
      </c>
      <c r="AA2" s="543"/>
      <c r="AB2" s="543"/>
      <c r="AC2" s="157">
        <v>36</v>
      </c>
      <c r="AD2" s="14">
        <f>SUM(AD10+AD13+AD21+AD29+AD35+AD43+AD51+AD60+AD65+AD71)</f>
        <v>0</v>
      </c>
      <c r="AE2" s="544"/>
      <c r="AF2" s="544"/>
      <c r="AG2" s="544"/>
    </row>
    <row r="3" spans="1:33" ht="40.5" customHeight="1">
      <c r="A3" s="491" t="s">
        <v>1355</v>
      </c>
      <c r="B3" s="491" t="s">
        <v>1356</v>
      </c>
      <c r="C3" s="491" t="s">
        <v>1357</v>
      </c>
      <c r="D3" s="491"/>
      <c r="E3" s="540" t="s">
        <v>1358</v>
      </c>
      <c r="F3" s="491" t="s">
        <v>1359</v>
      </c>
      <c r="G3" s="540" t="s">
        <v>1360</v>
      </c>
      <c r="H3" s="533" t="s">
        <v>1361</v>
      </c>
      <c r="I3" s="531" t="s">
        <v>1362</v>
      </c>
      <c r="J3" s="528" t="s">
        <v>1363</v>
      </c>
      <c r="K3" s="538" t="s">
        <v>1318</v>
      </c>
      <c r="L3" s="531" t="s">
        <v>1362</v>
      </c>
      <c r="M3" s="528" t="s">
        <v>1363</v>
      </c>
      <c r="N3" s="538" t="s">
        <v>1318</v>
      </c>
      <c r="O3" s="531" t="s">
        <v>1362</v>
      </c>
      <c r="P3" s="538" t="s">
        <v>1318</v>
      </c>
      <c r="Q3" s="529" t="s">
        <v>1364</v>
      </c>
      <c r="R3" s="507" t="s">
        <v>1365</v>
      </c>
      <c r="S3" s="539" t="s">
        <v>27</v>
      </c>
      <c r="T3" s="539"/>
      <c r="U3" s="533" t="s">
        <v>28</v>
      </c>
      <c r="V3" s="533" t="s">
        <v>1366</v>
      </c>
      <c r="W3" s="491" t="s">
        <v>1367</v>
      </c>
      <c r="X3" s="491"/>
      <c r="Y3" s="534" t="s">
        <v>1368</v>
      </c>
      <c r="Z3" s="495"/>
      <c r="AA3" s="535" t="s">
        <v>1369</v>
      </c>
      <c r="AB3" s="536"/>
      <c r="AC3" s="534" t="s">
        <v>1370</v>
      </c>
      <c r="AD3" s="495"/>
      <c r="AE3" s="528" t="s">
        <v>1371</v>
      </c>
      <c r="AF3" s="529" t="s">
        <v>1372</v>
      </c>
      <c r="AG3" s="507" t="s">
        <v>1373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48" t="s">
        <v>37</v>
      </c>
      <c r="T4" s="248" t="s">
        <v>38</v>
      </c>
      <c r="U4" s="533"/>
      <c r="V4" s="533"/>
      <c r="W4" s="240" t="s">
        <v>1374</v>
      </c>
      <c r="X4" s="240" t="s">
        <v>1375</v>
      </c>
      <c r="Y4" s="238" t="s">
        <v>1376</v>
      </c>
      <c r="Z4" s="238" t="s">
        <v>1377</v>
      </c>
      <c r="AA4" s="537"/>
      <c r="AB4" s="536"/>
      <c r="AC4" s="238" t="s">
        <v>1378</v>
      </c>
      <c r="AD4" s="238" t="s">
        <v>1379</v>
      </c>
      <c r="AE4" s="528"/>
      <c r="AF4" s="529"/>
      <c r="AG4" s="507"/>
    </row>
    <row r="5" spans="1:33">
      <c r="A5" s="530" t="s">
        <v>1380</v>
      </c>
      <c r="B5" s="42" t="s">
        <v>103</v>
      </c>
      <c r="C5" s="532" t="s">
        <v>120</v>
      </c>
      <c r="D5" s="532"/>
      <c r="E5" s="42">
        <v>50.67</v>
      </c>
      <c r="F5" s="248">
        <v>1112</v>
      </c>
      <c r="G5" s="240">
        <f t="shared" ref="G5:G9" si="0">E5*F5</f>
        <v>56345.04</v>
      </c>
      <c r="H5" s="125" t="s">
        <v>79</v>
      </c>
      <c r="I5" s="246">
        <v>17</v>
      </c>
      <c r="J5" s="37">
        <v>2000</v>
      </c>
      <c r="K5" s="17">
        <f t="shared" ref="K5:K68" si="1">J5/I5</f>
        <v>117.64705882352941</v>
      </c>
      <c r="L5" s="246">
        <v>17</v>
      </c>
      <c r="M5" s="18">
        <f t="shared" ref="M5:M9" si="2">F5/V5*60</f>
        <v>1906.2857142857124</v>
      </c>
      <c r="N5" s="17">
        <f t="shared" ref="N5:N68" si="3">M5/L5</f>
        <v>112.13445378151249</v>
      </c>
      <c r="O5" s="19">
        <f t="shared" ref="O5:O68" si="4">L5-I5</f>
        <v>0</v>
      </c>
      <c r="P5" s="20">
        <f t="shared" ref="P5:P68" si="5">N5-K5</f>
        <v>-5.512605042016915</v>
      </c>
      <c r="Q5" s="239">
        <f t="shared" ref="Q5:Q68" si="6">N5/K5</f>
        <v>0.95314285714285618</v>
      </c>
      <c r="R5" s="489">
        <f>Q10</f>
        <v>0.96614461653211547</v>
      </c>
      <c r="S5" s="40">
        <v>0.70833333333333337</v>
      </c>
      <c r="T5" s="40">
        <v>0.73263888888888895</v>
      </c>
      <c r="U5" s="240"/>
      <c r="V5" s="247">
        <f t="shared" ref="V5:V9" si="7">(T5-S5)*24*60</f>
        <v>35.000000000000036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-93.714285714287598</v>
      </c>
      <c r="AF5" s="239">
        <f t="shared" ref="AF5:AF68" si="9">M5/J5</f>
        <v>0.95314285714285618</v>
      </c>
      <c r="AG5" s="489">
        <f>AF10</f>
        <v>0.96614461653211547</v>
      </c>
    </row>
    <row r="6" spans="1:33">
      <c r="A6" s="531" t="s">
        <v>1381</v>
      </c>
      <c r="B6" s="42" t="s">
        <v>103</v>
      </c>
      <c r="C6" s="532" t="s">
        <v>121</v>
      </c>
      <c r="D6" s="532"/>
      <c r="E6" s="42">
        <v>54.09</v>
      </c>
      <c r="F6" s="248">
        <v>1065</v>
      </c>
      <c r="G6" s="240">
        <f t="shared" si="0"/>
        <v>57605.850000000006</v>
      </c>
      <c r="H6" s="125" t="s">
        <v>79</v>
      </c>
      <c r="I6" s="246">
        <v>19</v>
      </c>
      <c r="J6" s="37">
        <v>2000</v>
      </c>
      <c r="K6" s="17">
        <f t="shared" si="1"/>
        <v>105.26315789473684</v>
      </c>
      <c r="L6" s="246">
        <v>19</v>
      </c>
      <c r="M6" s="18">
        <f t="shared" si="2"/>
        <v>1936.3636363636338</v>
      </c>
      <c r="N6" s="17">
        <f t="shared" si="3"/>
        <v>101.91387559808599</v>
      </c>
      <c r="O6" s="19">
        <f t="shared" si="4"/>
        <v>0</v>
      </c>
      <c r="P6" s="20">
        <f t="shared" si="5"/>
        <v>-3.3492822966508413</v>
      </c>
      <c r="Q6" s="239">
        <f t="shared" si="6"/>
        <v>0.96818181818181703</v>
      </c>
      <c r="R6" s="489"/>
      <c r="S6" s="40">
        <v>0.73819444444444449</v>
      </c>
      <c r="T6" s="40">
        <v>0.76111111111111118</v>
      </c>
      <c r="U6" s="240">
        <f t="shared" ref="U6:U9" si="10">IF(S6=TIME(17,0,0),"",(S6-T5)*24*60)</f>
        <v>7.9999999999999716</v>
      </c>
      <c r="V6" s="247">
        <f t="shared" si="7"/>
        <v>33.000000000000043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-63.636363636366241</v>
      </c>
      <c r="AF6" s="239">
        <f t="shared" si="9"/>
        <v>0.96818181818181692</v>
      </c>
      <c r="AG6" s="489"/>
    </row>
    <row r="7" spans="1:33">
      <c r="A7" s="531" t="s">
        <v>46</v>
      </c>
      <c r="B7" s="42" t="s">
        <v>103</v>
      </c>
      <c r="C7" s="523" t="s">
        <v>515</v>
      </c>
      <c r="D7" s="524"/>
      <c r="E7" s="42">
        <v>50.67</v>
      </c>
      <c r="F7" s="248">
        <v>1136</v>
      </c>
      <c r="G7" s="240">
        <f t="shared" si="0"/>
        <v>57561.120000000003</v>
      </c>
      <c r="H7" s="125" t="s">
        <v>79</v>
      </c>
      <c r="I7" s="246">
        <v>21</v>
      </c>
      <c r="J7" s="37">
        <v>2000</v>
      </c>
      <c r="K7" s="17">
        <f t="shared" si="1"/>
        <v>95.238095238095241</v>
      </c>
      <c r="L7" s="246">
        <v>21</v>
      </c>
      <c r="M7" s="18">
        <f t="shared" si="2"/>
        <v>1947.4285714285697</v>
      </c>
      <c r="N7" s="17">
        <f t="shared" si="3"/>
        <v>92.734693877550939</v>
      </c>
      <c r="O7" s="19">
        <f t="shared" si="4"/>
        <v>0</v>
      </c>
      <c r="P7" s="20">
        <f t="shared" si="5"/>
        <v>-2.5034013605443022</v>
      </c>
      <c r="Q7" s="239">
        <f t="shared" si="6"/>
        <v>0.97371428571428487</v>
      </c>
      <c r="R7" s="489"/>
      <c r="S7" s="40">
        <v>0.76527777777777783</v>
      </c>
      <c r="T7" s="40">
        <v>0.78958333333333341</v>
      </c>
      <c r="U7" s="240">
        <f t="shared" si="10"/>
        <v>5.9999999999999787</v>
      </c>
      <c r="V7" s="247">
        <f t="shared" si="7"/>
        <v>35.000000000000036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-52.57142857143026</v>
      </c>
      <c r="AF7" s="239">
        <f t="shared" si="9"/>
        <v>0.97371428571428487</v>
      </c>
      <c r="AG7" s="489"/>
    </row>
    <row r="8" spans="1:33">
      <c r="A8" s="531" t="s">
        <v>1382</v>
      </c>
      <c r="B8" s="42" t="s">
        <v>103</v>
      </c>
      <c r="C8" s="523" t="s">
        <v>122</v>
      </c>
      <c r="D8" s="524"/>
      <c r="E8" s="42">
        <v>50.29</v>
      </c>
      <c r="F8" s="248">
        <v>1039</v>
      </c>
      <c r="G8" s="240">
        <f t="shared" si="0"/>
        <v>52251.31</v>
      </c>
      <c r="H8" s="125" t="s">
        <v>79</v>
      </c>
      <c r="I8" s="246">
        <v>16</v>
      </c>
      <c r="J8" s="37">
        <v>2000</v>
      </c>
      <c r="K8" s="17">
        <f t="shared" si="1"/>
        <v>125</v>
      </c>
      <c r="L8" s="246">
        <v>16</v>
      </c>
      <c r="M8" s="18">
        <f t="shared" si="2"/>
        <v>1948.1249999999975</v>
      </c>
      <c r="N8" s="17">
        <f t="shared" si="3"/>
        <v>121.75781249999984</v>
      </c>
      <c r="O8" s="19">
        <f t="shared" si="4"/>
        <v>0</v>
      </c>
      <c r="P8" s="20">
        <f t="shared" si="5"/>
        <v>-3.2421875000001563</v>
      </c>
      <c r="Q8" s="239">
        <f t="shared" si="6"/>
        <v>0.97406249999999872</v>
      </c>
      <c r="R8" s="489"/>
      <c r="S8" s="40">
        <v>0.79513888888888895</v>
      </c>
      <c r="T8" s="40">
        <v>0.8173611111111112</v>
      </c>
      <c r="U8" s="240">
        <f t="shared" si="10"/>
        <v>7.9999999999999716</v>
      </c>
      <c r="V8" s="247">
        <f t="shared" si="7"/>
        <v>32.000000000000043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-51.875000000002501</v>
      </c>
      <c r="AF8" s="239">
        <f t="shared" si="9"/>
        <v>0.97406249999999872</v>
      </c>
      <c r="AG8" s="489"/>
    </row>
    <row r="9" spans="1:33">
      <c r="A9" s="531" t="s">
        <v>1382</v>
      </c>
      <c r="B9" s="42" t="s">
        <v>103</v>
      </c>
      <c r="C9" s="523" t="s">
        <v>123</v>
      </c>
      <c r="D9" s="524"/>
      <c r="E9" s="42">
        <v>50.98</v>
      </c>
      <c r="F9" s="248">
        <v>1186</v>
      </c>
      <c r="G9" s="240">
        <f t="shared" si="0"/>
        <v>60462.28</v>
      </c>
      <c r="H9" s="125" t="s">
        <v>79</v>
      </c>
      <c r="I9" s="246">
        <v>16</v>
      </c>
      <c r="J9" s="37">
        <v>2000</v>
      </c>
      <c r="K9" s="17">
        <f t="shared" si="1"/>
        <v>125</v>
      </c>
      <c r="L9" s="246">
        <v>16</v>
      </c>
      <c r="M9" s="18">
        <f t="shared" si="2"/>
        <v>1923.2432432432417</v>
      </c>
      <c r="N9" s="17">
        <f t="shared" si="3"/>
        <v>120.20270270270261</v>
      </c>
      <c r="O9" s="19">
        <f t="shared" si="4"/>
        <v>0</v>
      </c>
      <c r="P9" s="20">
        <f t="shared" si="5"/>
        <v>-4.7972972972973906</v>
      </c>
      <c r="Q9" s="239">
        <f t="shared" si="6"/>
        <v>0.9616216216216209</v>
      </c>
      <c r="R9" s="489"/>
      <c r="S9" s="40">
        <v>0.8222222222222223</v>
      </c>
      <c r="T9" s="40">
        <v>0.84791666666666676</v>
      </c>
      <c r="U9" s="240">
        <f t="shared" si="10"/>
        <v>6.9999999999999751</v>
      </c>
      <c r="V9" s="247">
        <f t="shared" si="7"/>
        <v>37.000000000000028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-76.75675675675825</v>
      </c>
      <c r="AF9" s="239">
        <f t="shared" si="9"/>
        <v>0.9616216216216209</v>
      </c>
      <c r="AG9" s="489"/>
    </row>
    <row r="10" spans="1:33">
      <c r="A10" s="531" t="s">
        <v>46</v>
      </c>
      <c r="B10" s="42" t="s">
        <v>299</v>
      </c>
      <c r="C10" s="494"/>
      <c r="D10" s="494"/>
      <c r="E10" s="241"/>
      <c r="F10" s="44"/>
      <c r="G10" s="17"/>
      <c r="H10" s="248"/>
      <c r="I10" s="30">
        <v>17.8</v>
      </c>
      <c r="J10" s="37">
        <v>2000</v>
      </c>
      <c r="K10" s="17">
        <f t="shared" si="1"/>
        <v>112.35955056179775</v>
      </c>
      <c r="L10" s="30">
        <v>17.8</v>
      </c>
      <c r="M10" s="18">
        <f>AVERAGE(M5:M9)</f>
        <v>1932.289233064231</v>
      </c>
      <c r="N10" s="17">
        <f t="shared" si="3"/>
        <v>108.55557489124892</v>
      </c>
      <c r="O10" s="19">
        <f t="shared" si="4"/>
        <v>0</v>
      </c>
      <c r="P10" s="20">
        <f t="shared" si="5"/>
        <v>-3.803975670548823</v>
      </c>
      <c r="Q10" s="239">
        <f t="shared" si="6"/>
        <v>0.96614461653211547</v>
      </c>
      <c r="R10" s="489"/>
      <c r="S10" s="40"/>
      <c r="T10" s="40"/>
      <c r="U10" s="240"/>
      <c r="V10" s="247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1</v>
      </c>
      <c r="AD10" s="31">
        <f>SUM(AD5:AD9)</f>
        <v>0</v>
      </c>
      <c r="AE10" s="19">
        <f t="shared" si="8"/>
        <v>-67.710766935769016</v>
      </c>
      <c r="AF10" s="239">
        <f t="shared" si="9"/>
        <v>0.96614461653211547</v>
      </c>
      <c r="AG10" s="489"/>
    </row>
    <row r="11" spans="1:33" ht="15.75" customHeight="1">
      <c r="A11" s="527" t="s">
        <v>1383</v>
      </c>
      <c r="B11" s="42" t="s">
        <v>100</v>
      </c>
      <c r="C11" s="523" t="s">
        <v>124</v>
      </c>
      <c r="D11" s="524"/>
      <c r="E11" s="42">
        <v>39.619999999999997</v>
      </c>
      <c r="F11" s="248">
        <v>2945</v>
      </c>
      <c r="G11" s="240">
        <f t="shared" ref="G11:G12" si="11">E11*F11</f>
        <v>116680.9</v>
      </c>
      <c r="H11" s="125" t="s">
        <v>79</v>
      </c>
      <c r="I11" s="246">
        <v>19</v>
      </c>
      <c r="J11" s="37">
        <v>1500</v>
      </c>
      <c r="K11" s="17">
        <f t="shared" si="1"/>
        <v>78.94736842105263</v>
      </c>
      <c r="L11" s="246">
        <v>19</v>
      </c>
      <c r="M11" s="18">
        <f t="shared" ref="M11:M12" si="12">F11/V11*60</f>
        <v>1436.5853658536587</v>
      </c>
      <c r="N11" s="17">
        <f t="shared" si="3"/>
        <v>75.609756097560989</v>
      </c>
      <c r="O11" s="19">
        <f t="shared" si="4"/>
        <v>0</v>
      </c>
      <c r="P11" s="20">
        <f t="shared" si="5"/>
        <v>-3.3376123234916406</v>
      </c>
      <c r="Q11" s="239">
        <f t="shared" si="6"/>
        <v>0.95772357723577251</v>
      </c>
      <c r="R11" s="489">
        <f>Q13</f>
        <v>0.95580915703893887</v>
      </c>
      <c r="S11" s="40">
        <v>0.16666666666666666</v>
      </c>
      <c r="T11" s="40">
        <v>0.25208333333333333</v>
      </c>
      <c r="U11" s="240"/>
      <c r="V11" s="247">
        <f t="shared" ref="V11:V12" si="13">(T11-S11)*24*60</f>
        <v>122.99999999999999</v>
      </c>
      <c r="W11" s="23">
        <f>T11</f>
        <v>0.25208333333333333</v>
      </c>
      <c r="X11" s="23">
        <f>S12</f>
        <v>0.27291666666666664</v>
      </c>
      <c r="Y11" s="23"/>
      <c r="Z11" s="23"/>
      <c r="AA11" s="491"/>
      <c r="AB11" s="491"/>
      <c r="AC11" s="154">
        <v>2</v>
      </c>
      <c r="AD11" s="25"/>
      <c r="AE11" s="19">
        <f t="shared" si="8"/>
        <v>-63.414634146341314</v>
      </c>
      <c r="AF11" s="239">
        <f t="shared" si="9"/>
        <v>0.95772357723577251</v>
      </c>
      <c r="AG11" s="489">
        <f>AF13</f>
        <v>0.95580915703893876</v>
      </c>
    </row>
    <row r="12" spans="1:33" ht="15.75" customHeight="1">
      <c r="A12" s="527" t="s">
        <v>1384</v>
      </c>
      <c r="B12" s="42" t="s">
        <v>100</v>
      </c>
      <c r="C12" s="523" t="s">
        <v>125</v>
      </c>
      <c r="D12" s="524"/>
      <c r="E12" s="42">
        <v>39.799999999999997</v>
      </c>
      <c r="F12" s="248">
        <v>4531</v>
      </c>
      <c r="G12" s="240">
        <f t="shared" si="11"/>
        <v>180333.8</v>
      </c>
      <c r="H12" s="125" t="s">
        <v>79</v>
      </c>
      <c r="I12" s="246">
        <v>17</v>
      </c>
      <c r="J12" s="37">
        <v>1500</v>
      </c>
      <c r="K12" s="17">
        <f t="shared" si="1"/>
        <v>88.235294117647058</v>
      </c>
      <c r="L12" s="246">
        <v>17</v>
      </c>
      <c r="M12" s="18">
        <f t="shared" si="12"/>
        <v>1430.8421052631575</v>
      </c>
      <c r="N12" s="17">
        <f t="shared" si="3"/>
        <v>84.167182662538679</v>
      </c>
      <c r="O12" s="19">
        <f t="shared" si="4"/>
        <v>0</v>
      </c>
      <c r="P12" s="20">
        <f t="shared" si="5"/>
        <v>-4.0681114551083795</v>
      </c>
      <c r="Q12" s="239">
        <f t="shared" si="6"/>
        <v>0.95389473684210502</v>
      </c>
      <c r="R12" s="489"/>
      <c r="S12" s="40">
        <v>0.27291666666666664</v>
      </c>
      <c r="T12" s="40">
        <v>0.40486111111111112</v>
      </c>
      <c r="U12" s="240">
        <f t="shared" ref="U12" si="14">IF(S12=TIME(17,0,0),"",(S12-T11)*24*60)</f>
        <v>29.999999999999972</v>
      </c>
      <c r="V12" s="247">
        <f t="shared" si="13"/>
        <v>190.00000000000006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-69.157894736842536</v>
      </c>
      <c r="AF12" s="239">
        <f t="shared" si="9"/>
        <v>0.95389473684210502</v>
      </c>
      <c r="AG12" s="489"/>
    </row>
    <row r="13" spans="1:33" ht="16.5" customHeight="1">
      <c r="A13" s="527" t="s">
        <v>50</v>
      </c>
      <c r="B13" s="42" t="s">
        <v>299</v>
      </c>
      <c r="C13" s="494"/>
      <c r="D13" s="494"/>
      <c r="E13" s="241"/>
      <c r="F13" s="37"/>
      <c r="G13" s="18"/>
      <c r="H13" s="248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1433.7137355584082</v>
      </c>
      <c r="N13" s="17">
        <f t="shared" si="3"/>
        <v>79.650763086578237</v>
      </c>
      <c r="O13" s="19">
        <f t="shared" si="4"/>
        <v>0</v>
      </c>
      <c r="P13" s="20">
        <f t="shared" si="5"/>
        <v>-3.6825702467550911</v>
      </c>
      <c r="Q13" s="239">
        <f t="shared" si="6"/>
        <v>0.95580915703893887</v>
      </c>
      <c r="R13" s="489"/>
      <c r="S13" s="40"/>
      <c r="T13" s="40"/>
      <c r="U13" s="17"/>
      <c r="V13" s="247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-66.286264441591811</v>
      </c>
      <c r="AF13" s="239">
        <f t="shared" si="9"/>
        <v>0.95580915703893876</v>
      </c>
      <c r="AG13" s="489"/>
    </row>
    <row r="14" spans="1:33" ht="16.5" customHeight="1">
      <c r="A14" s="525" t="s">
        <v>52</v>
      </c>
      <c r="B14" s="248" t="s">
        <v>126</v>
      </c>
      <c r="C14" s="515" t="s">
        <v>127</v>
      </c>
      <c r="D14" s="515"/>
      <c r="E14" s="42">
        <v>41</v>
      </c>
      <c r="F14" s="248">
        <v>2197</v>
      </c>
      <c r="G14" s="240">
        <f t="shared" ref="G14:G20" si="15">E14*F14</f>
        <v>90077</v>
      </c>
      <c r="H14" s="125" t="s">
        <v>79</v>
      </c>
      <c r="I14" s="246">
        <v>26</v>
      </c>
      <c r="J14" s="37">
        <v>1500</v>
      </c>
      <c r="K14" s="17">
        <f t="shared" si="1"/>
        <v>57.692307692307693</v>
      </c>
      <c r="L14" s="246">
        <v>26</v>
      </c>
      <c r="M14" s="18">
        <f t="shared" ref="M14:M20" si="16">F14/V14*60</f>
        <v>1432.8260869565213</v>
      </c>
      <c r="N14" s="17">
        <f t="shared" si="3"/>
        <v>55.108695652173893</v>
      </c>
      <c r="O14" s="19">
        <f t="shared" si="4"/>
        <v>0</v>
      </c>
      <c r="P14" s="20">
        <f t="shared" si="5"/>
        <v>-2.5836120401338007</v>
      </c>
      <c r="Q14" s="239">
        <f t="shared" si="6"/>
        <v>0.95521739130434746</v>
      </c>
      <c r="R14" s="489">
        <f>Q21</f>
        <v>0.96158026831253041</v>
      </c>
      <c r="S14" s="40">
        <v>0.20833333333333334</v>
      </c>
      <c r="T14" s="40">
        <v>0.27222222222222225</v>
      </c>
      <c r="U14" s="240"/>
      <c r="V14" s="247">
        <f t="shared" ref="V14:V20" si="17">(T14-S14)*24*60</f>
        <v>92.000000000000028</v>
      </c>
      <c r="W14" s="28"/>
      <c r="X14" s="28"/>
      <c r="Y14" s="28"/>
      <c r="Z14" s="28"/>
      <c r="AA14" s="491"/>
      <c r="AB14" s="491"/>
      <c r="AC14" s="154">
        <v>3</v>
      </c>
      <c r="AD14" s="25"/>
      <c r="AE14" s="19">
        <f t="shared" si="8"/>
        <v>-67.173913043478706</v>
      </c>
      <c r="AF14" s="239">
        <f t="shared" si="9"/>
        <v>0.95521739130434757</v>
      </c>
      <c r="AG14" s="489">
        <f>AF21</f>
        <v>0.96158026831253041</v>
      </c>
    </row>
    <row r="15" spans="1:33" ht="16.5" customHeight="1">
      <c r="A15" s="526" t="s">
        <v>1385</v>
      </c>
      <c r="B15" s="248" t="s">
        <v>128</v>
      </c>
      <c r="C15" s="515" t="s">
        <v>129</v>
      </c>
      <c r="D15" s="515"/>
      <c r="E15" s="42">
        <v>72.400000000000006</v>
      </c>
      <c r="F15" s="248">
        <v>1271</v>
      </c>
      <c r="G15" s="240">
        <f t="shared" si="15"/>
        <v>92020.400000000009</v>
      </c>
      <c r="H15" s="125" t="s">
        <v>79</v>
      </c>
      <c r="I15" s="246">
        <v>18</v>
      </c>
      <c r="J15" s="37">
        <v>1500</v>
      </c>
      <c r="K15" s="17">
        <f t="shared" si="1"/>
        <v>83.333333333333329</v>
      </c>
      <c r="L15" s="246">
        <v>18</v>
      </c>
      <c r="M15" s="18">
        <f t="shared" si="16"/>
        <v>1438.8679245283026</v>
      </c>
      <c r="N15" s="17">
        <f t="shared" si="3"/>
        <v>79.937106918239039</v>
      </c>
      <c r="O15" s="19">
        <f t="shared" si="4"/>
        <v>0</v>
      </c>
      <c r="P15" s="20">
        <f t="shared" si="5"/>
        <v>-3.39622641509429</v>
      </c>
      <c r="Q15" s="239">
        <f t="shared" si="6"/>
        <v>0.95924528301886847</v>
      </c>
      <c r="R15" s="489"/>
      <c r="S15" s="40">
        <v>0.27569444444444446</v>
      </c>
      <c r="T15" s="40">
        <v>0.3125</v>
      </c>
      <c r="U15" s="240">
        <f t="shared" ref="U15:U20" si="18">IF(S15=TIME(17,0,0),"",(S15-T14)*24*60)</f>
        <v>4.9999999999999822</v>
      </c>
      <c r="V15" s="247">
        <f t="shared" si="17"/>
        <v>52.999999999999972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-61.132075471697362</v>
      </c>
      <c r="AF15" s="239">
        <f t="shared" si="9"/>
        <v>0.95924528301886847</v>
      </c>
      <c r="AG15" s="489"/>
    </row>
    <row r="16" spans="1:33" ht="16.5" customHeight="1">
      <c r="A16" s="526" t="s">
        <v>52</v>
      </c>
      <c r="B16" s="248" t="s">
        <v>130</v>
      </c>
      <c r="C16" s="515" t="s">
        <v>131</v>
      </c>
      <c r="D16" s="515"/>
      <c r="E16" s="42">
        <v>50.67</v>
      </c>
      <c r="F16" s="248">
        <v>1128</v>
      </c>
      <c r="G16" s="240">
        <f t="shared" si="15"/>
        <v>57155.76</v>
      </c>
      <c r="H16" s="125" t="s">
        <v>79</v>
      </c>
      <c r="I16" s="246">
        <v>16</v>
      </c>
      <c r="J16" s="37">
        <v>1500</v>
      </c>
      <c r="K16" s="17">
        <f t="shared" si="1"/>
        <v>93.75</v>
      </c>
      <c r="L16" s="246">
        <v>16</v>
      </c>
      <c r="M16" s="18">
        <f t="shared" si="16"/>
        <v>1440.0000000000002</v>
      </c>
      <c r="N16" s="17">
        <f t="shared" si="3"/>
        <v>90.000000000000014</v>
      </c>
      <c r="O16" s="19">
        <f t="shared" si="4"/>
        <v>0</v>
      </c>
      <c r="P16" s="20">
        <f t="shared" si="5"/>
        <v>-3.7499999999999858</v>
      </c>
      <c r="Q16" s="239">
        <f t="shared" si="6"/>
        <v>0.96000000000000019</v>
      </c>
      <c r="R16" s="489"/>
      <c r="S16" s="40">
        <v>0.31597222222222221</v>
      </c>
      <c r="T16" s="40">
        <v>0.34861111111111109</v>
      </c>
      <c r="U16" s="240">
        <f t="shared" si="18"/>
        <v>4.9999999999999822</v>
      </c>
      <c r="V16" s="247">
        <f t="shared" si="17"/>
        <v>46.999999999999993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-59.999999999999773</v>
      </c>
      <c r="AF16" s="239">
        <f t="shared" si="9"/>
        <v>0.96000000000000019</v>
      </c>
      <c r="AG16" s="489"/>
    </row>
    <row r="17" spans="1:33" ht="16.5" customHeight="1">
      <c r="A17" s="526" t="s">
        <v>1385</v>
      </c>
      <c r="B17" s="248" t="s">
        <v>103</v>
      </c>
      <c r="C17" s="515" t="s">
        <v>123</v>
      </c>
      <c r="D17" s="515"/>
      <c r="E17" s="42">
        <v>50.98</v>
      </c>
      <c r="F17" s="248">
        <v>800</v>
      </c>
      <c r="G17" s="240">
        <f t="shared" si="15"/>
        <v>40784</v>
      </c>
      <c r="H17" s="125">
        <v>2</v>
      </c>
      <c r="I17" s="246">
        <v>16</v>
      </c>
      <c r="J17" s="37">
        <v>2000</v>
      </c>
      <c r="K17" s="17">
        <f t="shared" si="1"/>
        <v>125</v>
      </c>
      <c r="L17" s="246">
        <v>16</v>
      </c>
      <c r="M17" s="18">
        <f t="shared" si="16"/>
        <v>1919.9999999999945</v>
      </c>
      <c r="N17" s="17">
        <f t="shared" si="3"/>
        <v>119.99999999999966</v>
      </c>
      <c r="O17" s="19">
        <f t="shared" si="4"/>
        <v>0</v>
      </c>
      <c r="P17" s="20">
        <f t="shared" si="5"/>
        <v>-5.0000000000003411</v>
      </c>
      <c r="Q17" s="239">
        <f t="shared" si="6"/>
        <v>0.9599999999999973</v>
      </c>
      <c r="R17" s="489"/>
      <c r="S17" s="40">
        <v>0.70833333333333337</v>
      </c>
      <c r="T17" s="40">
        <v>0.72569444444444453</v>
      </c>
      <c r="U17" s="240" t="str">
        <f t="shared" si="18"/>
        <v/>
      </c>
      <c r="V17" s="247">
        <f t="shared" si="17"/>
        <v>25.000000000000071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-80.000000000005457</v>
      </c>
      <c r="AF17" s="239">
        <f t="shared" si="9"/>
        <v>0.9599999999999973</v>
      </c>
      <c r="AG17" s="489"/>
    </row>
    <row r="18" spans="1:33" ht="16.5" customHeight="1">
      <c r="A18" s="526" t="s">
        <v>1385</v>
      </c>
      <c r="B18" s="248" t="s">
        <v>103</v>
      </c>
      <c r="C18" s="515" t="s">
        <v>132</v>
      </c>
      <c r="D18" s="515"/>
      <c r="E18" s="42">
        <v>50.92</v>
      </c>
      <c r="F18" s="248">
        <v>1853</v>
      </c>
      <c r="G18" s="240">
        <f t="shared" si="15"/>
        <v>94354.760000000009</v>
      </c>
      <c r="H18" s="125" t="s">
        <v>79</v>
      </c>
      <c r="I18" s="246">
        <v>15</v>
      </c>
      <c r="J18" s="37">
        <v>2000</v>
      </c>
      <c r="K18" s="17">
        <f t="shared" si="1"/>
        <v>133.33333333333334</v>
      </c>
      <c r="L18" s="246">
        <v>15</v>
      </c>
      <c r="M18" s="18">
        <f t="shared" si="16"/>
        <v>1916.8965517241393</v>
      </c>
      <c r="N18" s="17">
        <f t="shared" si="3"/>
        <v>127.79310344827596</v>
      </c>
      <c r="O18" s="19">
        <f t="shared" si="4"/>
        <v>0</v>
      </c>
      <c r="P18" s="20">
        <f t="shared" si="5"/>
        <v>-5.5402298850573857</v>
      </c>
      <c r="Q18" s="239">
        <f t="shared" si="6"/>
        <v>0.9584482758620696</v>
      </c>
      <c r="R18" s="489"/>
      <c r="S18" s="40">
        <v>0.73125000000000007</v>
      </c>
      <c r="T18" s="40">
        <v>0.77152777777777781</v>
      </c>
      <c r="U18" s="240">
        <f t="shared" si="18"/>
        <v>7.9999999999999716</v>
      </c>
      <c r="V18" s="247">
        <f t="shared" si="17"/>
        <v>57.999999999999957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-83.103448275860728</v>
      </c>
      <c r="AF18" s="239">
        <f t="shared" si="9"/>
        <v>0.9584482758620696</v>
      </c>
      <c r="AG18" s="489"/>
    </row>
    <row r="19" spans="1:33" ht="16.5" customHeight="1">
      <c r="A19" s="526" t="s">
        <v>1385</v>
      </c>
      <c r="B19" s="248" t="s">
        <v>103</v>
      </c>
      <c r="C19" s="521" t="s">
        <v>133</v>
      </c>
      <c r="D19" s="522"/>
      <c r="E19" s="42">
        <v>50.67</v>
      </c>
      <c r="F19" s="248">
        <v>1384</v>
      </c>
      <c r="G19" s="240">
        <f t="shared" si="15"/>
        <v>70127.28</v>
      </c>
      <c r="H19" s="125" t="s">
        <v>79</v>
      </c>
      <c r="I19" s="246">
        <v>15</v>
      </c>
      <c r="J19" s="37">
        <v>2000</v>
      </c>
      <c r="K19" s="17">
        <f t="shared" si="1"/>
        <v>133.33333333333334</v>
      </c>
      <c r="L19" s="246">
        <v>15</v>
      </c>
      <c r="M19" s="18">
        <f t="shared" si="16"/>
        <v>1931.1627906976739</v>
      </c>
      <c r="N19" s="17">
        <f t="shared" si="3"/>
        <v>128.7441860465116</v>
      </c>
      <c r="O19" s="19">
        <f t="shared" si="4"/>
        <v>0</v>
      </c>
      <c r="P19" s="20">
        <f t="shared" si="5"/>
        <v>-4.589147286821742</v>
      </c>
      <c r="Q19" s="239">
        <f t="shared" si="6"/>
        <v>0.96558139534883691</v>
      </c>
      <c r="R19" s="489"/>
      <c r="S19" s="40">
        <v>0.77500000000000002</v>
      </c>
      <c r="T19" s="40">
        <v>0.80486111111111114</v>
      </c>
      <c r="U19" s="240">
        <f t="shared" si="18"/>
        <v>4.9999999999999822</v>
      </c>
      <c r="V19" s="247">
        <f t="shared" si="17"/>
        <v>43.000000000000007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-68.837209302326073</v>
      </c>
      <c r="AF19" s="239">
        <f t="shared" si="9"/>
        <v>0.96558139534883691</v>
      </c>
      <c r="AG19" s="489"/>
    </row>
    <row r="20" spans="1:33" ht="16.5" customHeight="1">
      <c r="A20" s="526" t="s">
        <v>1385</v>
      </c>
      <c r="B20" s="248" t="s">
        <v>103</v>
      </c>
      <c r="C20" s="244" t="s">
        <v>134</v>
      </c>
      <c r="D20" s="245"/>
      <c r="E20" s="42">
        <v>57.3</v>
      </c>
      <c r="F20" s="248">
        <v>1649</v>
      </c>
      <c r="G20" s="240">
        <f t="shared" si="15"/>
        <v>94487.7</v>
      </c>
      <c r="H20" s="125" t="s">
        <v>79</v>
      </c>
      <c r="I20" s="246">
        <v>13</v>
      </c>
      <c r="J20" s="37">
        <v>2000</v>
      </c>
      <c r="K20" s="17">
        <f t="shared" si="1"/>
        <v>153.84615384615384</v>
      </c>
      <c r="L20" s="246">
        <v>13</v>
      </c>
      <c r="M20" s="18">
        <f t="shared" si="16"/>
        <v>1940.0000000000009</v>
      </c>
      <c r="N20" s="17">
        <f t="shared" si="3"/>
        <v>149.23076923076931</v>
      </c>
      <c r="O20" s="19">
        <f t="shared" si="4"/>
        <v>0</v>
      </c>
      <c r="P20" s="20">
        <f t="shared" si="5"/>
        <v>-4.6153846153845279</v>
      </c>
      <c r="Q20" s="239">
        <f t="shared" si="6"/>
        <v>0.97000000000000053</v>
      </c>
      <c r="R20" s="489"/>
      <c r="S20" s="40">
        <v>0.80833333333333335</v>
      </c>
      <c r="T20" s="40">
        <v>0.84375</v>
      </c>
      <c r="U20" s="240">
        <f t="shared" si="18"/>
        <v>4.9999999999999822</v>
      </c>
      <c r="V20" s="247">
        <f t="shared" si="17"/>
        <v>50.999999999999979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-59.999999999999091</v>
      </c>
      <c r="AF20" s="239">
        <f t="shared" si="9"/>
        <v>0.97000000000000042</v>
      </c>
      <c r="AG20" s="489"/>
    </row>
    <row r="21" spans="1:33" ht="16.5" customHeight="1">
      <c r="A21" s="526" t="s">
        <v>1385</v>
      </c>
      <c r="B21" s="42" t="s">
        <v>1386</v>
      </c>
      <c r="C21" s="494"/>
      <c r="D21" s="494"/>
      <c r="E21" s="241"/>
      <c r="F21" s="44"/>
      <c r="G21" s="17"/>
      <c r="H21" s="248"/>
      <c r="I21" s="30">
        <v>17</v>
      </c>
      <c r="J21" s="37">
        <v>1785.7142857142858</v>
      </c>
      <c r="K21" s="17">
        <f t="shared" si="1"/>
        <v>105.0420168067227</v>
      </c>
      <c r="L21" s="30">
        <v>17</v>
      </c>
      <c r="M21" s="18">
        <f>AVERAGE(M14:M20)</f>
        <v>1717.1076219866616</v>
      </c>
      <c r="N21" s="17">
        <f t="shared" si="3"/>
        <v>101.00633070509774</v>
      </c>
      <c r="O21" s="19">
        <f t="shared" si="4"/>
        <v>0</v>
      </c>
      <c r="P21" s="20">
        <f t="shared" si="5"/>
        <v>-4.035686101624961</v>
      </c>
      <c r="Q21" s="239">
        <f t="shared" si="6"/>
        <v>0.96158026831253041</v>
      </c>
      <c r="R21" s="489"/>
      <c r="S21" s="40"/>
      <c r="T21" s="40"/>
      <c r="U21" s="240"/>
      <c r="V21" s="247"/>
      <c r="W21" s="17"/>
      <c r="X21" s="17"/>
      <c r="Y21" s="31">
        <f>SUM(Y14:Y20)</f>
        <v>0</v>
      </c>
      <c r="Z21" s="31">
        <f>SUM(Z14:Z20)</f>
        <v>0</v>
      </c>
      <c r="AA21" s="495"/>
      <c r="AB21" s="495"/>
      <c r="AC21" s="31">
        <v>3</v>
      </c>
      <c r="AD21" s="31">
        <f>SUM(AD14:AD20)</f>
        <v>0</v>
      </c>
      <c r="AE21" s="19">
        <f t="shared" si="8"/>
        <v>-68.606663727624209</v>
      </c>
      <c r="AF21" s="239">
        <f t="shared" si="9"/>
        <v>0.96158026831253041</v>
      </c>
      <c r="AG21" s="489"/>
    </row>
    <row r="22" spans="1:33" ht="15.75" customHeight="1">
      <c r="A22" s="519" t="s">
        <v>1387</v>
      </c>
      <c r="B22" s="42" t="s">
        <v>126</v>
      </c>
      <c r="C22" s="515" t="s">
        <v>135</v>
      </c>
      <c r="D22" s="515"/>
      <c r="E22" s="42">
        <v>43.14</v>
      </c>
      <c r="F22" s="248">
        <v>1006</v>
      </c>
      <c r="G22" s="240">
        <f t="shared" ref="G22:G28" si="19">E22*F22</f>
        <v>43398.840000000004</v>
      </c>
      <c r="H22" s="125" t="s">
        <v>79</v>
      </c>
      <c r="I22" s="246">
        <v>17</v>
      </c>
      <c r="J22" s="37">
        <v>2000</v>
      </c>
      <c r="K22" s="17">
        <f t="shared" si="1"/>
        <v>117.64705882352941</v>
      </c>
      <c r="L22" s="246">
        <v>17</v>
      </c>
      <c r="M22" s="18">
        <f t="shared" ref="M22:M28" si="20">F22/V22*60</f>
        <v>1947.0967741935476</v>
      </c>
      <c r="N22" s="17">
        <f t="shared" si="3"/>
        <v>114.53510436432633</v>
      </c>
      <c r="O22" s="19">
        <f t="shared" si="4"/>
        <v>0</v>
      </c>
      <c r="P22" s="20">
        <f t="shared" si="5"/>
        <v>-3.1119544592030763</v>
      </c>
      <c r="Q22" s="239">
        <f t="shared" si="6"/>
        <v>0.97354838709677383</v>
      </c>
      <c r="R22" s="489">
        <f>Q29</f>
        <v>0.95964914773371235</v>
      </c>
      <c r="S22" s="40">
        <v>0.20833333333333334</v>
      </c>
      <c r="T22" s="40">
        <v>0.22986111111111113</v>
      </c>
      <c r="U22" s="240"/>
      <c r="V22" s="247">
        <f t="shared" ref="V22:V28" si="21">(T22-S22)*24*60</f>
        <v>31.000000000000011</v>
      </c>
      <c r="W22" s="28"/>
      <c r="X22" s="28"/>
      <c r="Y22" s="28"/>
      <c r="Z22" s="28"/>
      <c r="AA22" s="491"/>
      <c r="AB22" s="491"/>
      <c r="AC22" s="154">
        <v>3</v>
      </c>
      <c r="AD22" s="25"/>
      <c r="AE22" s="19">
        <f t="shared" si="8"/>
        <v>-52.903225806452383</v>
      </c>
      <c r="AF22" s="239">
        <f t="shared" si="9"/>
        <v>0.97354838709677383</v>
      </c>
      <c r="AG22" s="489">
        <f>AF29</f>
        <v>0.95964914773371235</v>
      </c>
    </row>
    <row r="23" spans="1:33" ht="15.75" customHeight="1">
      <c r="A23" s="520" t="s">
        <v>1387</v>
      </c>
      <c r="B23" s="42" t="s">
        <v>103</v>
      </c>
      <c r="C23" s="515" t="s">
        <v>137</v>
      </c>
      <c r="D23" s="515"/>
      <c r="E23" s="42">
        <v>57.73</v>
      </c>
      <c r="F23" s="248">
        <v>2227</v>
      </c>
      <c r="G23" s="240">
        <f t="shared" si="19"/>
        <v>128564.70999999999</v>
      </c>
      <c r="H23" s="125" t="s">
        <v>79</v>
      </c>
      <c r="I23" s="246">
        <v>14</v>
      </c>
      <c r="J23" s="37">
        <v>2000</v>
      </c>
      <c r="K23" s="17">
        <f t="shared" si="1"/>
        <v>142.85714285714286</v>
      </c>
      <c r="L23" s="246">
        <v>14</v>
      </c>
      <c r="M23" s="18">
        <f t="shared" si="20"/>
        <v>1908.8571428571422</v>
      </c>
      <c r="N23" s="17">
        <f t="shared" si="3"/>
        <v>136.34693877551015</v>
      </c>
      <c r="O23" s="19">
        <f t="shared" si="4"/>
        <v>0</v>
      </c>
      <c r="P23" s="20">
        <f t="shared" si="5"/>
        <v>-6.5102040816327076</v>
      </c>
      <c r="Q23" s="239">
        <f t="shared" si="6"/>
        <v>0.95442857142857107</v>
      </c>
      <c r="R23" s="489"/>
      <c r="S23" s="40">
        <v>0.23472222222222225</v>
      </c>
      <c r="T23" s="40">
        <v>0.28333333333333338</v>
      </c>
      <c r="U23" s="240">
        <f t="shared" ref="U23:U28" si="22">IF(S23=TIME(17,0,0),"",(S23-T22)*24*60)</f>
        <v>7.0000000000000151</v>
      </c>
      <c r="V23" s="247">
        <f t="shared" si="21"/>
        <v>70.000000000000028</v>
      </c>
      <c r="W23" s="23"/>
      <c r="X23" s="240"/>
      <c r="Y23" s="240"/>
      <c r="Z23" s="240"/>
      <c r="AA23" s="491"/>
      <c r="AB23" s="491"/>
      <c r="AC23" s="154"/>
      <c r="AD23" s="25"/>
      <c r="AE23" s="19">
        <f t="shared" si="8"/>
        <v>-91.142857142857792</v>
      </c>
      <c r="AF23" s="239">
        <f t="shared" si="9"/>
        <v>0.95442857142857107</v>
      </c>
      <c r="AG23" s="489"/>
    </row>
    <row r="24" spans="1:33" ht="15.75" customHeight="1">
      <c r="A24" s="520" t="s">
        <v>1387</v>
      </c>
      <c r="B24" s="42" t="s">
        <v>103</v>
      </c>
      <c r="C24" s="515" t="s">
        <v>138</v>
      </c>
      <c r="D24" s="515"/>
      <c r="E24" s="42">
        <v>53.68</v>
      </c>
      <c r="F24" s="248">
        <v>1414</v>
      </c>
      <c r="G24" s="240">
        <f t="shared" si="19"/>
        <v>75903.520000000004</v>
      </c>
      <c r="H24" s="125" t="s">
        <v>79</v>
      </c>
      <c r="I24" s="246">
        <v>16</v>
      </c>
      <c r="J24" s="37">
        <v>2000</v>
      </c>
      <c r="K24" s="17">
        <f t="shared" si="1"/>
        <v>125</v>
      </c>
      <c r="L24" s="246">
        <v>16</v>
      </c>
      <c r="M24" s="18">
        <f t="shared" si="20"/>
        <v>1928.181818181818</v>
      </c>
      <c r="N24" s="17">
        <f t="shared" si="3"/>
        <v>120.51136363636363</v>
      </c>
      <c r="O24" s="19">
        <f t="shared" si="4"/>
        <v>0</v>
      </c>
      <c r="P24" s="20">
        <f t="shared" si="5"/>
        <v>-4.488636363636374</v>
      </c>
      <c r="Q24" s="239">
        <f t="shared" si="6"/>
        <v>0.964090909090909</v>
      </c>
      <c r="R24" s="489"/>
      <c r="S24" s="40">
        <v>0.28888888888888892</v>
      </c>
      <c r="T24" s="40">
        <v>0.31944444444444448</v>
      </c>
      <c r="U24" s="240">
        <f t="shared" si="22"/>
        <v>7.9999999999999716</v>
      </c>
      <c r="V24" s="247">
        <f t="shared" si="21"/>
        <v>44</v>
      </c>
      <c r="W24" s="23"/>
      <c r="X24" s="240"/>
      <c r="Y24" s="240"/>
      <c r="Z24" s="240"/>
      <c r="AA24" s="491"/>
      <c r="AB24" s="491"/>
      <c r="AC24" s="154"/>
      <c r="AD24" s="25"/>
      <c r="AE24" s="19">
        <f t="shared" si="8"/>
        <v>-71.818181818181984</v>
      </c>
      <c r="AF24" s="239">
        <f t="shared" si="9"/>
        <v>0.964090909090909</v>
      </c>
      <c r="AG24" s="489"/>
    </row>
    <row r="25" spans="1:33" ht="15.75" customHeight="1">
      <c r="A25" s="520" t="s">
        <v>1388</v>
      </c>
      <c r="B25" s="42" t="s">
        <v>103</v>
      </c>
      <c r="C25" s="515" t="s">
        <v>140</v>
      </c>
      <c r="D25" s="515"/>
      <c r="E25" s="42">
        <v>50.49</v>
      </c>
      <c r="F25" s="248">
        <v>1631</v>
      </c>
      <c r="G25" s="240">
        <f t="shared" si="19"/>
        <v>82349.19</v>
      </c>
      <c r="H25" s="125" t="s">
        <v>79</v>
      </c>
      <c r="I25" s="246">
        <v>15</v>
      </c>
      <c r="J25" s="37">
        <v>2000</v>
      </c>
      <c r="K25" s="17">
        <f t="shared" si="1"/>
        <v>133.33333333333334</v>
      </c>
      <c r="L25" s="246">
        <v>15</v>
      </c>
      <c r="M25" s="18">
        <f t="shared" si="20"/>
        <v>1918.8235294117655</v>
      </c>
      <c r="N25" s="17">
        <f t="shared" si="3"/>
        <v>127.92156862745104</v>
      </c>
      <c r="O25" s="19">
        <f t="shared" si="4"/>
        <v>0</v>
      </c>
      <c r="P25" s="20">
        <f t="shared" si="5"/>
        <v>-5.4117647058823053</v>
      </c>
      <c r="Q25" s="239">
        <f t="shared" si="6"/>
        <v>0.95941176470588274</v>
      </c>
      <c r="R25" s="489"/>
      <c r="S25" s="40">
        <v>0.70833333333333337</v>
      </c>
      <c r="T25" s="40">
        <v>0.74375000000000002</v>
      </c>
      <c r="U25" s="240" t="str">
        <f t="shared" si="22"/>
        <v/>
      </c>
      <c r="V25" s="247">
        <f t="shared" si="21"/>
        <v>50.999999999999979</v>
      </c>
      <c r="W25" s="23"/>
      <c r="X25" s="240"/>
      <c r="Y25" s="240"/>
      <c r="Z25" s="240"/>
      <c r="AA25" s="491"/>
      <c r="AB25" s="491"/>
      <c r="AC25" s="154"/>
      <c r="AD25" s="25"/>
      <c r="AE25" s="19">
        <f t="shared" si="8"/>
        <v>-81.176470588234451</v>
      </c>
      <c r="AF25" s="239">
        <f t="shared" si="9"/>
        <v>0.95941176470588274</v>
      </c>
      <c r="AG25" s="489"/>
    </row>
    <row r="26" spans="1:33" ht="15.75" customHeight="1">
      <c r="A26" s="520" t="s">
        <v>1387</v>
      </c>
      <c r="B26" s="42" t="s">
        <v>103</v>
      </c>
      <c r="C26" s="515" t="s">
        <v>141</v>
      </c>
      <c r="D26" s="515"/>
      <c r="E26" s="42">
        <v>57.73</v>
      </c>
      <c r="F26" s="248">
        <v>1096</v>
      </c>
      <c r="G26" s="240">
        <f t="shared" si="19"/>
        <v>63272.079999999994</v>
      </c>
      <c r="H26" s="125" t="s">
        <v>79</v>
      </c>
      <c r="I26" s="246">
        <v>16</v>
      </c>
      <c r="J26" s="37">
        <v>1500</v>
      </c>
      <c r="K26" s="17">
        <f t="shared" si="1"/>
        <v>93.75</v>
      </c>
      <c r="L26" s="246">
        <v>16</v>
      </c>
      <c r="M26" s="18">
        <f t="shared" si="20"/>
        <v>1429.5652173913043</v>
      </c>
      <c r="N26" s="17">
        <f t="shared" si="3"/>
        <v>89.347826086956516</v>
      </c>
      <c r="O26" s="19">
        <f t="shared" si="4"/>
        <v>0</v>
      </c>
      <c r="P26" s="20">
        <f t="shared" si="5"/>
        <v>-4.4021739130434838</v>
      </c>
      <c r="Q26" s="239">
        <f t="shared" si="6"/>
        <v>0.95304347826086955</v>
      </c>
      <c r="R26" s="489"/>
      <c r="S26" s="40">
        <v>0.74722222222222223</v>
      </c>
      <c r="T26" s="40">
        <v>0.77916666666666667</v>
      </c>
      <c r="U26" s="240">
        <f t="shared" si="22"/>
        <v>4.9999999999999822</v>
      </c>
      <c r="V26" s="247">
        <f t="shared" si="21"/>
        <v>46</v>
      </c>
      <c r="W26" s="23"/>
      <c r="X26" s="240"/>
      <c r="Y26" s="240"/>
      <c r="Z26" s="240"/>
      <c r="AA26" s="491"/>
      <c r="AB26" s="491"/>
      <c r="AC26" s="154"/>
      <c r="AD26" s="25"/>
      <c r="AE26" s="19">
        <f t="shared" si="8"/>
        <v>-70.434782608695741</v>
      </c>
      <c r="AF26" s="239">
        <f t="shared" si="9"/>
        <v>0.95304347826086955</v>
      </c>
      <c r="AG26" s="489"/>
    </row>
    <row r="27" spans="1:33" ht="15.75" customHeight="1">
      <c r="A27" s="520" t="s">
        <v>1388</v>
      </c>
      <c r="B27" s="42" t="s">
        <v>103</v>
      </c>
      <c r="C27" s="515" t="s">
        <v>108</v>
      </c>
      <c r="D27" s="515"/>
      <c r="E27" s="42">
        <v>54.29</v>
      </c>
      <c r="F27" s="248">
        <v>700</v>
      </c>
      <c r="G27" s="240">
        <f t="shared" si="19"/>
        <v>38003</v>
      </c>
      <c r="H27" s="125">
        <v>2</v>
      </c>
      <c r="I27" s="246">
        <v>20</v>
      </c>
      <c r="J27" s="37">
        <v>2000</v>
      </c>
      <c r="K27" s="17">
        <f t="shared" si="1"/>
        <v>100</v>
      </c>
      <c r="L27" s="246">
        <v>20</v>
      </c>
      <c r="M27" s="18">
        <f t="shared" si="20"/>
        <v>1909.0909090909158</v>
      </c>
      <c r="N27" s="17">
        <f t="shared" si="3"/>
        <v>95.454545454545794</v>
      </c>
      <c r="O27" s="19">
        <f t="shared" si="4"/>
        <v>0</v>
      </c>
      <c r="P27" s="20">
        <f t="shared" si="5"/>
        <v>-4.5454545454542057</v>
      </c>
      <c r="Q27" s="239">
        <f t="shared" si="6"/>
        <v>0.95454545454545792</v>
      </c>
      <c r="R27" s="489"/>
      <c r="S27" s="40">
        <v>0.78402777777777777</v>
      </c>
      <c r="T27" s="40">
        <v>0.79930555555555549</v>
      </c>
      <c r="U27" s="240">
        <f t="shared" si="22"/>
        <v>6.9999999999999751</v>
      </c>
      <c r="V27" s="247">
        <f t="shared" si="21"/>
        <v>21.999999999999922</v>
      </c>
      <c r="W27" s="23"/>
      <c r="X27" s="28"/>
      <c r="Y27" s="28"/>
      <c r="Z27" s="28"/>
      <c r="AA27" s="491"/>
      <c r="AB27" s="491"/>
      <c r="AC27" s="154"/>
      <c r="AD27" s="25"/>
      <c r="AE27" s="19">
        <f t="shared" si="8"/>
        <v>-90.909090909084171</v>
      </c>
      <c r="AF27" s="239">
        <f t="shared" si="9"/>
        <v>0.95454545454545792</v>
      </c>
      <c r="AG27" s="489"/>
    </row>
    <row r="28" spans="1:33" ht="15.75" customHeight="1">
      <c r="A28" s="520" t="s">
        <v>1388</v>
      </c>
      <c r="B28" s="42" t="s">
        <v>103</v>
      </c>
      <c r="C28" s="515" t="s">
        <v>142</v>
      </c>
      <c r="D28" s="515"/>
      <c r="E28" s="42">
        <v>53.68</v>
      </c>
      <c r="F28" s="248">
        <v>1625</v>
      </c>
      <c r="G28" s="240">
        <f t="shared" si="19"/>
        <v>87230</v>
      </c>
      <c r="H28" s="125" t="s">
        <v>79</v>
      </c>
      <c r="I28" s="246">
        <v>16</v>
      </c>
      <c r="J28" s="37">
        <v>1500</v>
      </c>
      <c r="K28" s="17">
        <f t="shared" si="1"/>
        <v>93.75</v>
      </c>
      <c r="L28" s="246">
        <v>16</v>
      </c>
      <c r="M28" s="18">
        <f t="shared" si="20"/>
        <v>1433.8235294117665</v>
      </c>
      <c r="N28" s="17">
        <f t="shared" si="3"/>
        <v>89.613970588235404</v>
      </c>
      <c r="O28" s="19">
        <f t="shared" si="4"/>
        <v>0</v>
      </c>
      <c r="P28" s="20">
        <f t="shared" si="5"/>
        <v>-4.1360294117645964</v>
      </c>
      <c r="Q28" s="239">
        <f t="shared" si="6"/>
        <v>0.95588235294117763</v>
      </c>
      <c r="R28" s="489"/>
      <c r="S28" s="40">
        <v>0.8027777777777777</v>
      </c>
      <c r="T28" s="40">
        <v>0.84999999999999987</v>
      </c>
      <c r="U28" s="240">
        <f t="shared" si="22"/>
        <v>4.9999999999999822</v>
      </c>
      <c r="V28" s="247">
        <f t="shared" si="21"/>
        <v>67.999999999999915</v>
      </c>
      <c r="W28" s="23"/>
      <c r="X28" s="28"/>
      <c r="Y28" s="29"/>
      <c r="Z28" s="29"/>
      <c r="AA28" s="503"/>
      <c r="AB28" s="504"/>
      <c r="AC28" s="154"/>
      <c r="AD28" s="25"/>
      <c r="AE28" s="19">
        <f t="shared" si="8"/>
        <v>-66.176470588233542</v>
      </c>
      <c r="AF28" s="239">
        <f t="shared" si="9"/>
        <v>0.95588235294117763</v>
      </c>
      <c r="AG28" s="489"/>
    </row>
    <row r="29" spans="1:33" ht="15.75" customHeight="1">
      <c r="A29" s="520" t="s">
        <v>1388</v>
      </c>
      <c r="B29" s="42" t="s">
        <v>1389</v>
      </c>
      <c r="C29" s="494"/>
      <c r="D29" s="494"/>
      <c r="E29" s="241"/>
      <c r="F29" s="248"/>
      <c r="G29" s="240"/>
      <c r="H29" s="248"/>
      <c r="I29" s="30">
        <v>16.285714285714285</v>
      </c>
      <c r="J29" s="37">
        <v>1857.1428571428571</v>
      </c>
      <c r="K29" s="17">
        <f t="shared" si="1"/>
        <v>114.03508771929825</v>
      </c>
      <c r="L29" s="30">
        <v>16.285714285714285</v>
      </c>
      <c r="M29" s="18">
        <f>AVERAGE(M22:M28)</f>
        <v>1782.2055600768942</v>
      </c>
      <c r="N29" s="17">
        <f t="shared" si="3"/>
        <v>109.43367474156369</v>
      </c>
      <c r="O29" s="19">
        <f t="shared" si="4"/>
        <v>0</v>
      </c>
      <c r="P29" s="20">
        <f t="shared" si="5"/>
        <v>-4.6014129777345545</v>
      </c>
      <c r="Q29" s="239">
        <f t="shared" si="6"/>
        <v>0.95964914773371235</v>
      </c>
      <c r="R29" s="489"/>
      <c r="S29" s="40"/>
      <c r="T29" s="40"/>
      <c r="U29" s="17"/>
      <c r="V29" s="247"/>
      <c r="W29" s="17"/>
      <c r="X29" s="17"/>
      <c r="Y29" s="31">
        <f>SUM(Y22:Y28)</f>
        <v>0</v>
      </c>
      <c r="Z29" s="31">
        <f>SUM(Z22:Z28)</f>
        <v>0</v>
      </c>
      <c r="AA29" s="495"/>
      <c r="AB29" s="495"/>
      <c r="AC29" s="31">
        <v>3</v>
      </c>
      <c r="AD29" s="31">
        <f>SUM(AD22:AD28)</f>
        <v>0</v>
      </c>
      <c r="AE29" s="19">
        <f t="shared" si="8"/>
        <v>-74.937297065962866</v>
      </c>
      <c r="AF29" s="239">
        <f t="shared" si="9"/>
        <v>0.95964914773371235</v>
      </c>
      <c r="AG29" s="489"/>
    </row>
    <row r="30" spans="1:33" ht="15.75" customHeight="1">
      <c r="A30" s="518" t="s">
        <v>1390</v>
      </c>
      <c r="B30" s="42" t="s">
        <v>80</v>
      </c>
      <c r="C30" s="515" t="s">
        <v>81</v>
      </c>
      <c r="D30" s="515"/>
      <c r="E30" s="42">
        <v>31.29</v>
      </c>
      <c r="F30" s="248">
        <v>7121</v>
      </c>
      <c r="G30" s="240">
        <f t="shared" ref="G30:G34" si="23">E30*F30</f>
        <v>222816.09</v>
      </c>
      <c r="H30" s="125" t="s">
        <v>79</v>
      </c>
      <c r="I30" s="246">
        <v>18</v>
      </c>
      <c r="J30" s="37">
        <v>2400</v>
      </c>
      <c r="K30" s="17">
        <f t="shared" si="1"/>
        <v>133.33333333333334</v>
      </c>
      <c r="L30" s="246">
        <v>18</v>
      </c>
      <c r="M30" s="18">
        <f t="shared" ref="M30:M34" si="24">F30/V30*60</f>
        <v>2284.8128342245982</v>
      </c>
      <c r="N30" s="17">
        <f t="shared" si="3"/>
        <v>126.93404634581101</v>
      </c>
      <c r="O30" s="19">
        <f t="shared" si="4"/>
        <v>0</v>
      </c>
      <c r="P30" s="20">
        <f t="shared" si="5"/>
        <v>-6.3992869875223306</v>
      </c>
      <c r="Q30" s="239">
        <f t="shared" si="6"/>
        <v>0.95200534759358257</v>
      </c>
      <c r="R30" s="489">
        <f>Q35</f>
        <v>0.95549505582488437</v>
      </c>
      <c r="S30" s="40">
        <v>8.3333333333333329E-2</v>
      </c>
      <c r="T30" s="40">
        <v>0.21319444444444446</v>
      </c>
      <c r="U30" s="240"/>
      <c r="V30" s="247">
        <f t="shared" ref="V30:V34" si="25">(T30-S30)*24*60</f>
        <v>187.00000000000006</v>
      </c>
      <c r="W30" s="23">
        <f>T30</f>
        <v>0.21319444444444446</v>
      </c>
      <c r="X30" s="23">
        <f>S31</f>
        <v>0.23263888888888892</v>
      </c>
      <c r="Y30" s="23"/>
      <c r="Z30" s="23"/>
      <c r="AA30" s="491"/>
      <c r="AB30" s="491"/>
      <c r="AC30" s="154">
        <v>7</v>
      </c>
      <c r="AD30" s="25"/>
      <c r="AE30" s="19">
        <f t="shared" si="8"/>
        <v>-115.18716577540181</v>
      </c>
      <c r="AF30" s="239">
        <f t="shared" si="9"/>
        <v>0.95200534759358257</v>
      </c>
      <c r="AG30" s="489">
        <f>AF35</f>
        <v>0.95549505582488448</v>
      </c>
    </row>
    <row r="31" spans="1:33" ht="15.75" customHeight="1">
      <c r="A31" s="518" t="s">
        <v>60</v>
      </c>
      <c r="B31" s="42" t="s">
        <v>80</v>
      </c>
      <c r="C31" s="515" t="s">
        <v>82</v>
      </c>
      <c r="D31" s="515"/>
      <c r="E31" s="42">
        <v>26.2</v>
      </c>
      <c r="F31" s="248">
        <v>4179</v>
      </c>
      <c r="G31" s="240">
        <f t="shared" si="23"/>
        <v>109489.8</v>
      </c>
      <c r="H31" s="125" t="s">
        <v>79</v>
      </c>
      <c r="I31" s="246">
        <v>20</v>
      </c>
      <c r="J31" s="37">
        <v>2400</v>
      </c>
      <c r="K31" s="17">
        <f t="shared" si="1"/>
        <v>120</v>
      </c>
      <c r="L31" s="246">
        <v>20</v>
      </c>
      <c r="M31" s="18">
        <f t="shared" si="24"/>
        <v>2300.3669724770648</v>
      </c>
      <c r="N31" s="17">
        <f t="shared" si="3"/>
        <v>115.01834862385324</v>
      </c>
      <c r="O31" s="19">
        <f t="shared" si="4"/>
        <v>0</v>
      </c>
      <c r="P31" s="20">
        <f t="shared" si="5"/>
        <v>-4.9816513761467576</v>
      </c>
      <c r="Q31" s="239">
        <f t="shared" si="6"/>
        <v>0.95848623853211035</v>
      </c>
      <c r="R31" s="489"/>
      <c r="S31" s="40">
        <v>0.23263888888888892</v>
      </c>
      <c r="T31" s="40">
        <v>0.30833333333333335</v>
      </c>
      <c r="U31" s="240">
        <f t="shared" ref="U31:U34" si="26">(S31-T30)*24*60</f>
        <v>28.000000000000021</v>
      </c>
      <c r="V31" s="247">
        <f t="shared" si="25"/>
        <v>108.99999999999997</v>
      </c>
      <c r="W31" s="23"/>
      <c r="X31" s="23"/>
      <c r="Y31" s="23"/>
      <c r="Z31" s="23"/>
      <c r="AA31" s="491"/>
      <c r="AB31" s="491"/>
      <c r="AC31" s="154"/>
      <c r="AD31" s="25"/>
      <c r="AE31" s="19">
        <f t="shared" si="8"/>
        <v>-99.633027522935208</v>
      </c>
      <c r="AF31" s="239">
        <f t="shared" si="9"/>
        <v>0.95848623853211035</v>
      </c>
      <c r="AG31" s="489"/>
    </row>
    <row r="32" spans="1:33" ht="15.75" customHeight="1">
      <c r="A32" s="518" t="s">
        <v>60</v>
      </c>
      <c r="B32" s="42" t="s">
        <v>80</v>
      </c>
      <c r="C32" s="515" t="s">
        <v>83</v>
      </c>
      <c r="D32" s="515"/>
      <c r="E32" s="42">
        <v>25.99</v>
      </c>
      <c r="F32" s="248">
        <v>3748</v>
      </c>
      <c r="G32" s="240">
        <f t="shared" si="23"/>
        <v>97410.51999999999</v>
      </c>
      <c r="H32" s="125" t="s">
        <v>79</v>
      </c>
      <c r="I32" s="246">
        <v>14</v>
      </c>
      <c r="J32" s="37">
        <v>2400</v>
      </c>
      <c r="K32" s="17">
        <f t="shared" si="1"/>
        <v>171.42857142857142</v>
      </c>
      <c r="L32" s="246">
        <v>14</v>
      </c>
      <c r="M32" s="18">
        <f t="shared" si="24"/>
        <v>2294.6938775510207</v>
      </c>
      <c r="N32" s="17">
        <f t="shared" si="3"/>
        <v>163.90670553935863</v>
      </c>
      <c r="O32" s="19">
        <f t="shared" si="4"/>
        <v>0</v>
      </c>
      <c r="P32" s="20">
        <f t="shared" si="5"/>
        <v>-7.5218658892127905</v>
      </c>
      <c r="Q32" s="239">
        <f t="shared" si="6"/>
        <v>0.95612244897959209</v>
      </c>
      <c r="R32" s="489"/>
      <c r="S32" s="40">
        <v>0.31180555555555556</v>
      </c>
      <c r="T32" s="40">
        <v>0.37986111111111109</v>
      </c>
      <c r="U32" s="240">
        <f t="shared" si="26"/>
        <v>4.9999999999999822</v>
      </c>
      <c r="V32" s="247">
        <f t="shared" si="25"/>
        <v>97.999999999999972</v>
      </c>
      <c r="W32" s="23"/>
      <c r="X32" s="23"/>
      <c r="Y32" s="23"/>
      <c r="Z32" s="23"/>
      <c r="AA32" s="491"/>
      <c r="AB32" s="491"/>
      <c r="AC32" s="154"/>
      <c r="AD32" s="25"/>
      <c r="AE32" s="19">
        <f t="shared" si="8"/>
        <v>-105.30612244897929</v>
      </c>
      <c r="AF32" s="239">
        <f t="shared" si="9"/>
        <v>0.95612244897959198</v>
      </c>
      <c r="AG32" s="489"/>
    </row>
    <row r="33" spans="1:33" ht="15.75" customHeight="1">
      <c r="A33" s="518" t="s">
        <v>60</v>
      </c>
      <c r="B33" s="42" t="s">
        <v>80</v>
      </c>
      <c r="C33" s="515" t="s">
        <v>84</v>
      </c>
      <c r="D33" s="515"/>
      <c r="E33" s="42">
        <v>20.52</v>
      </c>
      <c r="F33" s="248">
        <v>3634</v>
      </c>
      <c r="G33" s="240">
        <f t="shared" si="23"/>
        <v>74569.679999999993</v>
      </c>
      <c r="H33" s="125" t="s">
        <v>79</v>
      </c>
      <c r="I33" s="246">
        <v>18</v>
      </c>
      <c r="J33" s="37">
        <v>2400</v>
      </c>
      <c r="K33" s="17">
        <f t="shared" si="1"/>
        <v>133.33333333333334</v>
      </c>
      <c r="L33" s="246">
        <v>18</v>
      </c>
      <c r="M33" s="18">
        <f t="shared" si="24"/>
        <v>2295.1578947368425</v>
      </c>
      <c r="N33" s="17">
        <f t="shared" si="3"/>
        <v>127.50877192982459</v>
      </c>
      <c r="O33" s="19">
        <f t="shared" si="4"/>
        <v>0</v>
      </c>
      <c r="P33" s="20">
        <f t="shared" si="5"/>
        <v>-5.8245614035087527</v>
      </c>
      <c r="Q33" s="239">
        <f t="shared" si="6"/>
        <v>0.95631578947368434</v>
      </c>
      <c r="R33" s="489"/>
      <c r="S33" s="40">
        <v>0.38472222222222219</v>
      </c>
      <c r="T33" s="40">
        <v>0.4506944444444444</v>
      </c>
      <c r="U33" s="240">
        <f t="shared" si="26"/>
        <v>6.9999999999999751</v>
      </c>
      <c r="V33" s="247">
        <f t="shared" si="25"/>
        <v>94.999999999999986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-104.84210526315746</v>
      </c>
      <c r="AF33" s="239">
        <f t="shared" si="9"/>
        <v>0.95631578947368434</v>
      </c>
      <c r="AG33" s="489"/>
    </row>
    <row r="34" spans="1:33" ht="15.75" customHeight="1">
      <c r="A34" s="518" t="s">
        <v>60</v>
      </c>
      <c r="B34" s="42" t="s">
        <v>80</v>
      </c>
      <c r="C34" s="515" t="s">
        <v>85</v>
      </c>
      <c r="D34" s="515"/>
      <c r="E34" s="42">
        <v>25.98</v>
      </c>
      <c r="F34" s="248">
        <v>2940</v>
      </c>
      <c r="G34" s="240">
        <f t="shared" si="23"/>
        <v>76381.2</v>
      </c>
      <c r="H34" s="125" t="s">
        <v>79</v>
      </c>
      <c r="I34" s="246">
        <v>21</v>
      </c>
      <c r="J34" s="37">
        <v>2400</v>
      </c>
      <c r="K34" s="17">
        <f t="shared" si="1"/>
        <v>114.28571428571429</v>
      </c>
      <c r="L34" s="246">
        <v>21</v>
      </c>
      <c r="M34" s="18">
        <f t="shared" si="24"/>
        <v>2290.9090909090896</v>
      </c>
      <c r="N34" s="17">
        <f t="shared" si="3"/>
        <v>109.09090909090904</v>
      </c>
      <c r="O34" s="19">
        <f t="shared" si="4"/>
        <v>0</v>
      </c>
      <c r="P34" s="20">
        <f t="shared" si="5"/>
        <v>-5.1948051948052552</v>
      </c>
      <c r="Q34" s="239">
        <f t="shared" si="6"/>
        <v>0.95454545454545403</v>
      </c>
      <c r="R34" s="489"/>
      <c r="S34" s="40">
        <v>0.45555555555555549</v>
      </c>
      <c r="T34" s="40">
        <v>0.50902777777777775</v>
      </c>
      <c r="U34" s="240">
        <f t="shared" si="26"/>
        <v>6.9999999999999751</v>
      </c>
      <c r="V34" s="247">
        <f t="shared" si="25"/>
        <v>77.000000000000043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-109.09090909091037</v>
      </c>
      <c r="AF34" s="239">
        <f t="shared" si="9"/>
        <v>0.95454545454545403</v>
      </c>
      <c r="AG34" s="489"/>
    </row>
    <row r="35" spans="1:33" ht="15.75" customHeight="1">
      <c r="A35" s="518" t="s">
        <v>60</v>
      </c>
      <c r="B35" s="42" t="s">
        <v>299</v>
      </c>
      <c r="C35" s="494"/>
      <c r="D35" s="494"/>
      <c r="E35" s="241"/>
      <c r="F35" s="248"/>
      <c r="G35" s="240"/>
      <c r="H35" s="248"/>
      <c r="I35" s="30">
        <v>18.2</v>
      </c>
      <c r="J35" s="37">
        <v>2400</v>
      </c>
      <c r="K35" s="17">
        <f t="shared" si="1"/>
        <v>131.86813186813188</v>
      </c>
      <c r="L35" s="30">
        <v>18.2</v>
      </c>
      <c r="M35" s="18">
        <f>AVERAGE(M30:M34)</f>
        <v>2293.1881339797228</v>
      </c>
      <c r="N35" s="17">
        <f t="shared" si="3"/>
        <v>125.99934802086389</v>
      </c>
      <c r="O35" s="19">
        <f t="shared" si="4"/>
        <v>0</v>
      </c>
      <c r="P35" s="20">
        <f t="shared" si="5"/>
        <v>-5.8687838472679914</v>
      </c>
      <c r="Q35" s="239">
        <f t="shared" si="6"/>
        <v>0.95549505582488437</v>
      </c>
      <c r="R35" s="489"/>
      <c r="S35" s="40"/>
      <c r="T35" s="40"/>
      <c r="U35" s="240"/>
      <c r="V35" s="247"/>
      <c r="W35" s="240"/>
      <c r="X35" s="240"/>
      <c r="Y35" s="31">
        <f>SUM(Y30:Y34)</f>
        <v>0</v>
      </c>
      <c r="Z35" s="31">
        <f>SUM(Z30:Z34)</f>
        <v>0</v>
      </c>
      <c r="AA35" s="495"/>
      <c r="AB35" s="495"/>
      <c r="AC35" s="31">
        <v>7</v>
      </c>
      <c r="AD35" s="31">
        <f>SUM(AD30:AD34)</f>
        <v>0</v>
      </c>
      <c r="AE35" s="19">
        <f t="shared" si="8"/>
        <v>-106.81186602027719</v>
      </c>
      <c r="AF35" s="239">
        <f t="shared" si="9"/>
        <v>0.95549505582488448</v>
      </c>
      <c r="AG35" s="489"/>
    </row>
    <row r="36" spans="1:33" ht="15.75" customHeight="1">
      <c r="A36" s="516" t="s">
        <v>62</v>
      </c>
      <c r="B36" s="42" t="s">
        <v>80</v>
      </c>
      <c r="C36" s="490" t="s">
        <v>87</v>
      </c>
      <c r="D36" s="490"/>
      <c r="E36" s="42">
        <v>26.2</v>
      </c>
      <c r="F36" s="248">
        <v>5179</v>
      </c>
      <c r="G36" s="240">
        <f t="shared" ref="G36:G42" si="27">E36*F36</f>
        <v>135689.79999999999</v>
      </c>
      <c r="H36" s="125" t="s">
        <v>79</v>
      </c>
      <c r="I36" s="246">
        <v>18</v>
      </c>
      <c r="J36" s="37">
        <v>2400</v>
      </c>
      <c r="K36" s="17">
        <f t="shared" si="1"/>
        <v>133.33333333333334</v>
      </c>
      <c r="L36" s="246">
        <v>18</v>
      </c>
      <c r="M36" s="18">
        <f t="shared" ref="M36:M42" si="28">F36/V36*60</f>
        <v>2284.8529411764707</v>
      </c>
      <c r="N36" s="17">
        <f t="shared" si="3"/>
        <v>126.93627450980392</v>
      </c>
      <c r="O36" s="19">
        <f t="shared" si="4"/>
        <v>0</v>
      </c>
      <c r="P36" s="20">
        <f t="shared" si="5"/>
        <v>-6.3970588235294201</v>
      </c>
      <c r="Q36" s="239">
        <f t="shared" si="6"/>
        <v>0.9520220588235293</v>
      </c>
      <c r="R36" s="489">
        <f>Q43</f>
        <v>0.95496240174804525</v>
      </c>
      <c r="S36" s="40">
        <v>8.3333333333333329E-2</v>
      </c>
      <c r="T36" s="40">
        <v>0.17777777777777776</v>
      </c>
      <c r="U36" s="240"/>
      <c r="V36" s="247">
        <f t="shared" ref="V36:V42" si="29">(T36-S36)*24*60</f>
        <v>135.99999999999997</v>
      </c>
      <c r="W36" s="28">
        <f>T36</f>
        <v>0.17777777777777776</v>
      </c>
      <c r="X36" s="28">
        <f>S37</f>
        <v>0.19791666666666666</v>
      </c>
      <c r="Y36" s="28"/>
      <c r="Z36" s="28"/>
      <c r="AA36" s="491"/>
      <c r="AB36" s="491"/>
      <c r="AC36" s="154">
        <v>7</v>
      </c>
      <c r="AD36" s="25"/>
      <c r="AE36" s="19">
        <f t="shared" si="8"/>
        <v>-115.14705882352928</v>
      </c>
      <c r="AF36" s="239">
        <f t="shared" si="9"/>
        <v>0.95202205882352942</v>
      </c>
      <c r="AG36" s="489">
        <f>AF43</f>
        <v>0.95496240174804525</v>
      </c>
    </row>
    <row r="37" spans="1:33" ht="15.75" customHeight="1">
      <c r="A37" s="516" t="s">
        <v>1391</v>
      </c>
      <c r="B37" s="42" t="s">
        <v>80</v>
      </c>
      <c r="C37" s="490" t="s">
        <v>88</v>
      </c>
      <c r="D37" s="490"/>
      <c r="E37" s="42">
        <v>26.18</v>
      </c>
      <c r="F37" s="248">
        <v>2003</v>
      </c>
      <c r="G37" s="240">
        <f t="shared" si="27"/>
        <v>52438.54</v>
      </c>
      <c r="H37" s="125" t="s">
        <v>79</v>
      </c>
      <c r="I37" s="246">
        <v>19</v>
      </c>
      <c r="J37" s="37">
        <v>2400</v>
      </c>
      <c r="K37" s="17">
        <f t="shared" si="1"/>
        <v>126.31578947368421</v>
      </c>
      <c r="L37" s="246">
        <v>19</v>
      </c>
      <c r="M37" s="18">
        <f t="shared" si="28"/>
        <v>2311.1538461538457</v>
      </c>
      <c r="N37" s="17">
        <f t="shared" si="3"/>
        <v>121.6396761133603</v>
      </c>
      <c r="O37" s="19">
        <f t="shared" si="4"/>
        <v>0</v>
      </c>
      <c r="P37" s="20">
        <f t="shared" si="5"/>
        <v>-4.6761133603239102</v>
      </c>
      <c r="Q37" s="239">
        <f t="shared" si="6"/>
        <v>0.96298076923076903</v>
      </c>
      <c r="R37" s="489"/>
      <c r="S37" s="40">
        <v>0.19791666666666666</v>
      </c>
      <c r="T37" s="40">
        <v>0.23402777777777778</v>
      </c>
      <c r="U37" s="240">
        <f t="shared" ref="U37:U42" si="30">(S37-T36)*24*60</f>
        <v>29.000000000000018</v>
      </c>
      <c r="V37" s="247">
        <f t="shared" si="29"/>
        <v>52.000000000000014</v>
      </c>
      <c r="W37" s="240"/>
      <c r="X37" s="240"/>
      <c r="Y37" s="240"/>
      <c r="Z37" s="240"/>
      <c r="AA37" s="491"/>
      <c r="AB37" s="491"/>
      <c r="AC37" s="154"/>
      <c r="AD37" s="25"/>
      <c r="AE37" s="19">
        <f t="shared" si="8"/>
        <v>-88.846153846154266</v>
      </c>
      <c r="AF37" s="239">
        <f t="shared" si="9"/>
        <v>0.96298076923076903</v>
      </c>
      <c r="AG37" s="489"/>
    </row>
    <row r="38" spans="1:33">
      <c r="A38" s="517" t="s">
        <v>1391</v>
      </c>
      <c r="B38" s="42" t="s">
        <v>80</v>
      </c>
      <c r="C38" s="490" t="s">
        <v>89</v>
      </c>
      <c r="D38" s="490"/>
      <c r="E38" s="42">
        <v>26.39</v>
      </c>
      <c r="F38" s="248">
        <v>5095</v>
      </c>
      <c r="G38" s="240">
        <f t="shared" si="27"/>
        <v>134457.04999999999</v>
      </c>
      <c r="H38" s="125" t="s">
        <v>79</v>
      </c>
      <c r="I38" s="246">
        <v>19</v>
      </c>
      <c r="J38" s="37">
        <v>2400</v>
      </c>
      <c r="K38" s="17">
        <f t="shared" si="1"/>
        <v>126.31578947368421</v>
      </c>
      <c r="L38" s="246">
        <v>19</v>
      </c>
      <c r="M38" s="18">
        <f t="shared" si="28"/>
        <v>2281.3432835820886</v>
      </c>
      <c r="N38" s="17">
        <f t="shared" si="3"/>
        <v>120.0706991358994</v>
      </c>
      <c r="O38" s="19">
        <f t="shared" si="4"/>
        <v>0</v>
      </c>
      <c r="P38" s="20">
        <f t="shared" si="5"/>
        <v>-6.2450903377848022</v>
      </c>
      <c r="Q38" s="239">
        <f t="shared" si="6"/>
        <v>0.95055970149253699</v>
      </c>
      <c r="R38" s="489"/>
      <c r="S38" s="40">
        <v>0.23819444444444446</v>
      </c>
      <c r="T38" s="40">
        <v>0.33125000000000004</v>
      </c>
      <c r="U38" s="240">
        <f t="shared" si="30"/>
        <v>6.0000000000000187</v>
      </c>
      <c r="V38" s="247">
        <f t="shared" si="29"/>
        <v>134.00000000000006</v>
      </c>
      <c r="W38" s="240"/>
      <c r="X38" s="240"/>
      <c r="Y38" s="240"/>
      <c r="Z38" s="240"/>
      <c r="AA38" s="491"/>
      <c r="AB38" s="491"/>
      <c r="AC38" s="154"/>
      <c r="AD38" s="25"/>
      <c r="AE38" s="19">
        <f t="shared" si="8"/>
        <v>-118.65671641791141</v>
      </c>
      <c r="AF38" s="239">
        <f t="shared" si="9"/>
        <v>0.95055970149253688</v>
      </c>
      <c r="AG38" s="489"/>
    </row>
    <row r="39" spans="1:33">
      <c r="A39" s="517" t="s">
        <v>1391</v>
      </c>
      <c r="B39" s="42" t="s">
        <v>80</v>
      </c>
      <c r="C39" s="490" t="s">
        <v>90</v>
      </c>
      <c r="D39" s="490"/>
      <c r="E39" s="42">
        <v>22.69</v>
      </c>
      <c r="F39" s="248">
        <v>1830</v>
      </c>
      <c r="G39" s="240">
        <f t="shared" si="27"/>
        <v>41522.700000000004</v>
      </c>
      <c r="H39" s="125" t="s">
        <v>79</v>
      </c>
      <c r="I39" s="246">
        <v>15</v>
      </c>
      <c r="J39" s="37">
        <v>2400</v>
      </c>
      <c r="K39" s="17">
        <f t="shared" si="1"/>
        <v>160</v>
      </c>
      <c r="L39" s="246">
        <v>15</v>
      </c>
      <c r="M39" s="18">
        <f t="shared" si="28"/>
        <v>2287.5000000000009</v>
      </c>
      <c r="N39" s="17">
        <f t="shared" si="3"/>
        <v>152.50000000000006</v>
      </c>
      <c r="O39" s="19">
        <f t="shared" si="4"/>
        <v>0</v>
      </c>
      <c r="P39" s="20">
        <f t="shared" si="5"/>
        <v>-7.4999999999999432</v>
      </c>
      <c r="Q39" s="239">
        <f t="shared" si="6"/>
        <v>0.95312500000000033</v>
      </c>
      <c r="R39" s="489"/>
      <c r="S39" s="40">
        <v>0.33472222222222225</v>
      </c>
      <c r="T39" s="40">
        <v>0.36805555555555558</v>
      </c>
      <c r="U39" s="240">
        <f t="shared" si="30"/>
        <v>4.9999999999999822</v>
      </c>
      <c r="V39" s="247">
        <f t="shared" si="29"/>
        <v>47.999999999999986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-112.49999999999909</v>
      </c>
      <c r="AF39" s="239">
        <f t="shared" si="9"/>
        <v>0.95312500000000033</v>
      </c>
      <c r="AG39" s="489"/>
    </row>
    <row r="40" spans="1:33">
      <c r="A40" s="517" t="s">
        <v>1391</v>
      </c>
      <c r="B40" s="42" t="s">
        <v>80</v>
      </c>
      <c r="C40" s="490" t="s">
        <v>91</v>
      </c>
      <c r="D40" s="490"/>
      <c r="E40" s="42">
        <v>24.45</v>
      </c>
      <c r="F40" s="248">
        <v>2209</v>
      </c>
      <c r="G40" s="240">
        <f t="shared" si="27"/>
        <v>54010.049999999996</v>
      </c>
      <c r="H40" s="125" t="s">
        <v>79</v>
      </c>
      <c r="I40" s="246">
        <v>20</v>
      </c>
      <c r="J40" s="37">
        <v>2400</v>
      </c>
      <c r="K40" s="17">
        <f t="shared" si="1"/>
        <v>120</v>
      </c>
      <c r="L40" s="246">
        <v>20</v>
      </c>
      <c r="M40" s="18">
        <f t="shared" si="28"/>
        <v>2285.1724137931019</v>
      </c>
      <c r="N40" s="17">
        <f t="shared" si="3"/>
        <v>114.25862068965509</v>
      </c>
      <c r="O40" s="19">
        <f t="shared" si="4"/>
        <v>0</v>
      </c>
      <c r="P40" s="20">
        <f t="shared" si="5"/>
        <v>-5.7413793103449109</v>
      </c>
      <c r="Q40" s="239">
        <f t="shared" si="6"/>
        <v>0.95215517241379244</v>
      </c>
      <c r="R40" s="489"/>
      <c r="S40" s="40">
        <v>0.37222222222222223</v>
      </c>
      <c r="T40" s="40">
        <v>0.41250000000000003</v>
      </c>
      <c r="U40" s="240">
        <f t="shared" si="30"/>
        <v>5.9999999999999787</v>
      </c>
      <c r="V40" s="247">
        <f t="shared" si="29"/>
        <v>58.000000000000036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-114.8275862068981</v>
      </c>
      <c r="AF40" s="239">
        <f t="shared" si="9"/>
        <v>0.95215517241379244</v>
      </c>
      <c r="AG40" s="489"/>
    </row>
    <row r="41" spans="1:33">
      <c r="A41" s="517" t="s">
        <v>1391</v>
      </c>
      <c r="B41" s="42" t="s">
        <v>80</v>
      </c>
      <c r="C41" s="490" t="s">
        <v>1224</v>
      </c>
      <c r="D41" s="490"/>
      <c r="E41" s="42">
        <v>21.68</v>
      </c>
      <c r="F41" s="248">
        <v>4000</v>
      </c>
      <c r="G41" s="240">
        <f t="shared" si="27"/>
        <v>86720</v>
      </c>
      <c r="H41" s="125">
        <v>2</v>
      </c>
      <c r="I41" s="246">
        <v>16</v>
      </c>
      <c r="J41" s="37">
        <v>2400</v>
      </c>
      <c r="K41" s="17">
        <f t="shared" si="1"/>
        <v>150</v>
      </c>
      <c r="L41" s="246">
        <v>16</v>
      </c>
      <c r="M41" s="18">
        <f t="shared" si="28"/>
        <v>2285.7142857142853</v>
      </c>
      <c r="N41" s="17">
        <f t="shared" si="3"/>
        <v>142.85714285714283</v>
      </c>
      <c r="O41" s="19">
        <f t="shared" si="4"/>
        <v>0</v>
      </c>
      <c r="P41" s="20">
        <f t="shared" si="5"/>
        <v>-7.1428571428571672</v>
      </c>
      <c r="Q41" s="239">
        <f t="shared" si="6"/>
        <v>0.95238095238095222</v>
      </c>
      <c r="R41" s="489"/>
      <c r="S41" s="40">
        <v>0.41597222222222224</v>
      </c>
      <c r="T41" s="40">
        <v>0.48888888888888893</v>
      </c>
      <c r="U41" s="240">
        <f t="shared" si="30"/>
        <v>4.9999999999999822</v>
      </c>
      <c r="V41" s="247">
        <f t="shared" si="29"/>
        <v>105.00000000000003</v>
      </c>
      <c r="W41" s="23">
        <f>T41</f>
        <v>0.48888888888888893</v>
      </c>
      <c r="X41" s="23">
        <f>S42</f>
        <v>0.52847222222222223</v>
      </c>
      <c r="Y41" s="23"/>
      <c r="Z41" s="23"/>
      <c r="AA41" s="491"/>
      <c r="AB41" s="491"/>
      <c r="AC41" s="154"/>
      <c r="AD41" s="25"/>
      <c r="AE41" s="19">
        <f t="shared" si="8"/>
        <v>-114.28571428571468</v>
      </c>
      <c r="AF41" s="239">
        <f t="shared" si="9"/>
        <v>0.95238095238095222</v>
      </c>
      <c r="AG41" s="489"/>
    </row>
    <row r="42" spans="1:33">
      <c r="A42" s="517" t="s">
        <v>1392</v>
      </c>
      <c r="B42" s="42" t="s">
        <v>80</v>
      </c>
      <c r="C42" s="490" t="s">
        <v>1224</v>
      </c>
      <c r="D42" s="490"/>
      <c r="E42" s="42">
        <v>21.68</v>
      </c>
      <c r="F42" s="248">
        <v>2923</v>
      </c>
      <c r="G42" s="240">
        <f t="shared" si="27"/>
        <v>63370.64</v>
      </c>
      <c r="H42" s="125" t="s">
        <v>79</v>
      </c>
      <c r="I42" s="246">
        <v>16</v>
      </c>
      <c r="J42" s="37">
        <v>2400</v>
      </c>
      <c r="K42" s="17">
        <f t="shared" si="1"/>
        <v>150</v>
      </c>
      <c r="L42" s="246">
        <v>16</v>
      </c>
      <c r="M42" s="18">
        <f t="shared" si="28"/>
        <v>2307.6315789473665</v>
      </c>
      <c r="N42" s="17">
        <f t="shared" si="3"/>
        <v>144.22697368421041</v>
      </c>
      <c r="O42" s="19">
        <f t="shared" si="4"/>
        <v>0</v>
      </c>
      <c r="P42" s="20">
        <f t="shared" si="5"/>
        <v>-5.7730263157895934</v>
      </c>
      <c r="Q42" s="239">
        <f t="shared" si="6"/>
        <v>0.96151315789473601</v>
      </c>
      <c r="R42" s="489"/>
      <c r="S42" s="40">
        <v>0.52847222222222223</v>
      </c>
      <c r="T42" s="40">
        <v>0.58125000000000004</v>
      </c>
      <c r="U42" s="240">
        <f t="shared" si="30"/>
        <v>56.999999999999957</v>
      </c>
      <c r="V42" s="247">
        <f t="shared" si="29"/>
        <v>76.000000000000057</v>
      </c>
      <c r="W42" s="23"/>
      <c r="X42" s="23"/>
      <c r="Y42" s="26"/>
      <c r="Z42" s="26"/>
      <c r="AA42" s="503"/>
      <c r="AB42" s="504"/>
      <c r="AC42" s="154"/>
      <c r="AD42" s="25"/>
      <c r="AE42" s="19">
        <f t="shared" si="8"/>
        <v>-92.368421052633494</v>
      </c>
      <c r="AF42" s="239">
        <f t="shared" si="9"/>
        <v>0.96151315789473601</v>
      </c>
      <c r="AG42" s="489"/>
    </row>
    <row r="43" spans="1:33">
      <c r="A43" s="517" t="s">
        <v>1392</v>
      </c>
      <c r="B43" s="44" t="s">
        <v>299</v>
      </c>
      <c r="C43" s="494"/>
      <c r="D43" s="494"/>
      <c r="E43" s="241"/>
      <c r="F43" s="44"/>
      <c r="G43" s="17"/>
      <c r="H43" s="248"/>
      <c r="I43" s="30">
        <v>17.571428571428573</v>
      </c>
      <c r="J43" s="37">
        <v>2400</v>
      </c>
      <c r="K43" s="17">
        <f t="shared" si="1"/>
        <v>136.58536585365852</v>
      </c>
      <c r="L43" s="30">
        <v>17.571428571428573</v>
      </c>
      <c r="M43" s="18">
        <f>AVERAGE(M36:M42)</f>
        <v>2291.9097641953085</v>
      </c>
      <c r="N43" s="17">
        <f t="shared" si="3"/>
        <v>130.43388901924519</v>
      </c>
      <c r="O43" s="19">
        <f t="shared" si="4"/>
        <v>0</v>
      </c>
      <c r="P43" s="20">
        <f t="shared" si="5"/>
        <v>-6.1514768344133302</v>
      </c>
      <c r="Q43" s="239">
        <f t="shared" si="6"/>
        <v>0.95496240174804525</v>
      </c>
      <c r="R43" s="489"/>
      <c r="S43" s="40"/>
      <c r="T43" s="40"/>
      <c r="U43" s="17"/>
      <c r="V43" s="247"/>
      <c r="W43" s="17"/>
      <c r="X43" s="17"/>
      <c r="Y43" s="31">
        <f>SUM(Y36:Y42)</f>
        <v>0</v>
      </c>
      <c r="Z43" s="31">
        <f>SUM(Z36:Z42)</f>
        <v>0</v>
      </c>
      <c r="AA43" s="495"/>
      <c r="AB43" s="495"/>
      <c r="AC43" s="31">
        <v>7</v>
      </c>
      <c r="AD43" s="31">
        <f>SUM(AD36:AD42)</f>
        <v>0</v>
      </c>
      <c r="AE43" s="19">
        <f t="shared" si="8"/>
        <v>-108.09023580469147</v>
      </c>
      <c r="AF43" s="239">
        <f t="shared" si="9"/>
        <v>0.95496240174804525</v>
      </c>
      <c r="AG43" s="489"/>
    </row>
    <row r="44" spans="1:33" ht="15.75" customHeight="1">
      <c r="A44" s="512" t="s">
        <v>65</v>
      </c>
      <c r="B44" s="42" t="s">
        <v>93</v>
      </c>
      <c r="C44" s="501" t="s">
        <v>94</v>
      </c>
      <c r="D44" s="502"/>
      <c r="E44" s="42">
        <v>21.13</v>
      </c>
      <c r="F44" s="248">
        <v>4858</v>
      </c>
      <c r="G44" s="240">
        <f t="shared" ref="G44:G50" si="31">E44*F44</f>
        <v>102649.54</v>
      </c>
      <c r="H44" s="125" t="s">
        <v>79</v>
      </c>
      <c r="I44" s="246">
        <v>10</v>
      </c>
      <c r="J44" s="37">
        <v>3000</v>
      </c>
      <c r="K44" s="17">
        <f t="shared" si="1"/>
        <v>300</v>
      </c>
      <c r="L44" s="246">
        <v>10</v>
      </c>
      <c r="M44" s="18">
        <f t="shared" ref="M44:M50" si="32">F44/V44*60</f>
        <v>2857.6470588235288</v>
      </c>
      <c r="N44" s="18">
        <f t="shared" si="3"/>
        <v>285.76470588235287</v>
      </c>
      <c r="O44" s="19">
        <f t="shared" si="4"/>
        <v>0</v>
      </c>
      <c r="P44" s="20">
        <f t="shared" si="5"/>
        <v>-14.235294117647129</v>
      </c>
      <c r="Q44" s="239">
        <f t="shared" si="6"/>
        <v>0.95254901960784288</v>
      </c>
      <c r="R44" s="509">
        <f>Q51</f>
        <v>0.95701323954970496</v>
      </c>
      <c r="S44" s="40">
        <v>8.3333333333333329E-2</v>
      </c>
      <c r="T44" s="40">
        <v>0.15416666666666667</v>
      </c>
      <c r="U44" s="28"/>
      <c r="V44" s="247">
        <f t="shared" ref="V44:V50" si="33">(T44-S44)*24*60</f>
        <v>102.00000000000001</v>
      </c>
      <c r="W44" s="23">
        <f>T44</f>
        <v>0.15416666666666667</v>
      </c>
      <c r="X44" s="23">
        <f>S45</f>
        <v>0.17291666666666666</v>
      </c>
      <c r="Y44" s="26"/>
      <c r="Z44" s="26"/>
      <c r="AA44" s="503"/>
      <c r="AB44" s="504"/>
      <c r="AC44" s="154" t="s">
        <v>79</v>
      </c>
      <c r="AD44" s="25"/>
      <c r="AE44" s="19">
        <f t="shared" si="8"/>
        <v>-142.35294117647118</v>
      </c>
      <c r="AF44" s="239">
        <f t="shared" si="9"/>
        <v>0.95254901960784299</v>
      </c>
      <c r="AG44" s="509">
        <f>AF51</f>
        <v>0.95701323954970496</v>
      </c>
    </row>
    <row r="45" spans="1:33" ht="15.75" customHeight="1">
      <c r="A45" s="513" t="s">
        <v>1393</v>
      </c>
      <c r="B45" s="42" t="s">
        <v>93</v>
      </c>
      <c r="C45" s="501" t="s">
        <v>95</v>
      </c>
      <c r="D45" s="502"/>
      <c r="E45" s="42">
        <v>27.17</v>
      </c>
      <c r="F45" s="248">
        <v>7195</v>
      </c>
      <c r="G45" s="240">
        <f t="shared" si="31"/>
        <v>195488.15000000002</v>
      </c>
      <c r="H45" s="125" t="s">
        <v>79</v>
      </c>
      <c r="I45" s="246">
        <v>10</v>
      </c>
      <c r="J45" s="37">
        <v>3000</v>
      </c>
      <c r="K45" s="17">
        <f t="shared" si="1"/>
        <v>300</v>
      </c>
      <c r="L45" s="246">
        <v>10</v>
      </c>
      <c r="M45" s="18">
        <f t="shared" si="32"/>
        <v>2858.9403973509925</v>
      </c>
      <c r="N45" s="18">
        <f t="shared" si="3"/>
        <v>285.89403973509923</v>
      </c>
      <c r="O45" s="19">
        <f t="shared" si="4"/>
        <v>0</v>
      </c>
      <c r="P45" s="20">
        <f t="shared" si="5"/>
        <v>-14.105960264900773</v>
      </c>
      <c r="Q45" s="239">
        <f t="shared" si="6"/>
        <v>0.95298013245033075</v>
      </c>
      <c r="R45" s="510"/>
      <c r="S45" s="40">
        <v>0.17291666666666666</v>
      </c>
      <c r="T45" s="40">
        <v>0.27777777777777779</v>
      </c>
      <c r="U45" s="240">
        <f t="shared" ref="U45:U50" si="34">(S45-T44)*24*60</f>
        <v>26.999999999999986</v>
      </c>
      <c r="V45" s="247">
        <f t="shared" si="33"/>
        <v>151.00000000000003</v>
      </c>
      <c r="W45" s="23"/>
      <c r="X45" s="23"/>
      <c r="Y45" s="26"/>
      <c r="Z45" s="26"/>
      <c r="AA45" s="503"/>
      <c r="AB45" s="504"/>
      <c r="AC45" s="154">
        <v>1</v>
      </c>
      <c r="AD45" s="25"/>
      <c r="AE45" s="19">
        <f t="shared" si="8"/>
        <v>-141.0596026490075</v>
      </c>
      <c r="AF45" s="239">
        <f t="shared" si="9"/>
        <v>0.95298013245033086</v>
      </c>
      <c r="AG45" s="510"/>
    </row>
    <row r="46" spans="1:33" ht="15.75" customHeight="1">
      <c r="A46" s="513" t="s">
        <v>1393</v>
      </c>
      <c r="B46" s="42" t="s">
        <v>93</v>
      </c>
      <c r="C46" s="501" t="s">
        <v>96</v>
      </c>
      <c r="D46" s="502"/>
      <c r="E46" s="42">
        <v>35.119999999999997</v>
      </c>
      <c r="F46" s="248">
        <v>5175</v>
      </c>
      <c r="G46" s="240">
        <f t="shared" si="31"/>
        <v>181746</v>
      </c>
      <c r="H46" s="125" t="s">
        <v>79</v>
      </c>
      <c r="I46" s="246">
        <v>10</v>
      </c>
      <c r="J46" s="37">
        <v>3000</v>
      </c>
      <c r="K46" s="17">
        <f t="shared" si="1"/>
        <v>300</v>
      </c>
      <c r="L46" s="246">
        <v>10</v>
      </c>
      <c r="M46" s="18">
        <f t="shared" si="32"/>
        <v>2874.9999999999995</v>
      </c>
      <c r="N46" s="18">
        <f t="shared" si="3"/>
        <v>287.49999999999994</v>
      </c>
      <c r="O46" s="19">
        <f t="shared" si="4"/>
        <v>0</v>
      </c>
      <c r="P46" s="20">
        <f t="shared" si="5"/>
        <v>-12.500000000000057</v>
      </c>
      <c r="Q46" s="239">
        <f t="shared" si="6"/>
        <v>0.95833333333333315</v>
      </c>
      <c r="R46" s="510"/>
      <c r="S46" s="40">
        <v>0.28263888888888888</v>
      </c>
      <c r="T46" s="40">
        <v>0.3576388888888889</v>
      </c>
      <c r="U46" s="240">
        <f t="shared" si="34"/>
        <v>6.9999999999999751</v>
      </c>
      <c r="V46" s="247">
        <f t="shared" si="33"/>
        <v>108.00000000000001</v>
      </c>
      <c r="W46" s="23"/>
      <c r="X46" s="23"/>
      <c r="Y46" s="26"/>
      <c r="Z46" s="26"/>
      <c r="AA46" s="503"/>
      <c r="AB46" s="504"/>
      <c r="AC46" s="154">
        <v>1</v>
      </c>
      <c r="AD46" s="25"/>
      <c r="AE46" s="19">
        <f t="shared" si="8"/>
        <v>-125.00000000000045</v>
      </c>
      <c r="AF46" s="239">
        <f t="shared" si="9"/>
        <v>0.95833333333333315</v>
      </c>
      <c r="AG46" s="510"/>
    </row>
    <row r="47" spans="1:33" ht="15.75" customHeight="1">
      <c r="A47" s="513" t="s">
        <v>1393</v>
      </c>
      <c r="B47" s="42" t="s">
        <v>93</v>
      </c>
      <c r="C47" s="501" t="s">
        <v>97</v>
      </c>
      <c r="D47" s="502"/>
      <c r="E47" s="42">
        <v>31</v>
      </c>
      <c r="F47" s="248">
        <v>1209</v>
      </c>
      <c r="G47" s="240">
        <f t="shared" si="31"/>
        <v>37479</v>
      </c>
      <c r="H47" s="125" t="s">
        <v>79</v>
      </c>
      <c r="I47" s="246">
        <v>13</v>
      </c>
      <c r="J47" s="37">
        <v>2000</v>
      </c>
      <c r="K47" s="17">
        <f t="shared" si="1"/>
        <v>153.84615384615384</v>
      </c>
      <c r="L47" s="246">
        <v>13</v>
      </c>
      <c r="M47" s="18">
        <f t="shared" si="32"/>
        <v>1908.9473684210514</v>
      </c>
      <c r="N47" s="18">
        <f t="shared" si="3"/>
        <v>146.8421052631578</v>
      </c>
      <c r="O47" s="19">
        <f t="shared" si="4"/>
        <v>0</v>
      </c>
      <c r="P47" s="20">
        <f t="shared" si="5"/>
        <v>-7.0040485829960346</v>
      </c>
      <c r="Q47" s="239">
        <f t="shared" si="6"/>
        <v>0.95447368421052581</v>
      </c>
      <c r="R47" s="510"/>
      <c r="S47" s="40">
        <v>0.36180555555555555</v>
      </c>
      <c r="T47" s="40">
        <v>0.38819444444444445</v>
      </c>
      <c r="U47" s="240">
        <f t="shared" si="34"/>
        <v>5.9999999999999787</v>
      </c>
      <c r="V47" s="247">
        <f t="shared" si="33"/>
        <v>38.000000000000028</v>
      </c>
      <c r="W47" s="23"/>
      <c r="X47" s="23"/>
      <c r="Y47" s="26"/>
      <c r="Z47" s="26"/>
      <c r="AA47" s="503"/>
      <c r="AB47" s="504"/>
      <c r="AC47" s="154" t="s">
        <v>79</v>
      </c>
      <c r="AD47" s="25"/>
      <c r="AE47" s="19">
        <f t="shared" si="8"/>
        <v>-91.052631578948649</v>
      </c>
      <c r="AF47" s="239">
        <f t="shared" si="9"/>
        <v>0.9544736842105257</v>
      </c>
      <c r="AG47" s="510"/>
    </row>
    <row r="48" spans="1:33" ht="15.75" customHeight="1">
      <c r="A48" s="513" t="s">
        <v>1393</v>
      </c>
      <c r="B48" s="42" t="s">
        <v>93</v>
      </c>
      <c r="C48" s="501" t="s">
        <v>99</v>
      </c>
      <c r="D48" s="502"/>
      <c r="E48" s="42">
        <v>32.020000000000003</v>
      </c>
      <c r="F48" s="248">
        <v>2192</v>
      </c>
      <c r="G48" s="240">
        <f t="shared" si="31"/>
        <v>70187.840000000011</v>
      </c>
      <c r="H48" s="125" t="s">
        <v>79</v>
      </c>
      <c r="I48" s="246">
        <v>11</v>
      </c>
      <c r="J48" s="37">
        <v>3000</v>
      </c>
      <c r="K48" s="17">
        <f t="shared" si="1"/>
        <v>272.72727272727275</v>
      </c>
      <c r="L48" s="246">
        <v>11</v>
      </c>
      <c r="M48" s="18">
        <f t="shared" si="32"/>
        <v>2859.1304347826085</v>
      </c>
      <c r="N48" s="18">
        <f t="shared" si="3"/>
        <v>259.92094861660075</v>
      </c>
      <c r="O48" s="19">
        <f t="shared" si="4"/>
        <v>0</v>
      </c>
      <c r="P48" s="20">
        <f t="shared" si="5"/>
        <v>-12.806324110671994</v>
      </c>
      <c r="Q48" s="239">
        <f t="shared" si="6"/>
        <v>0.95304347826086933</v>
      </c>
      <c r="R48" s="510"/>
      <c r="S48" s="40">
        <v>0.39374999999999999</v>
      </c>
      <c r="T48" s="40">
        <v>0.42569444444444443</v>
      </c>
      <c r="U48" s="240">
        <f t="shared" si="34"/>
        <v>7.9999999999999716</v>
      </c>
      <c r="V48" s="247">
        <f t="shared" si="33"/>
        <v>46</v>
      </c>
      <c r="W48" s="23"/>
      <c r="X48" s="23"/>
      <c r="Y48" s="26"/>
      <c r="Z48" s="26"/>
      <c r="AA48" s="503"/>
      <c r="AB48" s="504"/>
      <c r="AC48" s="154" t="s">
        <v>79</v>
      </c>
      <c r="AD48" s="25"/>
      <c r="AE48" s="19">
        <f t="shared" si="8"/>
        <v>-140.86956521739148</v>
      </c>
      <c r="AF48" s="239">
        <f t="shared" si="9"/>
        <v>0.95304347826086955</v>
      </c>
      <c r="AG48" s="510"/>
    </row>
    <row r="49" spans="1:33" ht="15.75" customHeight="1">
      <c r="A49" s="513" t="s">
        <v>1393</v>
      </c>
      <c r="B49" s="42" t="s">
        <v>93</v>
      </c>
      <c r="C49" s="501" t="s">
        <v>112</v>
      </c>
      <c r="D49" s="502"/>
      <c r="E49" s="42">
        <v>35.869999999999997</v>
      </c>
      <c r="F49" s="248">
        <v>2935</v>
      </c>
      <c r="G49" s="240">
        <f t="shared" si="31"/>
        <v>105278.45</v>
      </c>
      <c r="H49" s="125" t="s">
        <v>79</v>
      </c>
      <c r="I49" s="246">
        <v>9</v>
      </c>
      <c r="J49" s="37">
        <v>3000</v>
      </c>
      <c r="K49" s="17">
        <f t="shared" si="1"/>
        <v>333.33333333333331</v>
      </c>
      <c r="L49" s="246">
        <v>9</v>
      </c>
      <c r="M49" s="18">
        <f t="shared" si="32"/>
        <v>2886.8852459016384</v>
      </c>
      <c r="N49" s="18">
        <f t="shared" si="3"/>
        <v>320.76502732240425</v>
      </c>
      <c r="O49" s="19">
        <f t="shared" si="4"/>
        <v>0</v>
      </c>
      <c r="P49" s="20">
        <f t="shared" si="5"/>
        <v>-12.568306010929064</v>
      </c>
      <c r="Q49" s="239">
        <f t="shared" si="6"/>
        <v>0.96229508196721281</v>
      </c>
      <c r="R49" s="510"/>
      <c r="S49" s="40">
        <v>0.42916666666666664</v>
      </c>
      <c r="T49" s="40">
        <v>0.47152777777777777</v>
      </c>
      <c r="U49" s="240">
        <f t="shared" si="34"/>
        <v>4.9999999999999822</v>
      </c>
      <c r="V49" s="247">
        <f t="shared" si="33"/>
        <v>61.000000000000021</v>
      </c>
      <c r="W49" s="23"/>
      <c r="X49" s="23"/>
      <c r="Y49" s="26"/>
      <c r="Z49" s="26"/>
      <c r="AA49" s="503"/>
      <c r="AB49" s="504"/>
      <c r="AC49" s="154" t="s">
        <v>79</v>
      </c>
      <c r="AD49" s="25"/>
      <c r="AE49" s="19">
        <f t="shared" si="8"/>
        <v>-113.11475409836157</v>
      </c>
      <c r="AF49" s="239">
        <f t="shared" si="9"/>
        <v>0.96229508196721281</v>
      </c>
      <c r="AG49" s="510"/>
    </row>
    <row r="50" spans="1:33" ht="15.75" customHeight="1">
      <c r="A50" s="513" t="s">
        <v>1393</v>
      </c>
      <c r="B50" s="42" t="s">
        <v>93</v>
      </c>
      <c r="C50" s="501" t="s">
        <v>113</v>
      </c>
      <c r="D50" s="502"/>
      <c r="E50" s="42">
        <v>34.36</v>
      </c>
      <c r="F50" s="248">
        <v>1688</v>
      </c>
      <c r="G50" s="240">
        <f t="shared" si="31"/>
        <v>57999.68</v>
      </c>
      <c r="H50" s="125" t="s">
        <v>79</v>
      </c>
      <c r="I50" s="246">
        <v>10</v>
      </c>
      <c r="J50" s="37">
        <v>3000</v>
      </c>
      <c r="K50" s="17">
        <f t="shared" si="1"/>
        <v>300</v>
      </c>
      <c r="L50" s="246">
        <v>10</v>
      </c>
      <c r="M50" s="18">
        <f t="shared" si="32"/>
        <v>2893.7142857142826</v>
      </c>
      <c r="N50" s="18">
        <f t="shared" si="3"/>
        <v>289.37142857142828</v>
      </c>
      <c r="O50" s="19">
        <f t="shared" si="4"/>
        <v>0</v>
      </c>
      <c r="P50" s="20">
        <f t="shared" si="5"/>
        <v>-10.628571428571718</v>
      </c>
      <c r="Q50" s="239">
        <f t="shared" si="6"/>
        <v>0.96457142857142764</v>
      </c>
      <c r="R50" s="510"/>
      <c r="S50" s="40">
        <v>0.47499999999999998</v>
      </c>
      <c r="T50" s="40">
        <v>0.49930555555555556</v>
      </c>
      <c r="U50" s="240">
        <f t="shared" si="34"/>
        <v>4.9999999999999822</v>
      </c>
      <c r="V50" s="247">
        <f t="shared" si="33"/>
        <v>35.000000000000036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-106.2857142857174</v>
      </c>
      <c r="AF50" s="239">
        <f t="shared" si="9"/>
        <v>0.96457142857142752</v>
      </c>
      <c r="AG50" s="510"/>
    </row>
    <row r="51" spans="1:33" ht="15.75" customHeight="1">
      <c r="A51" s="514" t="s">
        <v>1393</v>
      </c>
      <c r="B51" s="42" t="s">
        <v>1394</v>
      </c>
      <c r="C51" s="492"/>
      <c r="D51" s="493"/>
      <c r="E51" s="237"/>
      <c r="F51" s="248"/>
      <c r="G51" s="240"/>
      <c r="H51" s="248"/>
      <c r="I51" s="30">
        <v>10.428571428571429</v>
      </c>
      <c r="J51" s="37">
        <v>2857.1428571428573</v>
      </c>
      <c r="K51" s="17">
        <f t="shared" si="1"/>
        <v>273.97260273972603</v>
      </c>
      <c r="L51" s="30">
        <v>10.428571428571429</v>
      </c>
      <c r="M51" s="18">
        <f>AVERAGE(M44:M50)</f>
        <v>2734.3235415705858</v>
      </c>
      <c r="N51" s="17">
        <f t="shared" si="3"/>
        <v>262.19540809580957</v>
      </c>
      <c r="O51" s="19">
        <f t="shared" si="4"/>
        <v>0</v>
      </c>
      <c r="P51" s="20">
        <f t="shared" si="5"/>
        <v>-11.777194643916459</v>
      </c>
      <c r="Q51" s="239">
        <f t="shared" si="6"/>
        <v>0.95701323954970496</v>
      </c>
      <c r="R51" s="511"/>
      <c r="S51" s="40"/>
      <c r="T51" s="40"/>
      <c r="U51" s="240"/>
      <c r="V51" s="247"/>
      <c r="W51" s="23"/>
      <c r="X51" s="23"/>
      <c r="Y51" s="31">
        <f>SUM(Y44:Y50)</f>
        <v>0</v>
      </c>
      <c r="Z51" s="31">
        <f>SUM(Z44:Z50)</f>
        <v>0</v>
      </c>
      <c r="AA51" s="505"/>
      <c r="AB51" s="506"/>
      <c r="AC51" s="31">
        <v>2</v>
      </c>
      <c r="AD51" s="31">
        <f>SUM(AD44:AD50)</f>
        <v>0</v>
      </c>
      <c r="AE51" s="19">
        <f t="shared" si="8"/>
        <v>-122.81931557227153</v>
      </c>
      <c r="AF51" s="239">
        <f t="shared" si="9"/>
        <v>0.95701323954970496</v>
      </c>
      <c r="AG51" s="511"/>
    </row>
    <row r="52" spans="1:33" ht="15.75" customHeight="1">
      <c r="A52" s="507" t="s">
        <v>1395</v>
      </c>
      <c r="B52" s="42" t="s">
        <v>100</v>
      </c>
      <c r="C52" s="490" t="s">
        <v>101</v>
      </c>
      <c r="D52" s="490"/>
      <c r="E52" s="42">
        <v>46</v>
      </c>
      <c r="F52" s="46">
        <v>1526</v>
      </c>
      <c r="G52" s="240">
        <f t="shared" ref="G52:G59" si="35">E52*F52</f>
        <v>70196</v>
      </c>
      <c r="H52" s="125" t="s">
        <v>79</v>
      </c>
      <c r="I52" s="246">
        <v>17</v>
      </c>
      <c r="J52" s="37">
        <v>2000</v>
      </c>
      <c r="K52" s="17">
        <f t="shared" si="1"/>
        <v>117.64705882352941</v>
      </c>
      <c r="L52" s="246">
        <v>17</v>
      </c>
      <c r="M52" s="18">
        <f t="shared" ref="M52:M59" si="36">F52/V52*60</f>
        <v>1907.5000000000005</v>
      </c>
      <c r="N52" s="18">
        <f t="shared" si="3"/>
        <v>112.2058823529412</v>
      </c>
      <c r="O52" s="19">
        <f t="shared" si="4"/>
        <v>0</v>
      </c>
      <c r="P52" s="20">
        <f t="shared" si="5"/>
        <v>-5.4411764705882035</v>
      </c>
      <c r="Q52" s="239">
        <f t="shared" si="6"/>
        <v>0.95375000000000032</v>
      </c>
      <c r="R52" s="489">
        <f>Q60</f>
        <v>0.93258299680175694</v>
      </c>
      <c r="S52" s="40">
        <v>0.20833333333333334</v>
      </c>
      <c r="T52" s="40">
        <v>0.24166666666666667</v>
      </c>
      <c r="U52" s="28"/>
      <c r="V52" s="247">
        <f t="shared" ref="V52:V59" si="37">(T52-S52)*24*60</f>
        <v>47.999999999999986</v>
      </c>
      <c r="W52" s="28"/>
      <c r="X52" s="28"/>
      <c r="Y52" s="28"/>
      <c r="Z52" s="28"/>
      <c r="AA52" s="491"/>
      <c r="AB52" s="491"/>
      <c r="AC52" s="154">
        <v>4</v>
      </c>
      <c r="AD52" s="25"/>
      <c r="AE52" s="19">
        <f t="shared" si="8"/>
        <v>-92.499999999999545</v>
      </c>
      <c r="AF52" s="239">
        <f t="shared" si="9"/>
        <v>0.95375000000000021</v>
      </c>
      <c r="AG52" s="489">
        <f>AF60</f>
        <v>0.93258299680175683</v>
      </c>
    </row>
    <row r="53" spans="1:33" ht="15.75" customHeight="1">
      <c r="A53" s="507" t="s">
        <v>1395</v>
      </c>
      <c r="B53" s="42" t="s">
        <v>100</v>
      </c>
      <c r="C53" s="490" t="s">
        <v>102</v>
      </c>
      <c r="D53" s="490"/>
      <c r="E53" s="42">
        <v>46</v>
      </c>
      <c r="F53" s="46">
        <v>1632</v>
      </c>
      <c r="G53" s="240">
        <f t="shared" si="35"/>
        <v>75072</v>
      </c>
      <c r="H53" s="125" t="s">
        <v>79</v>
      </c>
      <c r="I53" s="246">
        <v>17</v>
      </c>
      <c r="J53" s="37">
        <v>2000</v>
      </c>
      <c r="K53" s="17">
        <f t="shared" si="1"/>
        <v>117.64705882352941</v>
      </c>
      <c r="L53" s="246">
        <v>17</v>
      </c>
      <c r="M53" s="18">
        <f t="shared" si="36"/>
        <v>1920.0000000000009</v>
      </c>
      <c r="N53" s="18">
        <f t="shared" si="3"/>
        <v>112.94117647058829</v>
      </c>
      <c r="O53" s="19">
        <f t="shared" si="4"/>
        <v>0</v>
      </c>
      <c r="P53" s="20">
        <f t="shared" si="5"/>
        <v>-4.7058823529411171</v>
      </c>
      <c r="Q53" s="239">
        <f t="shared" si="6"/>
        <v>0.96000000000000052</v>
      </c>
      <c r="R53" s="489"/>
      <c r="S53" s="40">
        <v>0.24722222222222223</v>
      </c>
      <c r="T53" s="40">
        <v>0.28263888888888888</v>
      </c>
      <c r="U53" s="240">
        <f t="shared" ref="U53:U59" si="38">IF(S53=TIME(17,0,0),"",(S53-T52)*24*60)</f>
        <v>8.0000000000000107</v>
      </c>
      <c r="V53" s="247">
        <f t="shared" si="37"/>
        <v>50.999999999999979</v>
      </c>
      <c r="W53" s="23"/>
      <c r="X53" s="23"/>
      <c r="Y53" s="23"/>
      <c r="Z53" s="23"/>
      <c r="AA53" s="491"/>
      <c r="AB53" s="491"/>
      <c r="AC53" s="154"/>
      <c r="AD53" s="25"/>
      <c r="AE53" s="19">
        <f t="shared" si="8"/>
        <v>-79.999999999999091</v>
      </c>
      <c r="AF53" s="239">
        <f t="shared" si="9"/>
        <v>0.96000000000000041</v>
      </c>
      <c r="AG53" s="489"/>
    </row>
    <row r="54" spans="1:33" ht="15.75" customHeight="1">
      <c r="A54" s="507" t="s">
        <v>1395</v>
      </c>
      <c r="B54" s="42" t="s">
        <v>103</v>
      </c>
      <c r="C54" s="501" t="s">
        <v>105</v>
      </c>
      <c r="D54" s="502"/>
      <c r="E54" s="42">
        <v>56.43</v>
      </c>
      <c r="F54" s="46">
        <v>1836</v>
      </c>
      <c r="G54" s="240">
        <f t="shared" si="35"/>
        <v>103605.48</v>
      </c>
      <c r="H54" s="125" t="s">
        <v>79</v>
      </c>
      <c r="I54" s="246">
        <v>22</v>
      </c>
      <c r="J54" s="37">
        <v>2000</v>
      </c>
      <c r="K54" s="17">
        <f t="shared" si="1"/>
        <v>90.909090909090907</v>
      </c>
      <c r="L54" s="246">
        <v>22</v>
      </c>
      <c r="M54" s="18">
        <f t="shared" si="36"/>
        <v>1694.7692307692305</v>
      </c>
      <c r="N54" s="18">
        <f t="shared" si="3"/>
        <v>77.034965034965026</v>
      </c>
      <c r="O54" s="19">
        <f t="shared" si="4"/>
        <v>0</v>
      </c>
      <c r="P54" s="20">
        <f t="shared" si="5"/>
        <v>-13.87412587412588</v>
      </c>
      <c r="Q54" s="239">
        <f t="shared" si="6"/>
        <v>0.84738461538461529</v>
      </c>
      <c r="R54" s="489"/>
      <c r="S54" s="40">
        <v>0.28611111111111109</v>
      </c>
      <c r="T54" s="40">
        <v>0.33124999999999999</v>
      </c>
      <c r="U54" s="240">
        <f t="shared" si="38"/>
        <v>4.9999999999999822</v>
      </c>
      <c r="V54" s="247">
        <f t="shared" si="37"/>
        <v>65.000000000000014</v>
      </c>
      <c r="W54" s="23"/>
      <c r="X54" s="23"/>
      <c r="Y54" s="26"/>
      <c r="Z54" s="26"/>
      <c r="AA54" s="491"/>
      <c r="AB54" s="491"/>
      <c r="AC54" s="154"/>
      <c r="AD54" s="25"/>
      <c r="AE54" s="19">
        <f t="shared" si="8"/>
        <v>-305.23076923076951</v>
      </c>
      <c r="AF54" s="239">
        <f t="shared" si="9"/>
        <v>0.84738461538461529</v>
      </c>
      <c r="AG54" s="489"/>
    </row>
    <row r="55" spans="1:33" ht="15.75" customHeight="1">
      <c r="A55" s="507" t="s">
        <v>67</v>
      </c>
      <c r="B55" s="42" t="s">
        <v>103</v>
      </c>
      <c r="C55" s="242" t="s">
        <v>518</v>
      </c>
      <c r="D55" s="243"/>
      <c r="E55" s="42">
        <v>51.75</v>
      </c>
      <c r="F55" s="46">
        <v>2056</v>
      </c>
      <c r="G55" s="240">
        <f t="shared" si="35"/>
        <v>106398</v>
      </c>
      <c r="H55" s="125" t="s">
        <v>79</v>
      </c>
      <c r="I55" s="246">
        <v>25</v>
      </c>
      <c r="J55" s="37">
        <v>2000</v>
      </c>
      <c r="K55" s="17">
        <f t="shared" si="1"/>
        <v>80</v>
      </c>
      <c r="L55" s="246">
        <v>25</v>
      </c>
      <c r="M55" s="18">
        <f t="shared" si="36"/>
        <v>1737.4647887323947</v>
      </c>
      <c r="N55" s="18">
        <f t="shared" si="3"/>
        <v>69.498591549295782</v>
      </c>
      <c r="O55" s="19">
        <f t="shared" si="4"/>
        <v>0</v>
      </c>
      <c r="P55" s="20">
        <f t="shared" si="5"/>
        <v>-10.501408450704218</v>
      </c>
      <c r="Q55" s="239">
        <f t="shared" si="6"/>
        <v>0.86873239436619731</v>
      </c>
      <c r="R55" s="489"/>
      <c r="S55" s="40">
        <v>0.3347222222222222</v>
      </c>
      <c r="T55" s="40">
        <v>0.38402777777777775</v>
      </c>
      <c r="U55" s="240">
        <f t="shared" si="38"/>
        <v>4.9999999999999822</v>
      </c>
      <c r="V55" s="247">
        <f t="shared" si="37"/>
        <v>70.999999999999986</v>
      </c>
      <c r="W55" s="23"/>
      <c r="X55" s="23"/>
      <c r="Y55" s="26"/>
      <c r="Z55" s="26"/>
      <c r="AA55" s="491"/>
      <c r="AB55" s="491"/>
      <c r="AC55" s="154"/>
      <c r="AD55" s="25"/>
      <c r="AE55" s="19">
        <f t="shared" si="8"/>
        <v>-262.53521126760529</v>
      </c>
      <c r="AF55" s="239">
        <f t="shared" si="9"/>
        <v>0.86873239436619731</v>
      </c>
      <c r="AG55" s="489"/>
    </row>
    <row r="56" spans="1:33" ht="15.75" customHeight="1">
      <c r="A56" s="507" t="s">
        <v>67</v>
      </c>
      <c r="B56" s="42" t="s">
        <v>103</v>
      </c>
      <c r="C56" s="242" t="s">
        <v>106</v>
      </c>
      <c r="D56" s="243"/>
      <c r="E56" s="42">
        <v>55.56</v>
      </c>
      <c r="F56" s="46">
        <v>1530</v>
      </c>
      <c r="G56" s="240">
        <f t="shared" si="35"/>
        <v>85006.8</v>
      </c>
      <c r="H56" s="125" t="s">
        <v>79</v>
      </c>
      <c r="I56" s="246">
        <v>17</v>
      </c>
      <c r="J56" s="37">
        <v>2000</v>
      </c>
      <c r="K56" s="17">
        <f t="shared" si="1"/>
        <v>117.64705882352941</v>
      </c>
      <c r="L56" s="246">
        <v>17</v>
      </c>
      <c r="M56" s="18">
        <f t="shared" si="36"/>
        <v>1912.5000000000007</v>
      </c>
      <c r="N56" s="18">
        <f t="shared" si="3"/>
        <v>112.50000000000004</v>
      </c>
      <c r="O56" s="19">
        <f t="shared" si="4"/>
        <v>0</v>
      </c>
      <c r="P56" s="20">
        <f t="shared" si="5"/>
        <v>-5.1470588235293633</v>
      </c>
      <c r="Q56" s="239">
        <f t="shared" si="6"/>
        <v>0.95625000000000038</v>
      </c>
      <c r="R56" s="489"/>
      <c r="S56" s="40">
        <v>0.70833333333333337</v>
      </c>
      <c r="T56" s="40">
        <v>0.7416666666666667</v>
      </c>
      <c r="U56" s="240" t="str">
        <f t="shared" si="38"/>
        <v/>
      </c>
      <c r="V56" s="247">
        <f t="shared" si="37"/>
        <v>47.999999999999986</v>
      </c>
      <c r="W56" s="23"/>
      <c r="X56" s="23"/>
      <c r="Y56" s="26"/>
      <c r="Z56" s="26"/>
      <c r="AA56" s="491"/>
      <c r="AB56" s="491"/>
      <c r="AC56" s="154"/>
      <c r="AD56" s="25"/>
      <c r="AE56" s="19">
        <f t="shared" si="8"/>
        <v>-87.499999999999318</v>
      </c>
      <c r="AF56" s="239">
        <f t="shared" si="9"/>
        <v>0.95625000000000038</v>
      </c>
      <c r="AG56" s="489"/>
    </row>
    <row r="57" spans="1:33" ht="15.75" customHeight="1">
      <c r="A57" s="507" t="s">
        <v>1395</v>
      </c>
      <c r="B57" s="42" t="s">
        <v>103</v>
      </c>
      <c r="C57" s="501" t="s">
        <v>107</v>
      </c>
      <c r="D57" s="502"/>
      <c r="E57" s="42">
        <v>55.32</v>
      </c>
      <c r="F57" s="46">
        <v>1057</v>
      </c>
      <c r="G57" s="240">
        <f t="shared" si="35"/>
        <v>58473.24</v>
      </c>
      <c r="H57" s="125" t="s">
        <v>79</v>
      </c>
      <c r="I57" s="246">
        <v>15</v>
      </c>
      <c r="J57" s="37">
        <v>2000</v>
      </c>
      <c r="K57" s="17">
        <f t="shared" si="1"/>
        <v>133.33333333333334</v>
      </c>
      <c r="L57" s="246">
        <v>15</v>
      </c>
      <c r="M57" s="18">
        <f t="shared" si="36"/>
        <v>1921.8181818181793</v>
      </c>
      <c r="N57" s="18">
        <f t="shared" si="3"/>
        <v>128.12121212121195</v>
      </c>
      <c r="O57" s="19">
        <f t="shared" si="4"/>
        <v>0</v>
      </c>
      <c r="P57" s="20">
        <f t="shared" si="5"/>
        <v>-5.2121212121213887</v>
      </c>
      <c r="Q57" s="239">
        <f t="shared" si="6"/>
        <v>0.9609090909090896</v>
      </c>
      <c r="R57" s="489"/>
      <c r="S57" s="40">
        <v>0.74722222222222223</v>
      </c>
      <c r="T57" s="40">
        <v>0.77013888888888893</v>
      </c>
      <c r="U57" s="240">
        <f t="shared" si="38"/>
        <v>7.9999999999999716</v>
      </c>
      <c r="V57" s="247">
        <f t="shared" si="37"/>
        <v>33.000000000000043</v>
      </c>
      <c r="W57" s="23"/>
      <c r="X57" s="23"/>
      <c r="Y57" s="26"/>
      <c r="Z57" s="26"/>
      <c r="AA57" s="503"/>
      <c r="AB57" s="504"/>
      <c r="AC57" s="154"/>
      <c r="AD57" s="25"/>
      <c r="AE57" s="19">
        <f t="shared" si="8"/>
        <v>-78.181818181820745</v>
      </c>
      <c r="AF57" s="239">
        <f t="shared" si="9"/>
        <v>0.9609090909090896</v>
      </c>
      <c r="AG57" s="489"/>
    </row>
    <row r="58" spans="1:33" ht="15.75" customHeight="1">
      <c r="A58" s="507" t="s">
        <v>1395</v>
      </c>
      <c r="B58" s="42" t="s">
        <v>103</v>
      </c>
      <c r="C58" s="501" t="s">
        <v>516</v>
      </c>
      <c r="D58" s="502"/>
      <c r="E58" s="42">
        <v>50.67</v>
      </c>
      <c r="F58" s="46">
        <v>1339</v>
      </c>
      <c r="G58" s="240">
        <f t="shared" si="35"/>
        <v>67847.13</v>
      </c>
      <c r="H58" s="125" t="s">
        <v>79</v>
      </c>
      <c r="I58" s="246">
        <v>16</v>
      </c>
      <c r="J58" s="37">
        <v>2000</v>
      </c>
      <c r="K58" s="17">
        <f t="shared" si="1"/>
        <v>125</v>
      </c>
      <c r="L58" s="246">
        <v>16</v>
      </c>
      <c r="M58" s="18">
        <f t="shared" si="36"/>
        <v>1912.8571428571422</v>
      </c>
      <c r="N58" s="18">
        <f t="shared" si="3"/>
        <v>119.55357142857139</v>
      </c>
      <c r="O58" s="19">
        <f t="shared" si="4"/>
        <v>0</v>
      </c>
      <c r="P58" s="20">
        <f t="shared" si="5"/>
        <v>-5.446428571428612</v>
      </c>
      <c r="Q58" s="239">
        <f t="shared" si="6"/>
        <v>0.95642857142857107</v>
      </c>
      <c r="R58" s="489"/>
      <c r="S58" s="40">
        <v>0.77500000000000002</v>
      </c>
      <c r="T58" s="40">
        <v>0.8041666666666667</v>
      </c>
      <c r="U58" s="240">
        <f t="shared" si="38"/>
        <v>6.9999999999999751</v>
      </c>
      <c r="V58" s="247">
        <f t="shared" si="37"/>
        <v>42.000000000000014</v>
      </c>
      <c r="W58" s="23"/>
      <c r="X58" s="23"/>
      <c r="Y58" s="26"/>
      <c r="Z58" s="26"/>
      <c r="AA58" s="503"/>
      <c r="AB58" s="504"/>
      <c r="AC58" s="154"/>
      <c r="AD58" s="25"/>
      <c r="AE58" s="19">
        <f t="shared" si="8"/>
        <v>-87.142857142857792</v>
      </c>
      <c r="AF58" s="239">
        <f t="shared" si="9"/>
        <v>0.95642857142857107</v>
      </c>
      <c r="AG58" s="489"/>
    </row>
    <row r="59" spans="1:33" ht="15.75" customHeight="1">
      <c r="A59" s="507" t="s">
        <v>1395</v>
      </c>
      <c r="B59" s="42" t="s">
        <v>103</v>
      </c>
      <c r="C59" s="501" t="s">
        <v>108</v>
      </c>
      <c r="D59" s="502"/>
      <c r="E59" s="42">
        <v>54.29</v>
      </c>
      <c r="F59" s="46">
        <v>1372</v>
      </c>
      <c r="G59" s="240">
        <f t="shared" si="35"/>
        <v>74485.88</v>
      </c>
      <c r="H59" s="125" t="s">
        <v>79</v>
      </c>
      <c r="I59" s="246">
        <v>20</v>
      </c>
      <c r="J59" s="37">
        <v>2000</v>
      </c>
      <c r="K59" s="17">
        <f t="shared" si="1"/>
        <v>100</v>
      </c>
      <c r="L59" s="246">
        <v>20</v>
      </c>
      <c r="M59" s="18">
        <f t="shared" si="36"/>
        <v>1914.4186046511625</v>
      </c>
      <c r="N59" s="18">
        <f t="shared" si="3"/>
        <v>95.720930232558118</v>
      </c>
      <c r="O59" s="19">
        <f t="shared" si="4"/>
        <v>0</v>
      </c>
      <c r="P59" s="20">
        <f t="shared" si="5"/>
        <v>-4.2790697674418823</v>
      </c>
      <c r="Q59" s="239">
        <f t="shared" si="6"/>
        <v>0.95720930232558121</v>
      </c>
      <c r="R59" s="489"/>
      <c r="S59" s="40">
        <v>0.80902777777777779</v>
      </c>
      <c r="T59" s="40">
        <v>0.83888888888888891</v>
      </c>
      <c r="U59" s="240">
        <f t="shared" si="38"/>
        <v>6.9999999999999751</v>
      </c>
      <c r="V59" s="247">
        <f t="shared" si="37"/>
        <v>43.000000000000007</v>
      </c>
      <c r="W59" s="23"/>
      <c r="X59" s="23"/>
      <c r="Y59" s="26"/>
      <c r="Z59" s="26"/>
      <c r="AA59" s="503"/>
      <c r="AB59" s="504"/>
      <c r="AC59" s="154"/>
      <c r="AD59" s="25"/>
      <c r="AE59" s="19">
        <f t="shared" si="8"/>
        <v>-85.581395348837532</v>
      </c>
      <c r="AF59" s="239">
        <f t="shared" si="9"/>
        <v>0.95720930232558121</v>
      </c>
      <c r="AG59" s="489"/>
    </row>
    <row r="60" spans="1:33">
      <c r="A60" s="508" t="s">
        <v>67</v>
      </c>
      <c r="B60" s="42" t="s">
        <v>299</v>
      </c>
      <c r="C60" s="494"/>
      <c r="D60" s="494"/>
      <c r="E60" s="241"/>
      <c r="F60" s="44"/>
      <c r="G60" s="17"/>
      <c r="H60" s="248"/>
      <c r="I60" s="30">
        <v>18.625</v>
      </c>
      <c r="J60" s="37">
        <v>2000</v>
      </c>
      <c r="K60" s="17">
        <f t="shared" si="1"/>
        <v>107.38255033557047</v>
      </c>
      <c r="L60" s="30">
        <v>18.625</v>
      </c>
      <c r="M60" s="18">
        <f>AVERAGE(M52:M59)</f>
        <v>1865.1659936035137</v>
      </c>
      <c r="N60" s="17">
        <f t="shared" si="3"/>
        <v>100.14314059616181</v>
      </c>
      <c r="O60" s="19">
        <f t="shared" si="4"/>
        <v>0</v>
      </c>
      <c r="P60" s="20">
        <f t="shared" si="5"/>
        <v>-7.2394097394086572</v>
      </c>
      <c r="Q60" s="239">
        <f t="shared" si="6"/>
        <v>0.93258299680175694</v>
      </c>
      <c r="R60" s="489"/>
      <c r="S60" s="41"/>
      <c r="T60" s="40"/>
      <c r="U60" s="17"/>
      <c r="V60" s="247"/>
      <c r="W60" s="17"/>
      <c r="X60" s="17"/>
      <c r="Y60" s="31">
        <f>SUM(Y52:Y59)</f>
        <v>0</v>
      </c>
      <c r="Z60" s="31">
        <f>SUM(Z52:Z59)</f>
        <v>0</v>
      </c>
      <c r="AA60" s="495"/>
      <c r="AB60" s="495"/>
      <c r="AC60" s="31">
        <v>4</v>
      </c>
      <c r="AD60" s="31">
        <f>SUM(AD52:AD59)</f>
        <v>0</v>
      </c>
      <c r="AE60" s="19">
        <f t="shared" si="8"/>
        <v>-134.8340063964863</v>
      </c>
      <c r="AF60" s="239">
        <f t="shared" si="9"/>
        <v>0.93258299680175683</v>
      </c>
      <c r="AG60" s="489"/>
    </row>
    <row r="61" spans="1:33" ht="15.75" customHeight="1">
      <c r="A61" s="499" t="s">
        <v>72</v>
      </c>
      <c r="B61" s="248" t="s">
        <v>100</v>
      </c>
      <c r="C61" s="490" t="s">
        <v>109</v>
      </c>
      <c r="D61" s="490"/>
      <c r="E61" s="42">
        <v>26.97</v>
      </c>
      <c r="F61" s="46">
        <v>2233</v>
      </c>
      <c r="G61" s="240">
        <f t="shared" ref="G61:G64" si="39">E61*F61</f>
        <v>60224.009999999995</v>
      </c>
      <c r="H61" s="125" t="s">
        <v>79</v>
      </c>
      <c r="I61" s="246">
        <v>8</v>
      </c>
      <c r="J61" s="37">
        <v>1500</v>
      </c>
      <c r="K61" s="17">
        <f t="shared" si="1"/>
        <v>187.5</v>
      </c>
      <c r="L61" s="246">
        <v>8</v>
      </c>
      <c r="M61" s="18">
        <f t="shared" ref="M61:M64" si="40">F61/V61*60</f>
        <v>1440.6451612903222</v>
      </c>
      <c r="N61" s="17">
        <f t="shared" si="3"/>
        <v>180.08064516129028</v>
      </c>
      <c r="O61" s="19">
        <f t="shared" si="4"/>
        <v>0</v>
      </c>
      <c r="P61" s="20">
        <f t="shared" si="5"/>
        <v>-7.4193548387097223</v>
      </c>
      <c r="Q61" s="239">
        <f t="shared" si="6"/>
        <v>0.96043010752688152</v>
      </c>
      <c r="R61" s="489">
        <f>Q65</f>
        <v>0.9625075191644803</v>
      </c>
      <c r="S61" s="40">
        <v>0.20833333333333334</v>
      </c>
      <c r="T61" s="40">
        <v>0.2729166666666667</v>
      </c>
      <c r="U61" s="240"/>
      <c r="V61" s="247">
        <f t="shared" ref="V61:V64" si="41">(T61-S61)*24*60</f>
        <v>93.000000000000028</v>
      </c>
      <c r="W61" s="28"/>
      <c r="X61" s="28"/>
      <c r="Y61" s="28"/>
      <c r="Z61" s="28"/>
      <c r="AA61" s="491"/>
      <c r="AB61" s="491"/>
      <c r="AC61" s="154" t="s">
        <v>79</v>
      </c>
      <c r="AD61" s="25"/>
      <c r="AE61" s="19">
        <f t="shared" si="8"/>
        <v>-59.354838709677779</v>
      </c>
      <c r="AF61" s="239">
        <f t="shared" si="9"/>
        <v>0.96043010752688152</v>
      </c>
      <c r="AG61" s="489">
        <f>AF65</f>
        <v>0.9625075191644803</v>
      </c>
    </row>
    <row r="62" spans="1:33" ht="15.75" customHeight="1">
      <c r="A62" s="499" t="s">
        <v>1396</v>
      </c>
      <c r="B62" s="248" t="s">
        <v>93</v>
      </c>
      <c r="C62" s="490" t="s">
        <v>110</v>
      </c>
      <c r="D62" s="490"/>
      <c r="E62" s="42">
        <v>26.78</v>
      </c>
      <c r="F62" s="46">
        <v>2423</v>
      </c>
      <c r="G62" s="240">
        <f t="shared" si="39"/>
        <v>64887.94</v>
      </c>
      <c r="H62" s="125" t="s">
        <v>79</v>
      </c>
      <c r="I62" s="246">
        <v>10</v>
      </c>
      <c r="J62" s="37">
        <v>3000</v>
      </c>
      <c r="K62" s="17">
        <f t="shared" si="1"/>
        <v>300</v>
      </c>
      <c r="L62" s="246">
        <v>10</v>
      </c>
      <c r="M62" s="18">
        <f t="shared" si="40"/>
        <v>2907.6000000000008</v>
      </c>
      <c r="N62" s="17">
        <f t="shared" si="3"/>
        <v>290.7600000000001</v>
      </c>
      <c r="O62" s="19">
        <f t="shared" si="4"/>
        <v>0</v>
      </c>
      <c r="P62" s="20">
        <f t="shared" si="5"/>
        <v>-9.2399999999998954</v>
      </c>
      <c r="Q62" s="239">
        <f t="shared" si="6"/>
        <v>0.96920000000000039</v>
      </c>
      <c r="R62" s="489"/>
      <c r="S62" s="40">
        <v>0.27708333333333335</v>
      </c>
      <c r="T62" s="40">
        <v>0.31180555555555556</v>
      </c>
      <c r="U62" s="240">
        <f t="shared" ref="U62:U64" si="42">(S62-T61)*24*60</f>
        <v>5.9999999999999787</v>
      </c>
      <c r="V62" s="247">
        <f t="shared" si="41"/>
        <v>49.999999999999986</v>
      </c>
      <c r="W62" s="240"/>
      <c r="X62" s="240"/>
      <c r="Y62" s="240"/>
      <c r="Z62" s="240"/>
      <c r="AA62" s="491"/>
      <c r="AB62" s="491"/>
      <c r="AC62" s="154" t="s">
        <v>79</v>
      </c>
      <c r="AD62" s="25"/>
      <c r="AE62" s="19">
        <f t="shared" si="8"/>
        <v>-92.399999999999181</v>
      </c>
      <c r="AF62" s="239">
        <f t="shared" si="9"/>
        <v>0.96920000000000028</v>
      </c>
      <c r="AG62" s="489"/>
    </row>
    <row r="63" spans="1:33" ht="15.75" customHeight="1">
      <c r="A63" s="499" t="s">
        <v>1396</v>
      </c>
      <c r="B63" s="248" t="s">
        <v>100</v>
      </c>
      <c r="C63" s="490" t="s">
        <v>519</v>
      </c>
      <c r="D63" s="490"/>
      <c r="E63" s="42">
        <v>27.4</v>
      </c>
      <c r="F63" s="46">
        <v>2634</v>
      </c>
      <c r="G63" s="240">
        <f t="shared" si="39"/>
        <v>72171.599999999991</v>
      </c>
      <c r="H63" s="125" t="s">
        <v>79</v>
      </c>
      <c r="I63" s="246">
        <v>10</v>
      </c>
      <c r="J63" s="37">
        <v>1500</v>
      </c>
      <c r="K63" s="17">
        <f t="shared" si="1"/>
        <v>150</v>
      </c>
      <c r="L63" s="246">
        <v>10</v>
      </c>
      <c r="M63" s="18">
        <f t="shared" si="40"/>
        <v>1436.7272727272725</v>
      </c>
      <c r="N63" s="17">
        <f t="shared" si="3"/>
        <v>143.67272727272726</v>
      </c>
      <c r="O63" s="19">
        <f t="shared" si="4"/>
        <v>0</v>
      </c>
      <c r="P63" s="20">
        <f t="shared" si="5"/>
        <v>-6.3272727272727423</v>
      </c>
      <c r="Q63" s="239">
        <f t="shared" si="6"/>
        <v>0.95781818181818168</v>
      </c>
      <c r="R63" s="489"/>
      <c r="S63" s="40">
        <v>0.31527777777777777</v>
      </c>
      <c r="T63" s="40">
        <v>0.39166666666666666</v>
      </c>
      <c r="U63" s="240">
        <f t="shared" si="42"/>
        <v>4.9999999999999822</v>
      </c>
      <c r="V63" s="247">
        <f t="shared" si="41"/>
        <v>110.00000000000001</v>
      </c>
      <c r="W63" s="240"/>
      <c r="X63" s="240"/>
      <c r="Y63" s="240"/>
      <c r="Z63" s="240"/>
      <c r="AA63" s="491"/>
      <c r="AB63" s="491"/>
      <c r="AC63" s="154" t="s">
        <v>79</v>
      </c>
      <c r="AD63" s="25"/>
      <c r="AE63" s="19">
        <f t="shared" si="8"/>
        <v>-63.272727272727479</v>
      </c>
      <c r="AF63" s="239">
        <f t="shared" si="9"/>
        <v>0.95781818181818168</v>
      </c>
      <c r="AG63" s="489"/>
    </row>
    <row r="64" spans="1:33" ht="15.75" customHeight="1">
      <c r="A64" s="499" t="s">
        <v>72</v>
      </c>
      <c r="B64" s="248" t="s">
        <v>93</v>
      </c>
      <c r="C64" s="490" t="s">
        <v>1235</v>
      </c>
      <c r="D64" s="490"/>
      <c r="E64" s="42">
        <v>36.17</v>
      </c>
      <c r="F64" s="46">
        <v>5458</v>
      </c>
      <c r="G64" s="240">
        <f t="shared" si="39"/>
        <v>197415.86000000002</v>
      </c>
      <c r="H64" s="125" t="s">
        <v>79</v>
      </c>
      <c r="I64" s="246">
        <v>12</v>
      </c>
      <c r="J64" s="37">
        <v>2000</v>
      </c>
      <c r="K64" s="17">
        <f t="shared" si="1"/>
        <v>166.66666666666666</v>
      </c>
      <c r="L64" s="246">
        <v>12</v>
      </c>
      <c r="M64" s="18">
        <f t="shared" si="40"/>
        <v>1915.0877192982464</v>
      </c>
      <c r="N64" s="17">
        <f t="shared" si="3"/>
        <v>159.59064327485387</v>
      </c>
      <c r="O64" s="19">
        <f t="shared" si="4"/>
        <v>0</v>
      </c>
      <c r="P64" s="20">
        <f t="shared" si="5"/>
        <v>-7.0760233918127824</v>
      </c>
      <c r="Q64" s="239">
        <f t="shared" si="6"/>
        <v>0.95754385964912325</v>
      </c>
      <c r="R64" s="489"/>
      <c r="S64" s="40">
        <v>0.39513888888888887</v>
      </c>
      <c r="T64" s="40">
        <v>0.51388888888888884</v>
      </c>
      <c r="U64" s="240">
        <f t="shared" si="42"/>
        <v>4.9999999999999822</v>
      </c>
      <c r="V64" s="247">
        <f t="shared" si="41"/>
        <v>170.99999999999994</v>
      </c>
      <c r="W64" s="240"/>
      <c r="X64" s="240"/>
      <c r="Y64" s="240"/>
      <c r="Z64" s="240"/>
      <c r="AA64" s="491"/>
      <c r="AB64" s="491"/>
      <c r="AC64" s="154">
        <v>1</v>
      </c>
      <c r="AD64" s="25"/>
      <c r="AE64" s="19">
        <f t="shared" si="8"/>
        <v>-84.912280701753616</v>
      </c>
      <c r="AF64" s="239">
        <f t="shared" si="9"/>
        <v>0.95754385964912314</v>
      </c>
      <c r="AG64" s="489"/>
    </row>
    <row r="65" spans="1:33">
      <c r="A65" s="500" t="s">
        <v>72</v>
      </c>
      <c r="B65" s="42" t="s">
        <v>1397</v>
      </c>
      <c r="C65" s="494"/>
      <c r="D65" s="494"/>
      <c r="E65" s="241"/>
      <c r="F65" s="44"/>
      <c r="G65" s="17"/>
      <c r="H65" s="248"/>
      <c r="I65" s="30">
        <v>10</v>
      </c>
      <c r="J65" s="37">
        <v>2000</v>
      </c>
      <c r="K65" s="17">
        <f t="shared" si="1"/>
        <v>200</v>
      </c>
      <c r="L65" s="30">
        <v>10</v>
      </c>
      <c r="M65" s="18">
        <f>AVERAGE(M61:M64)</f>
        <v>1925.0150383289606</v>
      </c>
      <c r="N65" s="17">
        <f t="shared" si="3"/>
        <v>192.50150383289605</v>
      </c>
      <c r="O65" s="19">
        <f t="shared" si="4"/>
        <v>0</v>
      </c>
      <c r="P65" s="20">
        <f t="shared" si="5"/>
        <v>-7.4984961671039514</v>
      </c>
      <c r="Q65" s="239">
        <f t="shared" si="6"/>
        <v>0.9625075191644803</v>
      </c>
      <c r="R65" s="489"/>
      <c r="S65" s="40"/>
      <c r="T65" s="40"/>
      <c r="U65" s="17"/>
      <c r="V65" s="247"/>
      <c r="W65" s="17"/>
      <c r="X65" s="17"/>
      <c r="Y65" s="31">
        <f>SUM(Y61:Y64)</f>
        <v>0</v>
      </c>
      <c r="Z65" s="31">
        <f>SUM(Z61:Z64)</f>
        <v>0</v>
      </c>
      <c r="AA65" s="495"/>
      <c r="AB65" s="495"/>
      <c r="AC65" s="31">
        <v>1</v>
      </c>
      <c r="AD65" s="31">
        <f>SUM(AD61:AD64)</f>
        <v>0</v>
      </c>
      <c r="AE65" s="19">
        <f t="shared" si="8"/>
        <v>-74.9849616710394</v>
      </c>
      <c r="AF65" s="239">
        <f t="shared" si="9"/>
        <v>0.9625075191644803</v>
      </c>
      <c r="AG65" s="489"/>
    </row>
    <row r="66" spans="1:33" ht="15.75" customHeight="1">
      <c r="A66" s="496" t="s">
        <v>1398</v>
      </c>
      <c r="B66" s="248" t="s">
        <v>80</v>
      </c>
      <c r="C66" s="490" t="s">
        <v>115</v>
      </c>
      <c r="D66" s="490"/>
      <c r="E66" s="42">
        <v>20.2</v>
      </c>
      <c r="F66" s="248">
        <v>1822</v>
      </c>
      <c r="G66" s="240">
        <f t="shared" ref="G66:G70" si="43">E66*F66</f>
        <v>36804.400000000001</v>
      </c>
      <c r="H66" s="125" t="s">
        <v>79</v>
      </c>
      <c r="I66" s="246">
        <v>19</v>
      </c>
      <c r="J66" s="37">
        <v>2400</v>
      </c>
      <c r="K66" s="17">
        <f t="shared" si="1"/>
        <v>126.31578947368421</v>
      </c>
      <c r="L66" s="246">
        <v>19</v>
      </c>
      <c r="M66" s="18">
        <f t="shared" ref="M66:M70" si="44">F66/V66*60</f>
        <v>2325.9574468085102</v>
      </c>
      <c r="N66" s="17">
        <f t="shared" si="3"/>
        <v>122.41881298992159</v>
      </c>
      <c r="O66" s="19">
        <f t="shared" si="4"/>
        <v>0</v>
      </c>
      <c r="P66" s="20">
        <f t="shared" si="5"/>
        <v>-3.8969764837626144</v>
      </c>
      <c r="Q66" s="239">
        <f t="shared" si="6"/>
        <v>0.96914893617021258</v>
      </c>
      <c r="R66" s="489">
        <f>Q71</f>
        <v>0.95666115003182894</v>
      </c>
      <c r="S66" s="40">
        <v>8.3333333333333329E-2</v>
      </c>
      <c r="T66" s="40">
        <v>0.11597222222222223</v>
      </c>
      <c r="U66" s="28"/>
      <c r="V66" s="247">
        <f t="shared" ref="V66:V70" si="45">(T66-S66)*24*60</f>
        <v>47.000000000000014</v>
      </c>
      <c r="W66" s="23">
        <f>T66</f>
        <v>0.11597222222222223</v>
      </c>
      <c r="X66" s="23">
        <f>S67</f>
        <v>0.13472222222222222</v>
      </c>
      <c r="Y66" s="23"/>
      <c r="Z66" s="23"/>
      <c r="AA66" s="491"/>
      <c r="AB66" s="491"/>
      <c r="AC66" s="154">
        <v>6</v>
      </c>
      <c r="AD66" s="25"/>
      <c r="AE66" s="19">
        <f t="shared" si="8"/>
        <v>-74.042553191489787</v>
      </c>
      <c r="AF66" s="239">
        <f t="shared" si="9"/>
        <v>0.96914893617021258</v>
      </c>
      <c r="AG66" s="489">
        <f>AF71</f>
        <v>0.95666115003182883</v>
      </c>
    </row>
    <row r="67" spans="1:33" ht="15.75" customHeight="1">
      <c r="A67" s="497" t="s">
        <v>75</v>
      </c>
      <c r="B67" s="248" t="s">
        <v>80</v>
      </c>
      <c r="C67" s="490" t="s">
        <v>116</v>
      </c>
      <c r="D67" s="490"/>
      <c r="E67" s="42">
        <v>20.52</v>
      </c>
      <c r="F67" s="248">
        <v>2857</v>
      </c>
      <c r="G67" s="240">
        <f t="shared" si="43"/>
        <v>58625.64</v>
      </c>
      <c r="H67" s="125" t="s">
        <v>79</v>
      </c>
      <c r="I67" s="246">
        <v>18</v>
      </c>
      <c r="J67" s="37">
        <v>2400</v>
      </c>
      <c r="K67" s="17">
        <f t="shared" si="1"/>
        <v>133.33333333333334</v>
      </c>
      <c r="L67" s="246">
        <v>18</v>
      </c>
      <c r="M67" s="18">
        <f t="shared" si="44"/>
        <v>2285.5999999999995</v>
      </c>
      <c r="N67" s="17">
        <f t="shared" si="3"/>
        <v>126.97777777777775</v>
      </c>
      <c r="O67" s="19">
        <f t="shared" si="4"/>
        <v>0</v>
      </c>
      <c r="P67" s="20">
        <f t="shared" si="5"/>
        <v>-6.3555555555555969</v>
      </c>
      <c r="Q67" s="239">
        <f t="shared" si="6"/>
        <v>0.95233333333333303</v>
      </c>
      <c r="R67" s="489"/>
      <c r="S67" s="40">
        <v>0.13472222222222222</v>
      </c>
      <c r="T67" s="40">
        <v>0.18680555555555556</v>
      </c>
      <c r="U67" s="240">
        <f t="shared" ref="U67:U70" si="46">(S67-T66)*24*60</f>
        <v>26.999999999999986</v>
      </c>
      <c r="V67" s="247">
        <f t="shared" si="45"/>
        <v>75.000000000000014</v>
      </c>
      <c r="W67" s="23"/>
      <c r="X67" s="23"/>
      <c r="Y67" s="23"/>
      <c r="Z67" s="23"/>
      <c r="AA67" s="491"/>
      <c r="AB67" s="491"/>
      <c r="AC67" s="154"/>
      <c r="AD67" s="25"/>
      <c r="AE67" s="19">
        <f t="shared" si="8"/>
        <v>-114.40000000000055</v>
      </c>
      <c r="AF67" s="239">
        <f t="shared" si="9"/>
        <v>0.95233333333333314</v>
      </c>
      <c r="AG67" s="489"/>
    </row>
    <row r="68" spans="1:33" ht="15.75" customHeight="1">
      <c r="A68" s="497" t="s">
        <v>75</v>
      </c>
      <c r="B68" s="248" t="s">
        <v>80</v>
      </c>
      <c r="C68" s="490" t="s">
        <v>117</v>
      </c>
      <c r="D68" s="490"/>
      <c r="E68" s="42">
        <v>24.43</v>
      </c>
      <c r="F68" s="248">
        <v>5218</v>
      </c>
      <c r="G68" s="240">
        <f t="shared" si="43"/>
        <v>127475.74</v>
      </c>
      <c r="H68" s="125" t="s">
        <v>79</v>
      </c>
      <c r="I68" s="246">
        <v>14</v>
      </c>
      <c r="J68" s="37">
        <v>2400</v>
      </c>
      <c r="K68" s="17">
        <f t="shared" si="1"/>
        <v>171.42857142857142</v>
      </c>
      <c r="L68" s="246">
        <v>14</v>
      </c>
      <c r="M68" s="18">
        <f t="shared" si="44"/>
        <v>2285.255474452556</v>
      </c>
      <c r="N68" s="17">
        <f t="shared" si="3"/>
        <v>163.23253388946827</v>
      </c>
      <c r="O68" s="19">
        <f t="shared" si="4"/>
        <v>0</v>
      </c>
      <c r="P68" s="20">
        <f t="shared" si="5"/>
        <v>-8.1960375391031448</v>
      </c>
      <c r="Q68" s="239">
        <f t="shared" si="6"/>
        <v>0.95218978102189833</v>
      </c>
      <c r="R68" s="489"/>
      <c r="S68" s="40">
        <v>0.19236111111111112</v>
      </c>
      <c r="T68" s="40">
        <v>0.28749999999999998</v>
      </c>
      <c r="U68" s="240">
        <f t="shared" si="46"/>
        <v>8.0000000000000107</v>
      </c>
      <c r="V68" s="247">
        <f t="shared" si="45"/>
        <v>136.99999999999994</v>
      </c>
      <c r="W68" s="23"/>
      <c r="X68" s="23"/>
      <c r="Y68" s="23"/>
      <c r="Z68" s="23"/>
      <c r="AA68" s="491"/>
      <c r="AB68" s="491"/>
      <c r="AC68" s="154"/>
      <c r="AD68" s="25"/>
      <c r="AE68" s="19">
        <f t="shared" si="8"/>
        <v>-114.74452554744403</v>
      </c>
      <c r="AF68" s="239">
        <f t="shared" si="9"/>
        <v>0.95218978102189833</v>
      </c>
      <c r="AG68" s="489"/>
    </row>
    <row r="69" spans="1:33" ht="15.75" customHeight="1">
      <c r="A69" s="497" t="s">
        <v>75</v>
      </c>
      <c r="B69" s="248" t="s">
        <v>80</v>
      </c>
      <c r="C69" s="490" t="s">
        <v>118</v>
      </c>
      <c r="D69" s="490"/>
      <c r="E69" s="42">
        <v>20.21</v>
      </c>
      <c r="F69" s="248">
        <v>3480</v>
      </c>
      <c r="G69" s="240">
        <f t="shared" si="43"/>
        <v>70330.8</v>
      </c>
      <c r="H69" s="125" t="s">
        <v>79</v>
      </c>
      <c r="I69" s="246">
        <v>16</v>
      </c>
      <c r="J69" s="37">
        <v>2400</v>
      </c>
      <c r="K69" s="17">
        <f t="shared" ref="K69:K71" si="47">J69/I69</f>
        <v>150</v>
      </c>
      <c r="L69" s="246">
        <v>16</v>
      </c>
      <c r="M69" s="18">
        <f t="shared" si="44"/>
        <v>2294.5054945054944</v>
      </c>
      <c r="N69" s="17">
        <f t="shared" ref="N69:N71" si="48">M69/L69</f>
        <v>143.4065934065934</v>
      </c>
      <c r="O69" s="19">
        <f t="shared" ref="O69:O71" si="49">L69-I69</f>
        <v>0</v>
      </c>
      <c r="P69" s="20">
        <f t="shared" ref="P69:P71" si="50">N69-K69</f>
        <v>-6.5934065934065984</v>
      </c>
      <c r="Q69" s="239">
        <f t="shared" ref="Q69:Q71" si="51">N69/K69</f>
        <v>0.95604395604395598</v>
      </c>
      <c r="R69" s="489"/>
      <c r="S69" s="40">
        <v>0.29097222222222219</v>
      </c>
      <c r="T69" s="40">
        <v>0.35416666666666663</v>
      </c>
      <c r="U69" s="240">
        <f t="shared" si="46"/>
        <v>4.9999999999999822</v>
      </c>
      <c r="V69" s="247">
        <f t="shared" si="45"/>
        <v>91</v>
      </c>
      <c r="W69" s="23"/>
      <c r="X69" s="23"/>
      <c r="Y69" s="23"/>
      <c r="Z69" s="23"/>
      <c r="AA69" s="491"/>
      <c r="AB69" s="491"/>
      <c r="AC69" s="154"/>
      <c r="AD69" s="25"/>
      <c r="AE69" s="19">
        <f t="shared" ref="AE69:AE71" si="52">M69-J69</f>
        <v>-105.49450549450557</v>
      </c>
      <c r="AF69" s="239">
        <f t="shared" ref="AF69:AF71" si="53">M69/J69</f>
        <v>0.95604395604395598</v>
      </c>
      <c r="AG69" s="489"/>
    </row>
    <row r="70" spans="1:33" ht="15.75" customHeight="1">
      <c r="A70" s="497" t="s">
        <v>75</v>
      </c>
      <c r="B70" s="248" t="s">
        <v>80</v>
      </c>
      <c r="C70" s="490" t="s">
        <v>119</v>
      </c>
      <c r="D70" s="490"/>
      <c r="E70" s="42">
        <v>19.02</v>
      </c>
      <c r="F70" s="248">
        <v>7438</v>
      </c>
      <c r="G70" s="240">
        <f t="shared" si="43"/>
        <v>141470.76</v>
      </c>
      <c r="H70" s="125" t="s">
        <v>79</v>
      </c>
      <c r="I70" s="246">
        <v>15</v>
      </c>
      <c r="J70" s="37">
        <v>2400</v>
      </c>
      <c r="K70" s="17">
        <f t="shared" si="47"/>
        <v>160</v>
      </c>
      <c r="L70" s="246">
        <v>15</v>
      </c>
      <c r="M70" s="18">
        <f t="shared" si="44"/>
        <v>2288.6153846153857</v>
      </c>
      <c r="N70" s="17">
        <f t="shared" si="48"/>
        <v>152.57435897435906</v>
      </c>
      <c r="O70" s="19">
        <f t="shared" si="49"/>
        <v>0</v>
      </c>
      <c r="P70" s="20">
        <f t="shared" si="50"/>
        <v>-7.4256410256409424</v>
      </c>
      <c r="Q70" s="239">
        <f t="shared" si="51"/>
        <v>0.95358974358974413</v>
      </c>
      <c r="R70" s="489"/>
      <c r="S70" s="40">
        <v>0.35972222222222217</v>
      </c>
      <c r="T70" s="40">
        <v>0.4951388888888888</v>
      </c>
      <c r="U70" s="240">
        <f t="shared" si="46"/>
        <v>7.9999999999999716</v>
      </c>
      <c r="V70" s="247">
        <f t="shared" si="45"/>
        <v>194.99999999999994</v>
      </c>
      <c r="W70" s="23"/>
      <c r="X70" s="23"/>
      <c r="Y70" s="23"/>
      <c r="Z70" s="23"/>
      <c r="AA70" s="491"/>
      <c r="AB70" s="491"/>
      <c r="AC70" s="154"/>
      <c r="AD70" s="25"/>
      <c r="AE70" s="19">
        <f t="shared" si="52"/>
        <v>-111.38461538461434</v>
      </c>
      <c r="AF70" s="239">
        <f t="shared" si="53"/>
        <v>0.95358974358974402</v>
      </c>
      <c r="AG70" s="489"/>
    </row>
    <row r="71" spans="1:33" ht="16.5" customHeight="1">
      <c r="A71" s="498" t="s">
        <v>75</v>
      </c>
      <c r="B71" s="42" t="s">
        <v>299</v>
      </c>
      <c r="C71" s="492"/>
      <c r="D71" s="493"/>
      <c r="E71" s="241"/>
      <c r="F71" s="44"/>
      <c r="G71" s="17"/>
      <c r="H71" s="248"/>
      <c r="I71" s="30">
        <v>16.399999999999999</v>
      </c>
      <c r="J71" s="37">
        <v>2400</v>
      </c>
      <c r="K71" s="17">
        <f t="shared" si="47"/>
        <v>146.34146341463415</v>
      </c>
      <c r="L71" s="30">
        <v>16.399999999999999</v>
      </c>
      <c r="M71" s="18">
        <f>AVERAGE(M66:M70)</f>
        <v>2295.9867600763891</v>
      </c>
      <c r="N71" s="17">
        <f t="shared" si="48"/>
        <v>139.99919268758472</v>
      </c>
      <c r="O71" s="19">
        <f t="shared" si="49"/>
        <v>0</v>
      </c>
      <c r="P71" s="20">
        <f t="shared" si="50"/>
        <v>-6.3422707270494243</v>
      </c>
      <c r="Q71" s="239">
        <f t="shared" si="51"/>
        <v>0.95666115003182894</v>
      </c>
      <c r="R71" s="489"/>
      <c r="S71" s="40"/>
      <c r="T71" s="40"/>
      <c r="U71" s="17"/>
      <c r="V71" s="247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v>6</v>
      </c>
      <c r="AD71" s="31">
        <f>SUM(AD66:AD70)</f>
        <v>0</v>
      </c>
      <c r="AE71" s="19">
        <f t="shared" si="52"/>
        <v>-104.01323992361085</v>
      </c>
      <c r="AF71" s="239">
        <f t="shared" si="53"/>
        <v>0.95666115003182883</v>
      </c>
      <c r="AG71" s="489"/>
    </row>
    <row r="72" spans="1:33">
      <c r="B72" s="38"/>
      <c r="C72" s="38"/>
      <c r="D72" s="250"/>
      <c r="E72" s="250"/>
      <c r="F72" s="38"/>
      <c r="J72" s="38"/>
    </row>
  </sheetData>
  <mergeCells count="194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A7:AB7"/>
    <mergeCell ref="C8:D8"/>
    <mergeCell ref="AA8:AB8"/>
    <mergeCell ref="C9:D9"/>
    <mergeCell ref="AA9:AB9"/>
    <mergeCell ref="AE3:AE4"/>
    <mergeCell ref="AF3:AF4"/>
    <mergeCell ref="AG3:AG4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14:A21"/>
    <mergeCell ref="C14:D14"/>
    <mergeCell ref="R14:R21"/>
    <mergeCell ref="AA14:AB14"/>
    <mergeCell ref="AG14:AG21"/>
    <mergeCell ref="C10:D10"/>
    <mergeCell ref="AA10:AB10"/>
    <mergeCell ref="A11:A13"/>
    <mergeCell ref="C11:D11"/>
    <mergeCell ref="R11:R13"/>
    <mergeCell ref="AA11:AB11"/>
    <mergeCell ref="A5:A10"/>
    <mergeCell ref="C15:D15"/>
    <mergeCell ref="AA15:AB15"/>
    <mergeCell ref="C16:D16"/>
    <mergeCell ref="AA16:AB16"/>
    <mergeCell ref="C17:D17"/>
    <mergeCell ref="AA17:AB17"/>
    <mergeCell ref="AG11:AG13"/>
    <mergeCell ref="C12:D12"/>
    <mergeCell ref="AA12:AB12"/>
    <mergeCell ref="C13:D13"/>
    <mergeCell ref="AA13:AB13"/>
    <mergeCell ref="C7:D7"/>
    <mergeCell ref="AG22:AG29"/>
    <mergeCell ref="C23:D23"/>
    <mergeCell ref="AA23:AB23"/>
    <mergeCell ref="C24:D24"/>
    <mergeCell ref="AA24:AB24"/>
    <mergeCell ref="C25:D25"/>
    <mergeCell ref="C18:D18"/>
    <mergeCell ref="AA18:AB18"/>
    <mergeCell ref="C19:D19"/>
    <mergeCell ref="AA19:AB19"/>
    <mergeCell ref="AA20:AB20"/>
    <mergeCell ref="C21:D21"/>
    <mergeCell ref="AA21:AB21"/>
    <mergeCell ref="C29:D29"/>
    <mergeCell ref="AA29:AB29"/>
    <mergeCell ref="A30:A35"/>
    <mergeCell ref="C30:D30"/>
    <mergeCell ref="R30:R35"/>
    <mergeCell ref="AA30:AB30"/>
    <mergeCell ref="AA35:AB35"/>
    <mergeCell ref="AA25:AB25"/>
    <mergeCell ref="C26:D26"/>
    <mergeCell ref="AA26:AB26"/>
    <mergeCell ref="C27:D27"/>
    <mergeCell ref="AA27:AB27"/>
    <mergeCell ref="C28:D28"/>
    <mergeCell ref="AA28:AB28"/>
    <mergeCell ref="A22:A29"/>
    <mergeCell ref="C22:D22"/>
    <mergeCell ref="R22:R29"/>
    <mergeCell ref="AA22:AB22"/>
    <mergeCell ref="AG36:AG43"/>
    <mergeCell ref="C37:D37"/>
    <mergeCell ref="AA37:AB37"/>
    <mergeCell ref="C38:D38"/>
    <mergeCell ref="AA38:AB38"/>
    <mergeCell ref="C39:D39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C43:D43"/>
    <mergeCell ref="AA43:AB43"/>
    <mergeCell ref="A44:A51"/>
    <mergeCell ref="C44:D44"/>
    <mergeCell ref="R44:R51"/>
    <mergeCell ref="AA44:AB44"/>
    <mergeCell ref="AA49:AB49"/>
    <mergeCell ref="C50:D50"/>
    <mergeCell ref="AA50:AB50"/>
    <mergeCell ref="C51:D51"/>
    <mergeCell ref="AA51:AB51"/>
    <mergeCell ref="AG52:AG60"/>
    <mergeCell ref="C53:D53"/>
    <mergeCell ref="AA53:AB53"/>
    <mergeCell ref="C54:D54"/>
    <mergeCell ref="AA54:AB54"/>
    <mergeCell ref="C59:D59"/>
    <mergeCell ref="AA59:AB59"/>
    <mergeCell ref="C60:D60"/>
    <mergeCell ref="AA60:AB60"/>
    <mergeCell ref="AG44:AG51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61:A65"/>
    <mergeCell ref="C61:D61"/>
    <mergeCell ref="R61:R65"/>
    <mergeCell ref="AA61:AB61"/>
    <mergeCell ref="AA55:AB55"/>
    <mergeCell ref="AA56:AB56"/>
    <mergeCell ref="C57:D57"/>
    <mergeCell ref="AA57:AB57"/>
    <mergeCell ref="C58:D58"/>
    <mergeCell ref="AA58:AB58"/>
    <mergeCell ref="A52:A60"/>
    <mergeCell ref="C52:D52"/>
    <mergeCell ref="R52:R60"/>
    <mergeCell ref="AA52:AB52"/>
    <mergeCell ref="AG61:AG65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A71:AB71"/>
  </mergeCells>
  <phoneticPr fontId="3" type="noConversion"/>
  <conditionalFormatting sqref="O60:O61 O64:O71 O5:O11 O13:O15 O51:O57 O21:O49">
    <cfRule type="cellIs" dxfId="1275" priority="59" operator="greaterThan">
      <formula>0</formula>
    </cfRule>
  </conditionalFormatting>
  <conditionalFormatting sqref="P5:P9 P64 AE64 P66:P70 P30:P34 P61 P11 P13:P15 P22:P28 P52:P57 P36:P49 AE5:AE61 AE66:AE71">
    <cfRule type="cellIs" dxfId="1274" priority="63" operator="lessThan">
      <formula>0</formula>
    </cfRule>
  </conditionalFormatting>
  <conditionalFormatting sqref="AF64 Q60:Q61 Q64:Q71 Q5:Q11 Q13:Q15 Q51:Q57 Q21:Q49 AF5:AF61 AF66:AF71">
    <cfRule type="cellIs" dxfId="1273" priority="60" operator="greaterThan">
      <formula>1</formula>
    </cfRule>
    <cfRule type="cellIs" dxfId="1272" priority="61" operator="lessThan">
      <formula>0.8</formula>
    </cfRule>
  </conditionalFormatting>
  <conditionalFormatting sqref="AG14:AG15 R14:R15 AG64 R21:R27 AG21:AG27 AG60:AG61 R60:R61 R64:R71 AG5:AG11 R5:R11 R29:R49 AG29:AG49 AG51:AG57 R51:R57">
    <cfRule type="cellIs" dxfId="1271" priority="65" operator="lessThan">
      <formula>0.8</formula>
    </cfRule>
  </conditionalFormatting>
  <conditionalFormatting sqref="AG44">
    <cfRule type="cellIs" dxfId="1270" priority="67" operator="lessThan">
      <formula>0.8</formula>
    </cfRule>
  </conditionalFormatting>
  <conditionalFormatting sqref="AG22:AG27">
    <cfRule type="cellIs" dxfId="1269" priority="64" operator="lessThan">
      <formula>0.8</formula>
    </cfRule>
  </conditionalFormatting>
  <conditionalFormatting sqref="AG30">
    <cfRule type="cellIs" dxfId="1268" priority="66" operator="lessThan">
      <formula>0.8</formula>
    </cfRule>
  </conditionalFormatting>
  <conditionalFormatting sqref="AG36:AG42">
    <cfRule type="cellIs" dxfId="1267" priority="62" operator="lessThan">
      <formula>0.8</formula>
    </cfRule>
  </conditionalFormatting>
  <conditionalFormatting sqref="AE65">
    <cfRule type="cellIs" dxfId="1266" priority="58" operator="lessThan">
      <formula>0</formula>
    </cfRule>
  </conditionalFormatting>
  <conditionalFormatting sqref="AF65">
    <cfRule type="cellIs" dxfId="1265" priority="56" operator="greaterThan">
      <formula>1</formula>
    </cfRule>
    <cfRule type="cellIs" dxfId="1264" priority="57" operator="lessThan">
      <formula>0.8</formula>
    </cfRule>
  </conditionalFormatting>
  <conditionalFormatting sqref="O16:O17">
    <cfRule type="cellIs" dxfId="1263" priority="51" operator="greaterThan">
      <formula>0</formula>
    </cfRule>
  </conditionalFormatting>
  <conditionalFormatting sqref="P16:P17">
    <cfRule type="cellIs" dxfId="1262" priority="54" operator="lessThan">
      <formula>0</formula>
    </cfRule>
  </conditionalFormatting>
  <conditionalFormatting sqref="Q16:Q17">
    <cfRule type="cellIs" dxfId="1261" priority="52" operator="greaterThan">
      <formula>1</formula>
    </cfRule>
    <cfRule type="cellIs" dxfId="1260" priority="53" operator="lessThan">
      <formula>0.8</formula>
    </cfRule>
  </conditionalFormatting>
  <conditionalFormatting sqref="R16:R17 AG16:AG17">
    <cfRule type="cellIs" dxfId="1259" priority="55" operator="lessThan">
      <formula>0.8</formula>
    </cfRule>
  </conditionalFormatting>
  <conditionalFormatting sqref="O12">
    <cfRule type="cellIs" dxfId="1258" priority="47" operator="greaterThan">
      <formula>0</formula>
    </cfRule>
  </conditionalFormatting>
  <conditionalFormatting sqref="P12">
    <cfRule type="cellIs" dxfId="1257" priority="50" operator="lessThan">
      <formula>0</formula>
    </cfRule>
  </conditionalFormatting>
  <conditionalFormatting sqref="Q12">
    <cfRule type="cellIs" dxfId="1256" priority="48" operator="greaterThan">
      <formula>1</formula>
    </cfRule>
    <cfRule type="cellIs" dxfId="1255" priority="49" operator="lessThan">
      <formula>0.8</formula>
    </cfRule>
  </conditionalFormatting>
  <conditionalFormatting sqref="O58">
    <cfRule type="cellIs" dxfId="1254" priority="42" operator="greaterThan">
      <formula>0</formula>
    </cfRule>
  </conditionalFormatting>
  <conditionalFormatting sqref="P58">
    <cfRule type="cellIs" dxfId="1253" priority="45" operator="lessThan">
      <formula>0</formula>
    </cfRule>
  </conditionalFormatting>
  <conditionalFormatting sqref="Q58">
    <cfRule type="cellIs" dxfId="1252" priority="43" operator="greaterThan">
      <formula>1</formula>
    </cfRule>
    <cfRule type="cellIs" dxfId="1251" priority="44" operator="lessThan">
      <formula>0.8</formula>
    </cfRule>
  </conditionalFormatting>
  <conditionalFormatting sqref="R58 AG58">
    <cfRule type="cellIs" dxfId="1250" priority="46" operator="lessThan">
      <formula>0.8</formula>
    </cfRule>
  </conditionalFormatting>
  <conditionalFormatting sqref="O63">
    <cfRule type="cellIs" dxfId="1249" priority="37" operator="greaterThan">
      <formula>0</formula>
    </cfRule>
  </conditionalFormatting>
  <conditionalFormatting sqref="P63 AE63">
    <cfRule type="cellIs" dxfId="1248" priority="40" operator="lessThan">
      <formula>0</formula>
    </cfRule>
  </conditionalFormatting>
  <conditionalFormatting sqref="Q63 AF63">
    <cfRule type="cellIs" dxfId="1247" priority="38" operator="greaterThan">
      <formula>1</formula>
    </cfRule>
    <cfRule type="cellIs" dxfId="1246" priority="39" operator="lessThan">
      <formula>0.8</formula>
    </cfRule>
  </conditionalFormatting>
  <conditionalFormatting sqref="R63 AG63">
    <cfRule type="cellIs" dxfId="1245" priority="41" operator="lessThan">
      <formula>0.8</formula>
    </cfRule>
  </conditionalFormatting>
  <conditionalFormatting sqref="O18:O19">
    <cfRule type="cellIs" dxfId="1244" priority="32" operator="greaterThan">
      <formula>0</formula>
    </cfRule>
  </conditionalFormatting>
  <conditionalFormatting sqref="P18:P19">
    <cfRule type="cellIs" dxfId="1243" priority="35" operator="lessThan">
      <formula>0</formula>
    </cfRule>
  </conditionalFormatting>
  <conditionalFormatting sqref="Q18:Q19">
    <cfRule type="cellIs" dxfId="1242" priority="33" operator="greaterThan">
      <formula>1</formula>
    </cfRule>
    <cfRule type="cellIs" dxfId="1241" priority="34" operator="lessThan">
      <formula>0.8</formula>
    </cfRule>
  </conditionalFormatting>
  <conditionalFormatting sqref="R18:R19 AG18:AG19">
    <cfRule type="cellIs" dxfId="1240" priority="36" operator="lessThan">
      <formula>0.8</formula>
    </cfRule>
  </conditionalFormatting>
  <conditionalFormatting sqref="O50">
    <cfRule type="cellIs" dxfId="1239" priority="26" operator="greaterThan">
      <formula>0</formula>
    </cfRule>
  </conditionalFormatting>
  <conditionalFormatting sqref="P50">
    <cfRule type="cellIs" dxfId="1238" priority="30" operator="lessThan">
      <formula>0</formula>
    </cfRule>
  </conditionalFormatting>
  <conditionalFormatting sqref="Q50">
    <cfRule type="cellIs" dxfId="1237" priority="27" operator="greaterThan">
      <formula>1</formula>
    </cfRule>
    <cfRule type="cellIs" dxfId="1236" priority="28" operator="lessThan">
      <formula>0.8</formula>
    </cfRule>
  </conditionalFormatting>
  <conditionalFormatting sqref="R50 AG50">
    <cfRule type="cellIs" dxfId="1235" priority="31" operator="lessThan">
      <formula>0.8</formula>
    </cfRule>
  </conditionalFormatting>
  <conditionalFormatting sqref="AG50">
    <cfRule type="cellIs" dxfId="1234" priority="29" operator="lessThan">
      <formula>0.8</formula>
    </cfRule>
  </conditionalFormatting>
  <conditionalFormatting sqref="O59">
    <cfRule type="cellIs" dxfId="1233" priority="21" operator="greaterThan">
      <formula>0</formula>
    </cfRule>
  </conditionalFormatting>
  <conditionalFormatting sqref="P59">
    <cfRule type="cellIs" dxfId="1232" priority="24" operator="lessThan">
      <formula>0</formula>
    </cfRule>
  </conditionalFormatting>
  <conditionalFormatting sqref="Q59">
    <cfRule type="cellIs" dxfId="1231" priority="22" operator="greaterThan">
      <formula>1</formula>
    </cfRule>
    <cfRule type="cellIs" dxfId="1230" priority="23" operator="lessThan">
      <formula>0.8</formula>
    </cfRule>
  </conditionalFormatting>
  <conditionalFormatting sqref="AG59 R59">
    <cfRule type="cellIs" dxfId="1229" priority="25" operator="lessThan">
      <formula>0.8</formula>
    </cfRule>
  </conditionalFormatting>
  <conditionalFormatting sqref="R28 AG28">
    <cfRule type="cellIs" dxfId="1228" priority="20" operator="lessThan">
      <formula>0.8</formula>
    </cfRule>
  </conditionalFormatting>
  <conditionalFormatting sqref="AG28">
    <cfRule type="cellIs" dxfId="1227" priority="19" operator="lessThan">
      <formula>0.8</formula>
    </cfRule>
  </conditionalFormatting>
  <conditionalFormatting sqref="O62">
    <cfRule type="cellIs" dxfId="1226" priority="14" operator="greaterThan">
      <formula>0</formula>
    </cfRule>
  </conditionalFormatting>
  <conditionalFormatting sqref="P62 AE62">
    <cfRule type="cellIs" dxfId="1225" priority="17" operator="lessThan">
      <formula>0</formula>
    </cfRule>
  </conditionalFormatting>
  <conditionalFormatting sqref="Q62 AF62">
    <cfRule type="cellIs" dxfId="1224" priority="15" operator="greaterThan">
      <formula>1</formula>
    </cfRule>
    <cfRule type="cellIs" dxfId="1223" priority="16" operator="lessThan">
      <formula>0.8</formula>
    </cfRule>
  </conditionalFormatting>
  <conditionalFormatting sqref="R62 AG62">
    <cfRule type="cellIs" dxfId="1222" priority="18" operator="lessThan">
      <formula>0.8</formula>
    </cfRule>
  </conditionalFormatting>
  <conditionalFormatting sqref="O20">
    <cfRule type="cellIs" dxfId="1221" priority="9" operator="greaterThan">
      <formula>0</formula>
    </cfRule>
  </conditionalFormatting>
  <conditionalFormatting sqref="P20">
    <cfRule type="cellIs" dxfId="1220" priority="12" operator="lessThan">
      <formula>0</formula>
    </cfRule>
  </conditionalFormatting>
  <conditionalFormatting sqref="Q20">
    <cfRule type="cellIs" dxfId="1219" priority="10" operator="greaterThan">
      <formula>1</formula>
    </cfRule>
    <cfRule type="cellIs" dxfId="1218" priority="11" operator="lessThan">
      <formula>0.8</formula>
    </cfRule>
  </conditionalFormatting>
  <conditionalFormatting sqref="AG20 R20">
    <cfRule type="cellIs" dxfId="1217" priority="13" operator="lessThan">
      <formula>0.8</formula>
    </cfRule>
  </conditionalFormatting>
  <conditionalFormatting sqref="P10">
    <cfRule type="cellIs" dxfId="1216" priority="8" operator="lessThan">
      <formula>0</formula>
    </cfRule>
  </conditionalFormatting>
  <conditionalFormatting sqref="P21">
    <cfRule type="cellIs" dxfId="1215" priority="7" operator="lessThan">
      <formula>0</formula>
    </cfRule>
  </conditionalFormatting>
  <conditionalFormatting sqref="P29">
    <cfRule type="cellIs" dxfId="1214" priority="6" operator="lessThan">
      <formula>0</formula>
    </cfRule>
  </conditionalFormatting>
  <conditionalFormatting sqref="P35">
    <cfRule type="cellIs" dxfId="1213" priority="5" operator="lessThan">
      <formula>0</formula>
    </cfRule>
  </conditionalFormatting>
  <conditionalFormatting sqref="P51">
    <cfRule type="cellIs" dxfId="1212" priority="4" operator="lessThan">
      <formula>0</formula>
    </cfRule>
  </conditionalFormatting>
  <conditionalFormatting sqref="P60">
    <cfRule type="cellIs" dxfId="1211" priority="3" operator="lessThan">
      <formula>0</formula>
    </cfRule>
  </conditionalFormatting>
  <conditionalFormatting sqref="P65">
    <cfRule type="cellIs" dxfId="1210" priority="2" operator="lessThan">
      <formula>0</formula>
    </cfRule>
  </conditionalFormatting>
  <conditionalFormatting sqref="P71">
    <cfRule type="cellIs" dxfId="1209" priority="1" operator="lessThan">
      <formula>0</formula>
    </cfRule>
  </conditionalFormatting>
  <dataValidations count="1">
    <dataValidation type="list" allowBlank="1" showInputMessage="1" showErrorMessage="1" sqref="AB10 AA5:AB9 AA10:AA64 AB12:AB61 AA65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H13" sqref="H13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1239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1240</v>
      </c>
      <c r="C3" s="478" t="str">
        <f>TEXT('0114 4度C'!A2,"yyyy.mm.ddaaaa")</f>
        <v>2026.01.14星期三</v>
      </c>
      <c r="D3" s="479"/>
      <c r="E3" s="56" t="s">
        <v>1241</v>
      </c>
      <c r="F3" s="480">
        <f>'0114 4度C'!D1</f>
        <v>159048</v>
      </c>
      <c r="G3" s="481"/>
      <c r="H3" s="56" t="s">
        <v>163</v>
      </c>
      <c r="I3" s="482">
        <f>'0114 4度C'!F1</f>
        <v>5423169.4000000013</v>
      </c>
      <c r="J3" s="483"/>
      <c r="K3" s="57"/>
      <c r="L3" s="58"/>
      <c r="M3" s="59"/>
      <c r="N3" s="59"/>
    </row>
    <row r="4" spans="2:17" ht="28.5" customHeight="1">
      <c r="B4" s="484" t="s">
        <v>164</v>
      </c>
      <c r="C4" s="470" t="s">
        <v>1242</v>
      </c>
      <c r="D4" s="471"/>
      <c r="E4" s="487" t="s">
        <v>1243</v>
      </c>
      <c r="F4" s="488"/>
      <c r="G4" s="487" t="s">
        <v>1244</v>
      </c>
      <c r="H4" s="488"/>
      <c r="I4" s="487" t="s">
        <v>1245</v>
      </c>
      <c r="J4" s="488"/>
      <c r="K4" s="468" t="s">
        <v>1246</v>
      </c>
      <c r="L4" s="469"/>
      <c r="M4" s="469" t="s">
        <v>170</v>
      </c>
      <c r="N4" s="469"/>
    </row>
    <row r="5" spans="2:17" ht="28.5" customHeight="1">
      <c r="B5" s="485"/>
      <c r="C5" s="470" t="s">
        <v>1247</v>
      </c>
      <c r="D5" s="471"/>
      <c r="E5" s="470" t="s">
        <v>1248</v>
      </c>
      <c r="F5" s="471"/>
      <c r="G5" s="472" t="s">
        <v>1249</v>
      </c>
      <c r="H5" s="473"/>
      <c r="I5" s="474" t="s">
        <v>1250</v>
      </c>
      <c r="J5" s="475"/>
      <c r="K5" s="60" t="s">
        <v>143</v>
      </c>
      <c r="L5" s="61" t="s">
        <v>1251</v>
      </c>
      <c r="M5" s="60" t="s">
        <v>1252</v>
      </c>
      <c r="N5" s="61" t="s">
        <v>1253</v>
      </c>
    </row>
    <row r="6" spans="2:17" ht="28.5" customHeight="1">
      <c r="B6" s="485"/>
      <c r="C6" s="470" t="s">
        <v>144</v>
      </c>
      <c r="D6" s="471"/>
      <c r="E6" s="462">
        <f>AVERAGE(D13:M13)</f>
        <v>140.69825937213133</v>
      </c>
      <c r="F6" s="463">
        <f>AVERAGE(D31:O31,D13:J13)</f>
        <v>141.74109036926984</v>
      </c>
      <c r="G6" s="464">
        <f>AVERAGE(D13:J13)</f>
        <v>141.74109036926984</v>
      </c>
      <c r="H6" s="465"/>
      <c r="I6" s="464">
        <f>AVERAGE(K13:M13)</f>
        <v>138.26498704547487</v>
      </c>
      <c r="J6" s="465"/>
      <c r="K6" s="466">
        <f>'0114 4度C'!Y2</f>
        <v>0</v>
      </c>
      <c r="L6" s="451">
        <f>'0114 4度C'!Z2</f>
        <v>0</v>
      </c>
      <c r="M6" s="467">
        <f>'0114 4度C'!AC2</f>
        <v>39</v>
      </c>
      <c r="N6" s="451">
        <f>'0114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134.43883848534941</v>
      </c>
      <c r="F7" s="455">
        <f>AVERAGE(D32:O32,D14:J14)</f>
        <v>135.35265372941493</v>
      </c>
      <c r="G7" s="456">
        <f>AVERAGE(D14:J14)</f>
        <v>135.35265372941493</v>
      </c>
      <c r="H7" s="457"/>
      <c r="I7" s="456">
        <f>AVERAGE(K14:M14)</f>
        <v>132.30660291586321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0.95498650204605562</v>
      </c>
      <c r="F8" s="459">
        <f>AVERAGE(D15:J15,D33:O33)</f>
        <v>0.95417509949829438</v>
      </c>
      <c r="G8" s="460">
        <f>AVERAGE(D15:J15)</f>
        <v>0.95417509949829438</v>
      </c>
      <c r="H8" s="461"/>
      <c r="I8" s="460">
        <f>AVERAGE(K15:M15)</f>
        <v>0.95687977465749874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178</v>
      </c>
      <c r="N9" s="59"/>
      <c r="O9" s="59"/>
      <c r="P9" s="59"/>
      <c r="Q9" s="59"/>
    </row>
    <row r="10" spans="2:17" ht="30" customHeight="1">
      <c r="B10" s="434" t="s">
        <v>1254</v>
      </c>
      <c r="C10" s="435"/>
      <c r="D10" s="436" t="s">
        <v>1255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1256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1257</v>
      </c>
      <c r="C13" s="72" t="s">
        <v>1258</v>
      </c>
      <c r="D13" s="73">
        <f>SUMIFS('0114 4度C'!$K:$K,'0114 4度C'!$A:$A,"新豐6線",'0114 4度C'!$B:$B,"平均")</f>
        <v>109.58904109589041</v>
      </c>
      <c r="E13" s="74">
        <f>SUMIFS('0114 4度C'!$K:$K,'0114 4度C'!$A:$A,"新豐2線",'0114 4度C'!$B:$B,"平均")</f>
        <v>83.333333333333329</v>
      </c>
      <c r="F13" s="75">
        <f>SUMIFS('0114 4度C'!$K:$K,'0114 4度C'!$A:$A,"新豐5線",'0114 4度C'!$B:$B,"平均")</f>
        <v>109.99999999999999</v>
      </c>
      <c r="G13" s="75">
        <f>SUMIFS('0114 4度C'!$K:$K,'0114 4度C'!$A:$A,"新豐7線",'0114 4度C'!$B:$B,"平均")</f>
        <v>114.4578313253012</v>
      </c>
      <c r="H13" s="75">
        <f>SUMIFS('0114 4度C'!$K:$K,'0114 4度C'!$A:$A,"新豐3線",'0114 4度C'!$B:$B,"平均")</f>
        <v>273.97260273972603</v>
      </c>
      <c r="I13" s="75">
        <f>SUMIFS('0114 4度C'!$K:$K,'0114 4度C'!$A:$A,"新豐1線",'0114 4度C'!$B:$B,"平均")</f>
        <v>108.52713178294574</v>
      </c>
      <c r="J13" s="76">
        <f>SUMIFS('0114 4度C'!$K:$K,'0114 4度C'!$A:$A,"新豐10線",'0114 4度C'!$B:$B,"平均")</f>
        <v>192.30769230769229</v>
      </c>
      <c r="K13" s="77">
        <f>SUMIFS('0114 4度C'!$K:$K,'0114 4度C'!$A:$A,"新豐8線",'0114 4度C'!$B:$B,"平均")</f>
        <v>131.86813186813188</v>
      </c>
      <c r="L13" s="78">
        <f>SUMIFS('0114 4度C'!$K:$K,'0114 4度C'!$A:$A,"新豐9線",'0114 4度C'!$B:$B,"平均")</f>
        <v>136.58536585365852</v>
      </c>
      <c r="M13" s="76">
        <f>SUMIFS('0114 4度C'!$K:$K,'0114 4度C'!$A:$A,"新豐4線",'0114 4度C'!$B:$B,"平均")</f>
        <v>146.34146341463415</v>
      </c>
    </row>
    <row r="14" spans="2:17" ht="39.6" customHeight="1">
      <c r="B14" s="447"/>
      <c r="C14" s="79" t="s">
        <v>1259</v>
      </c>
      <c r="D14" s="80">
        <f>SUMIFS('0114 4度C'!$N:$N,'0114 4度C'!$A:$A,"新豐6線",'0114 4度C'!$B:$B,"平均")</f>
        <v>105.04464833900181</v>
      </c>
      <c r="E14" s="81">
        <f>SUMIFS('0114 4度C'!$N:$N,'0114 4度C'!$A:$A,"新豐2線",'0114 4度C'!$B:$B,"平均")</f>
        <v>79.359595959595978</v>
      </c>
      <c r="F14" s="81">
        <f>SUMIFS('0114 4度C'!$N:$N,'0114 4度C'!$A:$A,"新豐5線",'0114 4度C'!$B:$B,"平均")</f>
        <v>105.78508842980722</v>
      </c>
      <c r="G14" s="81">
        <f>SUMIFS('0114 4度C'!$N:$N,'0114 4度C'!$A:$A,"新豐7線",'0114 4度C'!$B:$B,"平均")</f>
        <v>110.32956010433421</v>
      </c>
      <c r="H14" s="81">
        <f>SUMIFS('0114 4度C'!$N:$N,'0114 4度C'!$A:$A,"新豐3線",'0114 4度C'!$B:$B,"平均")</f>
        <v>262.00315833127257</v>
      </c>
      <c r="I14" s="81">
        <f>SUMIFS('0114 4度C'!$N:$N,'0114 4度C'!$A:$A,"新豐1線",'0114 4度C'!$B:$B,"平均")</f>
        <v>100.82244558934705</v>
      </c>
      <c r="J14" s="82">
        <f>SUMIFS('0114 4度C'!$N:$N,'0114 4度C'!$A:$A,"新豐10線",'0114 4度C'!$B:$B,"平均")</f>
        <v>184.12407935254566</v>
      </c>
      <c r="K14" s="83">
        <f>SUMIFS('0114 4度C'!$N:$N,'0114 4度C'!$A:$A,"新豐8線",'0114 4度C'!$B:$B,"平均")</f>
        <v>126.02425699463403</v>
      </c>
      <c r="L14" s="84">
        <f>SUMIFS('0114 4度C'!$N:$N,'0114 4度C'!$A:$A,"新豐9線",'0114 4度C'!$B:$B,"平均")</f>
        <v>130.7854829734452</v>
      </c>
      <c r="M14" s="82">
        <f>SUMIFS('0114 4度C'!$N:$N,'0114 4度C'!$A:$A,"新豐4線",'0114 4度C'!$B:$B,"平均")</f>
        <v>140.11006877951041</v>
      </c>
    </row>
    <row r="15" spans="2:17" ht="40.15" customHeight="1">
      <c r="B15" s="448"/>
      <c r="C15" s="85" t="s">
        <v>1260</v>
      </c>
      <c r="D15" s="86">
        <f t="shared" ref="D15:M15" si="0">D14/D13</f>
        <v>0.95853241609339157</v>
      </c>
      <c r="E15" s="87">
        <f t="shared" si="0"/>
        <v>0.95231515151515178</v>
      </c>
      <c r="F15" s="87">
        <f t="shared" si="0"/>
        <v>0.96168262208915667</v>
      </c>
      <c r="G15" s="87">
        <f t="shared" si="0"/>
        <v>0.96393194617470945</v>
      </c>
      <c r="H15" s="87">
        <f t="shared" si="0"/>
        <v>0.95631152790914487</v>
      </c>
      <c r="I15" s="87">
        <f t="shared" si="0"/>
        <v>0.92900682007326918</v>
      </c>
      <c r="J15" s="88">
        <f t="shared" si="0"/>
        <v>0.95744521263323756</v>
      </c>
      <c r="K15" s="86">
        <f t="shared" si="0"/>
        <v>0.95568394887597463</v>
      </c>
      <c r="L15" s="87">
        <f t="shared" si="0"/>
        <v>0.95753657176986673</v>
      </c>
      <c r="M15" s="88">
        <f t="shared" si="0"/>
        <v>0.95741880332665452</v>
      </c>
    </row>
    <row r="16" spans="2:17" ht="17.25" customHeight="1">
      <c r="B16" s="449" t="s">
        <v>1261</v>
      </c>
      <c r="C16" s="89" t="s">
        <v>1262</v>
      </c>
      <c r="D16" s="90">
        <f>VLOOKUP("新豐6線",'0114 4度C'!$A:$T,19,0)</f>
        <v>0.70833333333333337</v>
      </c>
      <c r="E16" s="91">
        <f>VLOOKUP("新豐2線",'0114 4度C'!$A:$T,19,0)</f>
        <v>0.16666666666666666</v>
      </c>
      <c r="F16" s="91">
        <f>VLOOKUP("新豐5線",'0114 4度C'!$A:$T,19,0)</f>
        <v>0.20833333333333334</v>
      </c>
      <c r="G16" s="91">
        <f>VLOOKUP("新豐7線",'0114 4度C'!$A:$T,19,0)</f>
        <v>0.20833333333333334</v>
      </c>
      <c r="H16" s="91">
        <f>VLOOKUP("新豐3線",'0114 4度C'!$A:$T,19,0)</f>
        <v>8.3333333333333329E-2</v>
      </c>
      <c r="I16" s="91">
        <f>VLOOKUP("新豐1線",'0114 4度C'!$A:$T,19,0)</f>
        <v>0.20833333333333334</v>
      </c>
      <c r="J16" s="92">
        <f>VLOOKUP("新豐10線",'0114 4度C'!$A:$T,19,0)</f>
        <v>0.20833333333333334</v>
      </c>
      <c r="K16" s="93">
        <f>VLOOKUP("新豐8線",'0114 4度C'!$A:$T,19,0)</f>
        <v>8.3333333333333329E-2</v>
      </c>
      <c r="L16" s="94">
        <f>VLOOKUP("新豐9線",'0114 4度C'!$A:$T,19,0)</f>
        <v>8.3333333333333329E-2</v>
      </c>
      <c r="M16" s="95">
        <f>VLOOKUP("新豐4線",'0114 4度C'!$A:$T,19,0)</f>
        <v>8.3333333333333329E-2</v>
      </c>
    </row>
    <row r="17" spans="2:13" ht="17.25" customHeight="1">
      <c r="B17" s="450"/>
      <c r="C17" s="89" t="s">
        <v>1263</v>
      </c>
      <c r="D17" s="93">
        <f>LOOKUP(2,1/(('0114 4度C'!$A:$A="新豐6線")*('0114 4度C'!$T:$T&lt;&gt;"")),'0114 4度C'!$T:$T)</f>
        <v>0.84097222222222223</v>
      </c>
      <c r="E17" s="91">
        <f>LOOKUP(2,1/(('0114 4度C'!$A:$A="新豐2線")*('0114 4度C'!$T:$T&lt;&gt;"")),'0114 4度C'!$T:$T)</f>
        <v>0.41597222222222219</v>
      </c>
      <c r="F17" s="91">
        <f>LOOKUP(2,1/(('0114 4度C'!$A:$A="新豐5線")*('0114 4度C'!$T:$T&lt;&gt;"")),'0114 4度C'!$T:$T)</f>
        <v>0.94236111111111109</v>
      </c>
      <c r="G17" s="91">
        <f>LOOKUP(2,1/(('0114 4度C'!$A:$A="新豐7線")*('0114 4度C'!$T:$T&lt;&gt;"")),'0114 4度C'!$T:$T)</f>
        <v>0.95208333333333317</v>
      </c>
      <c r="H17" s="91">
        <f>LOOKUP(2,1/(('0114 4度C'!$A:$A="新豐3線")*('0114 4度C'!$T:$T&lt;&gt;"")),'0114 4度C'!$T:$T)</f>
        <v>0.50763888888888886</v>
      </c>
      <c r="I17" s="91">
        <f>LOOKUP(2,1/(('0114 4度C'!$A:$A="新豐1線")*('0114 4度C'!$T:$T&lt;&gt;"")),'0114 4度C'!$T:$T)</f>
        <v>0.82291666666666663</v>
      </c>
      <c r="J17" s="92">
        <f>LOOKUP(2,1/(('0114 4度C'!$A:$A="新豐10線")*('0114 4度C'!$T:$T&lt;&gt;"")),'0114 4度C'!$T:$T)</f>
        <v>0.59305555555555556</v>
      </c>
      <c r="K17" s="90">
        <f>LOOKUP(2,1/(('0114 4度C'!$A:$A="新豐8線")*('0114 4度C'!$T:$T&lt;&gt;"")),'0114 4度C'!$T:$T)</f>
        <v>0.51458333333333317</v>
      </c>
      <c r="L17" s="91">
        <f>LOOKUP(2,1/(('0114 4度C'!$A:$A="新豐9線")*('0114 4度C'!$T:$T&lt;&gt;"")),'0114 4度C'!$T:$T)</f>
        <v>0.59513888888888888</v>
      </c>
      <c r="M17" s="92">
        <f>LOOKUP(2,1/(('0114 4度C'!$A:$A="新豐4線")*('0114 4度C'!$T:$T&lt;&gt;"")),'0114 4度C'!$T:$T)</f>
        <v>0.5083333333333333</v>
      </c>
    </row>
    <row r="18" spans="2:13" ht="17.25" customHeight="1">
      <c r="B18" s="428" t="s">
        <v>190</v>
      </c>
      <c r="C18" s="96" t="s">
        <v>41</v>
      </c>
      <c r="D18" s="97">
        <f>SUMIFS('0114 4度C'!$Y:$Y,'0114 4度C'!$A:$A,"新豐6線",'0114 4度C'!$B:$B,"平均")</f>
        <v>0</v>
      </c>
      <c r="E18" s="98">
        <f>SUMIFS('0114 4度C'!$Y:$Y,'0114 4度C'!$A:$A,"新豐2線",'0114 4度C'!$B:$B,"平均")</f>
        <v>0</v>
      </c>
      <c r="F18" s="98">
        <f>SUMIFS('0114 4度C'!$Y:$Y,'0114 4度C'!$A:$A,"新豐5線",'0114 4度C'!$B:$B,"平均")</f>
        <v>0</v>
      </c>
      <c r="G18" s="98">
        <f>SUMIFS('0114 4度C'!$Y:$Y,'0114 4度C'!$A:$A,"新豐7線",'0114 4度C'!$B:$B,"平均")</f>
        <v>0</v>
      </c>
      <c r="H18" s="98">
        <f>SUMIFS('0114 4度C'!$Y:$Y,'0114 4度C'!$A:$A,"新豐3線",'0114 4度C'!$B:$B,"平均")</f>
        <v>0</v>
      </c>
      <c r="I18" s="98">
        <f>SUMIFS('0114 4度C'!$Y:$Y,'0114 4度C'!$A:$A,"新豐1線",'0114 4度C'!$B:$B,"平均")</f>
        <v>0</v>
      </c>
      <c r="J18" s="99">
        <f>SUMIFS('0114 4度C'!$Y:$Y,'0114 4度C'!$A:$A,"新豐10線",'0114 4度C'!$B:$B,"平均")</f>
        <v>0</v>
      </c>
      <c r="K18" s="100">
        <f>SUMIFS('0114 4度C'!$Y:$Y,'0114 4度C'!$A:$A,"新豐8線",'0114 4度C'!$B:$B,"平均")</f>
        <v>0</v>
      </c>
      <c r="L18" s="98">
        <f>SUMIFS('0114 4度C'!$Y:$Y,'0114 4度C'!$A:$A,"新豐9線",'0114 4度C'!$B:$B,"平均")</f>
        <v>0</v>
      </c>
      <c r="M18" s="99">
        <f>SUMIFS('0114 4度C'!$Y:$Y,'0114 4度C'!$A:$A,"新豐4線",'0114 4度C'!$B:$B,"平均")</f>
        <v>0</v>
      </c>
    </row>
    <row r="19" spans="2:13" ht="17.25" customHeight="1">
      <c r="B19" s="429"/>
      <c r="C19" s="96" t="s">
        <v>42</v>
      </c>
      <c r="D19" s="97">
        <f>SUMIFS('0114 4度C'!$Z:$Z,'0114 4度C'!$A:$A,"新豐6線",'0114 4度C'!$B:$B,"平均")</f>
        <v>0</v>
      </c>
      <c r="E19" s="98">
        <f>SUMIFS('0114 4度C'!$Z:$Z,'0114 4度C'!$A:$A,"新豐2線",'0114 4度C'!$B:$B,"平均")</f>
        <v>0</v>
      </c>
      <c r="F19" s="98">
        <f>SUMIFS('0114 4度C'!$Z:$Z,'0114 4度C'!$A:$A,"新豐5線",'0114 4度C'!$B:$B,"平均")</f>
        <v>0</v>
      </c>
      <c r="G19" s="98">
        <f>SUMIFS('0114 4度C'!$Z:$Z,'0114 4度C'!$A:$A,"新豐7線",'0114 4度C'!$B:$B,"平均")</f>
        <v>0</v>
      </c>
      <c r="H19" s="98">
        <f>SUMIFS('0114 4度C'!$Z:$Z,'0114 4度C'!$A:$A,"新豐3線",'0114 4度C'!$B:$B,"平均")</f>
        <v>0</v>
      </c>
      <c r="I19" s="98">
        <f>SUMIFS('0114 4度C'!$Z:$Z,'0114 4度C'!$A:$A,"新豐1線",'0114 4度C'!$B:$B,"平均")</f>
        <v>0</v>
      </c>
      <c r="J19" s="99">
        <f>SUMIFS('0114 4度C'!$Z:$Z,'0114 4度C'!$A:$A,"新豐10線",'0114 4度C'!$B:$B,"平均")</f>
        <v>0</v>
      </c>
      <c r="K19" s="100">
        <f>SUMIFS('0114 4度C'!$Z:$Z,'0114 4度C'!$A:$A,"新豐8線",'0114 4度C'!$B:$B,"平均")</f>
        <v>0</v>
      </c>
      <c r="L19" s="98">
        <f>SUMIFS('0114 4度C'!$Z:$Z,'0114 4度C'!$A:$A,"新豐9線",'0114 4度C'!$B:$B,"平均")</f>
        <v>0</v>
      </c>
      <c r="M19" s="99">
        <f>SUMIFS('0114 4度C'!$Z:$Z,'0114 4度C'!$A:$A,"新豐4線",'0114 4度C'!$B:$B,"平均")</f>
        <v>0</v>
      </c>
    </row>
    <row r="20" spans="2:13" ht="17.25" customHeight="1">
      <c r="B20" s="428" t="s">
        <v>1264</v>
      </c>
      <c r="C20" s="96" t="s">
        <v>1265</v>
      </c>
      <c r="D20" s="97">
        <f>SUMIFS('0114 4度C'!$AC:$AC,'0114 4度C'!$A:$A,"新豐6線",'0114 4度C'!$B:$B,"平均")</f>
        <v>1</v>
      </c>
      <c r="E20" s="98">
        <f>SUMIFS('0114 4度C'!$AC:$AC,'0114 4度C'!$A:$A,"新豐2線",'0114 4度C'!$B:$B,"平均")</f>
        <v>2</v>
      </c>
      <c r="F20" s="98">
        <f>SUMIFS('0114 4度C'!$AC:$AC,'0114 4度C'!$A:$A,"新豐5線",'0114 4度C'!$B:$B,"平均")</f>
        <v>4</v>
      </c>
      <c r="G20" s="98">
        <f>SUMIFS('0114 4度C'!$AC:$AC,'0114 4度C'!$A:$A,"新豐7線",'0114 4度C'!$B:$B,"平均")</f>
        <v>4</v>
      </c>
      <c r="H20" s="98">
        <f>SUMIFS('0114 4度C'!$AC:$AC,'0114 4度C'!$A:$A,"新豐3線",'0114 4度C'!$B:$B,"平均")</f>
        <v>2</v>
      </c>
      <c r="I20" s="98">
        <f>SUMIFS('0114 4度C'!$AC:$AC,'0114 4度C'!$A:$A,"新豐1線",'0114 4度C'!$B:$B,"平均")</f>
        <v>4</v>
      </c>
      <c r="J20" s="99">
        <f>SUMIFS('0114 4度C'!$AC:$AC,'0114 4度C'!$A:$A,"新豐10線",'0114 4度C'!$B:$B,"平均")</f>
        <v>0</v>
      </c>
      <c r="K20" s="100">
        <f>SUMIFS('0114 4度C'!$AC:$AC,'0114 4度C'!$A:$A,"新豐8線",'0114 4度C'!$B:$B,"平均")</f>
        <v>7</v>
      </c>
      <c r="L20" s="98">
        <f>SUMIFS('0114 4度C'!$AC:$AC,'0114 4度C'!$A:$A,"新豐9線",'0114 4度C'!$B:$B,"平均")</f>
        <v>8</v>
      </c>
      <c r="M20" s="99">
        <f>SUMIFS('0114 4度C'!$AC:$AC,'0114 4度C'!$A:$A,"新豐4線",'0114 4度C'!$B:$B,"平均")</f>
        <v>7</v>
      </c>
    </row>
    <row r="21" spans="2:13" ht="17.25" customHeight="1">
      <c r="B21" s="429"/>
      <c r="C21" s="96" t="s">
        <v>1266</v>
      </c>
      <c r="D21" s="97">
        <f>SUMIFS('0114 4度C'!$AD:$AD,'0114 4度C'!$A:$A,"新豐6線",'0114 4度C'!$B:$B,"平均")</f>
        <v>0</v>
      </c>
      <c r="E21" s="98">
        <f>SUMIFS('0114 4度C'!$AD:$AD,'0114 4度C'!$A:$A,"新豐2線",'0114 4度C'!$B:$B,"平均")</f>
        <v>0</v>
      </c>
      <c r="F21" s="98">
        <f>SUMIFS('0114 4度C'!$AD:$AD,'0114 4度C'!$A:$A,"新豐5線",'0114 4度C'!$B:$B,"平均")</f>
        <v>0</v>
      </c>
      <c r="G21" s="98">
        <f>SUMIFS('0114 4度C'!$AD:$AD,'0114 4度C'!$A:$A,"新豐7線",'0114 4度C'!$B:$B,"平均")</f>
        <v>0</v>
      </c>
      <c r="H21" s="98">
        <f>SUMIFS('0114 4度C'!$AD:$AD,'0114 4度C'!$A:$A,"新豐3線",'0114 4度C'!$B:$B,"平均")</f>
        <v>0</v>
      </c>
      <c r="I21" s="98">
        <f>SUMIFS('0114 4度C'!$AD:$AD,'0114 4度C'!$A:$A,"新豐1線",'0114 4度C'!$B:$B,"平均")</f>
        <v>0</v>
      </c>
      <c r="J21" s="99">
        <f>SUMIFS('0114 4度C'!$AD:$AD,'0114 4度C'!$A:$A,"新豐10線",'0114 4度C'!$B:$B,"平均")</f>
        <v>0</v>
      </c>
      <c r="K21" s="100">
        <f>SUMIFS('0114 4度C'!$AD:$AD,'0114 4度C'!$A:$A,"新豐8線",'0114 4度C'!$B:$B,"平均")</f>
        <v>0</v>
      </c>
      <c r="L21" s="98">
        <f>SUMIFS('0114 4度C'!$AD:$AD,'0114 4度C'!$A:$A,"新豐9線",'0114 4度C'!$B:$B,"平均")</f>
        <v>0</v>
      </c>
      <c r="M21" s="99">
        <f>SUMIFS('0114 4度C'!$AD:$AD,'0114 4度C'!$A:$A,"新豐4線",'0114 4度C'!$B:$B,"平均")</f>
        <v>0</v>
      </c>
    </row>
    <row r="22" spans="2:13" ht="17.25" customHeight="1">
      <c r="B22" s="430" t="s">
        <v>195</v>
      </c>
      <c r="C22" s="431"/>
      <c r="D22" s="101">
        <f>SUMIFS('0114 4度C'!$I:$I,'0114 4度C'!$A:$A,"新豐6線",'0114 4度C'!$B:$B,"平均")</f>
        <v>18.25</v>
      </c>
      <c r="E22" s="102">
        <f>SUMIFS('0114 4度C'!$I:$I,'0114 4度C'!$A:$A,"新豐2線",'0114 4度C'!$B:$B,"平均")</f>
        <v>18</v>
      </c>
      <c r="F22" s="102">
        <f>SUMIFS('0114 4度C'!$I:$I,'0114 4度C'!$A:$A,"新豐5線",'0114 4度C'!$B:$B,"平均")</f>
        <v>16.666666666666668</v>
      </c>
      <c r="G22" s="102">
        <f>SUMIFS('0114 4度C'!$I:$I,'0114 4度C'!$A:$A,"新豐7線",'0114 4度C'!$B:$B,"平均")</f>
        <v>16.600000000000001</v>
      </c>
      <c r="H22" s="102">
        <f>SUMIFS('0114 4度C'!$I:$I,'0114 4度C'!$A:$A,"新豐3線",'0114 4度C'!$B:$B,"平均")</f>
        <v>10.428571428571429</v>
      </c>
      <c r="I22" s="102">
        <f>SUMIFS('0114 4度C'!$I:$I,'0114 4度C'!$A:$A,"新豐1線",'0114 4度C'!$B:$B,"平均")</f>
        <v>18.428571428571427</v>
      </c>
      <c r="J22" s="103">
        <f>SUMIFS('0114 4度C'!$I:$I,'0114 4度C'!$A:$A,"新豐10線",'0114 4度C'!$B:$B,"平均")</f>
        <v>10.4</v>
      </c>
      <c r="K22" s="101">
        <f>SUMIFS('0114 4度C'!$I:$I,'0114 4度C'!$A:$A,"新豐8線",'0114 4度C'!$B:$B,"平均")</f>
        <v>18.2</v>
      </c>
      <c r="L22" s="102">
        <f>SUMIFS('0114 4度C'!$I:$I,'0114 4度C'!$A:$A,"新豐9線",'0114 4度C'!$B:$B,"平均")</f>
        <v>17.571428571428573</v>
      </c>
      <c r="M22" s="103">
        <f>SUMIFS('0114 4度C'!$I:$I,'0114 4度C'!$A:$A,"新豐4線",'0114 4度C'!$B:$B,"平均")</f>
        <v>16.399999999999999</v>
      </c>
    </row>
    <row r="23" spans="2:13" ht="17.25" customHeight="1">
      <c r="B23" s="430" t="s">
        <v>1267</v>
      </c>
      <c r="C23" s="431"/>
      <c r="D23" s="104" t="s">
        <v>157</v>
      </c>
      <c r="E23" s="105" t="s">
        <v>158</v>
      </c>
      <c r="F23" s="105" t="s">
        <v>1268</v>
      </c>
      <c r="G23" s="105" t="s">
        <v>1268</v>
      </c>
      <c r="H23" s="105" t="s">
        <v>159</v>
      </c>
      <c r="I23" s="105" t="s">
        <v>157</v>
      </c>
      <c r="J23" s="106" t="s">
        <v>159</v>
      </c>
      <c r="K23" s="104" t="s">
        <v>1269</v>
      </c>
      <c r="L23" s="105" t="s">
        <v>1270</v>
      </c>
      <c r="M23" s="106" t="s">
        <v>1270</v>
      </c>
    </row>
    <row r="24" spans="2:13" ht="17.25" customHeight="1">
      <c r="B24" s="430" t="s">
        <v>1271</v>
      </c>
      <c r="C24" s="431"/>
      <c r="D24" s="104"/>
      <c r="E24" s="105"/>
      <c r="F24" s="105" t="s">
        <v>1272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1273</v>
      </c>
      <c r="C25" s="433"/>
      <c r="D25" s="107"/>
      <c r="E25" s="108" t="s">
        <v>203</v>
      </c>
      <c r="F25" s="426" t="s">
        <v>1274</v>
      </c>
      <c r="G25" s="427"/>
      <c r="H25" s="108" t="s">
        <v>1275</v>
      </c>
      <c r="I25" s="108" t="s">
        <v>206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0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7"/>
  <sheetViews>
    <sheetView zoomScale="80" zoomScaleNormal="80" workbookViewId="0">
      <pane ySplit="4" topLeftCell="A5" activePane="bottomLeft" state="frozen"/>
      <selection activeCell="H13" sqref="H13"/>
      <selection pane="bottomLeft" activeCell="H13" sqref="H1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256</v>
      </c>
      <c r="B1" s="1"/>
      <c r="C1" s="2" t="s">
        <v>1</v>
      </c>
      <c r="D1" s="3">
        <f>SUM(F5:F75)</f>
        <v>159048</v>
      </c>
      <c r="E1" s="225" t="s">
        <v>2</v>
      </c>
      <c r="F1" s="1">
        <f>SUM(G5:G75)</f>
        <v>5423169.4000000013</v>
      </c>
      <c r="G1" s="1" t="s">
        <v>259</v>
      </c>
      <c r="H1" s="5">
        <f>L9+L12+L55+L63+L22+L69+L39+L47+L33+L75</f>
        <v>160.94523809523812</v>
      </c>
      <c r="I1" s="542" t="s">
        <v>260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263</v>
      </c>
      <c r="T1" s="542"/>
      <c r="U1" s="542"/>
      <c r="V1" s="542"/>
      <c r="W1" s="542"/>
      <c r="X1" s="542"/>
      <c r="Y1" s="6" t="s">
        <v>8</v>
      </c>
      <c r="Z1" s="7" t="s">
        <v>265</v>
      </c>
      <c r="AA1" s="543" t="s">
        <v>10</v>
      </c>
      <c r="AB1" s="543"/>
      <c r="AC1" s="156" t="s">
        <v>8</v>
      </c>
      <c r="AD1" s="7" t="s">
        <v>267</v>
      </c>
      <c r="AE1" s="542" t="s">
        <v>268</v>
      </c>
      <c r="AF1" s="544"/>
      <c r="AG1" s="544"/>
    </row>
    <row r="2" spans="1:33" ht="26.25" customHeight="1">
      <c r="A2" s="49">
        <v>46036</v>
      </c>
      <c r="B2" s="50" t="s">
        <v>520</v>
      </c>
      <c r="C2" s="2" t="s">
        <v>13</v>
      </c>
      <c r="D2" s="10">
        <f>AVERAGE(N9,N12,N55,N63,N22,N69,N33,N39,N47,N75)</f>
        <v>134.43883848534941</v>
      </c>
      <c r="E2" s="11" t="s">
        <v>14</v>
      </c>
      <c r="F2" s="12">
        <f>F1/D1</f>
        <v>34.097690005532932</v>
      </c>
      <c r="G2" s="1" t="s">
        <v>15</v>
      </c>
      <c r="H2" s="224">
        <f>COUNT(H5:H75)</f>
        <v>6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SUM(Y9+Y12+Y22+Y33+Y39+Y47+Y55+Y63+Y69+Y75)</f>
        <v>0</v>
      </c>
      <c r="Z2" s="14">
        <f>SUM(Z9+Z12+Z22+Z33+Z39+Z47+Z55+Z63+Z69+Z75)</f>
        <v>0</v>
      </c>
      <c r="AA2" s="543"/>
      <c r="AB2" s="543"/>
      <c r="AC2" s="157">
        <v>39</v>
      </c>
      <c r="AD2" s="14">
        <f>SUM(AD9+AD12+AD22+AD33+AD39+AD47+AD55+AD63+AD69+AD75)</f>
        <v>0</v>
      </c>
      <c r="AE2" s="544"/>
      <c r="AF2" s="544"/>
      <c r="AG2" s="544"/>
    </row>
    <row r="3" spans="1:33" ht="40.5" customHeight="1">
      <c r="A3" s="491" t="s">
        <v>271</v>
      </c>
      <c r="B3" s="491" t="s">
        <v>272</v>
      </c>
      <c r="C3" s="491" t="s">
        <v>18</v>
      </c>
      <c r="D3" s="491"/>
      <c r="E3" s="540" t="s">
        <v>19</v>
      </c>
      <c r="F3" s="491" t="s">
        <v>275</v>
      </c>
      <c r="G3" s="540" t="s">
        <v>21</v>
      </c>
      <c r="H3" s="533" t="s">
        <v>277</v>
      </c>
      <c r="I3" s="531" t="s">
        <v>278</v>
      </c>
      <c r="J3" s="528" t="s">
        <v>24</v>
      </c>
      <c r="K3" s="538" t="s">
        <v>13</v>
      </c>
      <c r="L3" s="531" t="s">
        <v>278</v>
      </c>
      <c r="M3" s="528" t="s">
        <v>24</v>
      </c>
      <c r="N3" s="538" t="s">
        <v>13</v>
      </c>
      <c r="O3" s="531" t="s">
        <v>278</v>
      </c>
      <c r="P3" s="538" t="s">
        <v>13</v>
      </c>
      <c r="Q3" s="529" t="s">
        <v>25</v>
      </c>
      <c r="R3" s="507" t="s">
        <v>282</v>
      </c>
      <c r="S3" s="539" t="s">
        <v>27</v>
      </c>
      <c r="T3" s="539"/>
      <c r="U3" s="533" t="s">
        <v>28</v>
      </c>
      <c r="V3" s="533" t="s">
        <v>29</v>
      </c>
      <c r="W3" s="491" t="s">
        <v>284</v>
      </c>
      <c r="X3" s="491"/>
      <c r="Y3" s="534" t="s">
        <v>31</v>
      </c>
      <c r="Z3" s="495"/>
      <c r="AA3" s="535" t="s">
        <v>286</v>
      </c>
      <c r="AB3" s="536"/>
      <c r="AC3" s="534" t="s">
        <v>33</v>
      </c>
      <c r="AD3" s="495"/>
      <c r="AE3" s="528" t="s">
        <v>24</v>
      </c>
      <c r="AF3" s="529" t="s">
        <v>25</v>
      </c>
      <c r="AG3" s="507" t="s">
        <v>282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30" t="s">
        <v>37</v>
      </c>
      <c r="T4" s="230" t="s">
        <v>38</v>
      </c>
      <c r="U4" s="533"/>
      <c r="V4" s="533"/>
      <c r="W4" s="225" t="s">
        <v>39</v>
      </c>
      <c r="X4" s="225" t="s">
        <v>1276</v>
      </c>
      <c r="Y4" s="229" t="s">
        <v>41</v>
      </c>
      <c r="Z4" s="229" t="s">
        <v>42</v>
      </c>
      <c r="AA4" s="537"/>
      <c r="AB4" s="536"/>
      <c r="AC4" s="229" t="s">
        <v>295</v>
      </c>
      <c r="AD4" s="229" t="s">
        <v>44</v>
      </c>
      <c r="AE4" s="528"/>
      <c r="AF4" s="529"/>
      <c r="AG4" s="507"/>
    </row>
    <row r="5" spans="1:33">
      <c r="A5" s="530" t="s">
        <v>1277</v>
      </c>
      <c r="B5" s="42" t="s">
        <v>103</v>
      </c>
      <c r="C5" s="532" t="s">
        <v>120</v>
      </c>
      <c r="D5" s="532"/>
      <c r="E5" s="42">
        <v>50.67</v>
      </c>
      <c r="F5" s="230">
        <v>1311</v>
      </c>
      <c r="G5" s="225">
        <f t="shared" ref="G5:G8" si="0">E5*F5</f>
        <v>66428.37</v>
      </c>
      <c r="H5" s="125" t="s">
        <v>79</v>
      </c>
      <c r="I5" s="226">
        <v>17</v>
      </c>
      <c r="J5" s="37">
        <v>2000</v>
      </c>
      <c r="K5" s="17">
        <f t="shared" ref="K5:K68" si="1">J5/I5</f>
        <v>117.64705882352941</v>
      </c>
      <c r="L5" s="226">
        <v>17</v>
      </c>
      <c r="M5" s="18">
        <f t="shared" ref="M5:M8" si="2">F5/V5*60</f>
        <v>1918.5365853658532</v>
      </c>
      <c r="N5" s="17">
        <f t="shared" ref="N5:N68" si="3">M5/L5</f>
        <v>112.8550932568149</v>
      </c>
      <c r="O5" s="19">
        <f t="shared" ref="O5:O68" si="4">L5-I5</f>
        <v>0</v>
      </c>
      <c r="P5" s="20">
        <f t="shared" ref="P5:P68" si="5">N5-K5</f>
        <v>-4.7919655667145094</v>
      </c>
      <c r="Q5" s="227">
        <f t="shared" ref="Q5:Q68" si="6">N5/K5</f>
        <v>0.95926829268292668</v>
      </c>
      <c r="R5" s="489">
        <f>Q9</f>
        <v>0.95853241609339157</v>
      </c>
      <c r="S5" s="40">
        <v>0.70833333333333337</v>
      </c>
      <c r="T5" s="40">
        <v>0.7368055555555556</v>
      </c>
      <c r="U5" s="225"/>
      <c r="V5" s="228">
        <f t="shared" ref="V5:V8" si="7">(T5-S5)*24*60</f>
        <v>41.000000000000014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-81.463414634146829</v>
      </c>
      <c r="AF5" s="227">
        <f t="shared" ref="AF5:AF68" si="9">M5/J5</f>
        <v>0.95926829268292657</v>
      </c>
      <c r="AG5" s="489">
        <f>AF9</f>
        <v>0.95853241609339146</v>
      </c>
    </row>
    <row r="6" spans="1:33">
      <c r="A6" s="531" t="s">
        <v>1277</v>
      </c>
      <c r="B6" s="42" t="s">
        <v>103</v>
      </c>
      <c r="C6" s="532" t="s">
        <v>121</v>
      </c>
      <c r="D6" s="532"/>
      <c r="E6" s="42">
        <v>54.09</v>
      </c>
      <c r="F6" s="230">
        <v>1310</v>
      </c>
      <c r="G6" s="225">
        <f t="shared" si="0"/>
        <v>70857.900000000009</v>
      </c>
      <c r="H6" s="125" t="s">
        <v>79</v>
      </c>
      <c r="I6" s="226">
        <v>19</v>
      </c>
      <c r="J6" s="37">
        <v>2000</v>
      </c>
      <c r="K6" s="17">
        <f t="shared" si="1"/>
        <v>105.26315789473684</v>
      </c>
      <c r="L6" s="226">
        <v>19</v>
      </c>
      <c r="M6" s="18">
        <f t="shared" si="2"/>
        <v>1917.0731707317066</v>
      </c>
      <c r="N6" s="17">
        <f t="shared" si="3"/>
        <v>100.89858793324771</v>
      </c>
      <c r="O6" s="19">
        <f t="shared" si="4"/>
        <v>0</v>
      </c>
      <c r="P6" s="20">
        <f t="shared" si="5"/>
        <v>-4.3645699614891242</v>
      </c>
      <c r="Q6" s="227">
        <f t="shared" si="6"/>
        <v>0.95853658536585329</v>
      </c>
      <c r="R6" s="489"/>
      <c r="S6" s="40">
        <v>0.74027777777777781</v>
      </c>
      <c r="T6" s="40">
        <v>0.76875000000000004</v>
      </c>
      <c r="U6" s="225">
        <f t="shared" ref="U6:U8" si="10">IF(S6=TIME(17,0,0),"",(S6-T5)*24*60)</f>
        <v>4.9999999999999822</v>
      </c>
      <c r="V6" s="228">
        <f t="shared" si="7"/>
        <v>41.000000000000014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-82.926829268293432</v>
      </c>
      <c r="AF6" s="227">
        <f t="shared" si="9"/>
        <v>0.95853658536585329</v>
      </c>
      <c r="AG6" s="489"/>
    </row>
    <row r="7" spans="1:33">
      <c r="A7" s="531" t="s">
        <v>1277</v>
      </c>
      <c r="B7" s="42" t="s">
        <v>103</v>
      </c>
      <c r="C7" s="523" t="s">
        <v>515</v>
      </c>
      <c r="D7" s="524"/>
      <c r="E7" s="42">
        <v>50.67</v>
      </c>
      <c r="F7" s="230">
        <v>1720</v>
      </c>
      <c r="G7" s="225">
        <f t="shared" si="0"/>
        <v>87152.400000000009</v>
      </c>
      <c r="H7" s="125" t="s">
        <v>79</v>
      </c>
      <c r="I7" s="226">
        <v>21</v>
      </c>
      <c r="J7" s="37">
        <v>2000</v>
      </c>
      <c r="K7" s="17">
        <f t="shared" si="1"/>
        <v>95.238095238095241</v>
      </c>
      <c r="L7" s="226">
        <v>21</v>
      </c>
      <c r="M7" s="18">
        <f t="shared" si="2"/>
        <v>1911.1111111111122</v>
      </c>
      <c r="N7" s="17">
        <f t="shared" si="3"/>
        <v>91.005291005291056</v>
      </c>
      <c r="O7" s="19">
        <f t="shared" si="4"/>
        <v>0</v>
      </c>
      <c r="P7" s="20">
        <f t="shared" si="5"/>
        <v>-4.2328042328041846</v>
      </c>
      <c r="Q7" s="227">
        <f t="shared" si="6"/>
        <v>0.95555555555555605</v>
      </c>
      <c r="R7" s="489"/>
      <c r="S7" s="40">
        <v>0.77222222222222225</v>
      </c>
      <c r="T7" s="40">
        <v>0.80972222222222223</v>
      </c>
      <c r="U7" s="225">
        <f t="shared" si="10"/>
        <v>4.9999999999999822</v>
      </c>
      <c r="V7" s="228">
        <f t="shared" si="7"/>
        <v>53.999999999999972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-88.888888888887777</v>
      </c>
      <c r="AF7" s="227">
        <f t="shared" si="9"/>
        <v>0.95555555555555616</v>
      </c>
      <c r="AG7" s="489"/>
    </row>
    <row r="8" spans="1:33">
      <c r="A8" s="531" t="s">
        <v>47</v>
      </c>
      <c r="B8" s="42" t="s">
        <v>103</v>
      </c>
      <c r="C8" s="523" t="s">
        <v>122</v>
      </c>
      <c r="D8" s="524"/>
      <c r="E8" s="42">
        <v>50.29</v>
      </c>
      <c r="F8" s="230">
        <v>1249</v>
      </c>
      <c r="G8" s="225">
        <f t="shared" si="0"/>
        <v>62812.21</v>
      </c>
      <c r="H8" s="125" t="s">
        <v>79</v>
      </c>
      <c r="I8" s="226">
        <v>16</v>
      </c>
      <c r="J8" s="37">
        <v>2000</v>
      </c>
      <c r="K8" s="17">
        <f t="shared" si="1"/>
        <v>125</v>
      </c>
      <c r="L8" s="226">
        <v>16</v>
      </c>
      <c r="M8" s="18">
        <f t="shared" si="2"/>
        <v>1921.5384615384605</v>
      </c>
      <c r="N8" s="17">
        <f t="shared" si="3"/>
        <v>120.09615384615378</v>
      </c>
      <c r="O8" s="19">
        <f t="shared" si="4"/>
        <v>0</v>
      </c>
      <c r="P8" s="20">
        <f t="shared" si="5"/>
        <v>-4.9038461538462172</v>
      </c>
      <c r="Q8" s="227">
        <f t="shared" si="6"/>
        <v>0.96076923076923026</v>
      </c>
      <c r="R8" s="489"/>
      <c r="S8" s="40">
        <v>0.81388888888888888</v>
      </c>
      <c r="T8" s="40">
        <v>0.84097222222222223</v>
      </c>
      <c r="U8" s="225">
        <f t="shared" si="10"/>
        <v>5.9999999999999787</v>
      </c>
      <c r="V8" s="228">
        <f t="shared" si="7"/>
        <v>39.000000000000021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-78.461538461539476</v>
      </c>
      <c r="AF8" s="227">
        <f t="shared" si="9"/>
        <v>0.96076923076923026</v>
      </c>
      <c r="AG8" s="489"/>
    </row>
    <row r="9" spans="1:33">
      <c r="A9" s="531" t="s">
        <v>47</v>
      </c>
      <c r="B9" s="42" t="s">
        <v>71</v>
      </c>
      <c r="C9" s="494"/>
      <c r="D9" s="494"/>
      <c r="E9" s="231"/>
      <c r="F9" s="44"/>
      <c r="G9" s="17"/>
      <c r="H9" s="230"/>
      <c r="I9" s="30">
        <v>18.25</v>
      </c>
      <c r="J9" s="37">
        <v>2000</v>
      </c>
      <c r="K9" s="17">
        <f t="shared" si="1"/>
        <v>109.58904109589041</v>
      </c>
      <c r="L9" s="30">
        <v>18.25</v>
      </c>
      <c r="M9" s="18">
        <f>AVERAGE(M5:M8)</f>
        <v>1917.064832186783</v>
      </c>
      <c r="N9" s="17">
        <f t="shared" si="3"/>
        <v>105.04464833900181</v>
      </c>
      <c r="O9" s="19">
        <f t="shared" si="4"/>
        <v>0</v>
      </c>
      <c r="P9" s="20">
        <f t="shared" si="5"/>
        <v>-4.5443927568885982</v>
      </c>
      <c r="Q9" s="227">
        <f t="shared" si="6"/>
        <v>0.95853241609339157</v>
      </c>
      <c r="R9" s="489"/>
      <c r="S9" s="40"/>
      <c r="T9" s="40"/>
      <c r="U9" s="225"/>
      <c r="V9" s="228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v>1</v>
      </c>
      <c r="AD9" s="31">
        <f>SUM(AD5:AD8)</f>
        <v>0</v>
      </c>
      <c r="AE9" s="19">
        <f t="shared" si="8"/>
        <v>-82.935167813217049</v>
      </c>
      <c r="AF9" s="227">
        <f t="shared" si="9"/>
        <v>0.95853241609339146</v>
      </c>
      <c r="AG9" s="489"/>
    </row>
    <row r="10" spans="1:33" ht="15.75" customHeight="1">
      <c r="A10" s="527" t="s">
        <v>50</v>
      </c>
      <c r="B10" s="42" t="s">
        <v>100</v>
      </c>
      <c r="C10" s="523" t="s">
        <v>124</v>
      </c>
      <c r="D10" s="524"/>
      <c r="E10" s="42">
        <v>39.619999999999997</v>
      </c>
      <c r="F10" s="230">
        <v>3145</v>
      </c>
      <c r="G10" s="225">
        <f t="shared" ref="G10:G11" si="11">E10*F10</f>
        <v>124604.9</v>
      </c>
      <c r="H10" s="125" t="s">
        <v>79</v>
      </c>
      <c r="I10" s="226">
        <v>19</v>
      </c>
      <c r="J10" s="37">
        <v>1500</v>
      </c>
      <c r="K10" s="17">
        <f t="shared" si="1"/>
        <v>78.94736842105263</v>
      </c>
      <c r="L10" s="226">
        <v>19</v>
      </c>
      <c r="M10" s="18">
        <f t="shared" ref="M10:M11" si="12">F10/V10*60</f>
        <v>1429.5454545454552</v>
      </c>
      <c r="N10" s="17">
        <f t="shared" si="3"/>
        <v>75.239234449760801</v>
      </c>
      <c r="O10" s="19">
        <f t="shared" si="4"/>
        <v>0</v>
      </c>
      <c r="P10" s="20">
        <f t="shared" si="5"/>
        <v>-3.7081339712918293</v>
      </c>
      <c r="Q10" s="227">
        <f t="shared" si="6"/>
        <v>0.95303030303030345</v>
      </c>
      <c r="R10" s="489">
        <f>Q12</f>
        <v>0.95231515151515178</v>
      </c>
      <c r="S10" s="40">
        <v>0.16666666666666666</v>
      </c>
      <c r="T10" s="40">
        <v>0.2583333333333333</v>
      </c>
      <c r="U10" s="225"/>
      <c r="V10" s="228">
        <f t="shared" ref="V10:V11" si="13">(T10-S10)*24*60</f>
        <v>131.99999999999994</v>
      </c>
      <c r="W10" s="23">
        <f>T10</f>
        <v>0.2583333333333333</v>
      </c>
      <c r="X10" s="23">
        <f>S11</f>
        <v>0.27708333333333329</v>
      </c>
      <c r="Y10" s="23"/>
      <c r="Z10" s="23"/>
      <c r="AA10" s="491"/>
      <c r="AB10" s="491"/>
      <c r="AC10" s="154">
        <v>2</v>
      </c>
      <c r="AD10" s="25"/>
      <c r="AE10" s="19">
        <f t="shared" si="8"/>
        <v>-70.454545454544814</v>
      </c>
      <c r="AF10" s="227">
        <f t="shared" si="9"/>
        <v>0.95303030303030345</v>
      </c>
      <c r="AG10" s="489">
        <f>AF12</f>
        <v>0.95231515151515167</v>
      </c>
    </row>
    <row r="11" spans="1:33" ht="15.75" customHeight="1">
      <c r="A11" s="527" t="s">
        <v>50</v>
      </c>
      <c r="B11" s="42" t="s">
        <v>100</v>
      </c>
      <c r="C11" s="523" t="s">
        <v>125</v>
      </c>
      <c r="D11" s="524"/>
      <c r="E11" s="42">
        <v>39.799999999999997</v>
      </c>
      <c r="F11" s="230">
        <v>4758</v>
      </c>
      <c r="G11" s="225">
        <f t="shared" si="11"/>
        <v>189368.4</v>
      </c>
      <c r="H11" s="125" t="s">
        <v>79</v>
      </c>
      <c r="I11" s="226">
        <v>17</v>
      </c>
      <c r="J11" s="37">
        <v>1500</v>
      </c>
      <c r="K11" s="17">
        <f t="shared" si="1"/>
        <v>88.235294117647058</v>
      </c>
      <c r="L11" s="226">
        <v>17</v>
      </c>
      <c r="M11" s="18">
        <f t="shared" si="12"/>
        <v>1427.3999999999999</v>
      </c>
      <c r="N11" s="17">
        <f t="shared" si="3"/>
        <v>83.964705882352931</v>
      </c>
      <c r="O11" s="19">
        <f t="shared" si="4"/>
        <v>0</v>
      </c>
      <c r="P11" s="20">
        <f t="shared" si="5"/>
        <v>-4.2705882352941273</v>
      </c>
      <c r="Q11" s="227">
        <f t="shared" si="6"/>
        <v>0.95159999999999989</v>
      </c>
      <c r="R11" s="489"/>
      <c r="S11" s="40">
        <v>0.27708333333333329</v>
      </c>
      <c r="T11" s="40">
        <v>0.41597222222222219</v>
      </c>
      <c r="U11" s="225">
        <f t="shared" ref="U11" si="14">IF(S11=TIME(17,0,0),"",(S11-T10)*24*60)</f>
        <v>26.999999999999986</v>
      </c>
      <c r="V11" s="228">
        <f t="shared" si="13"/>
        <v>200</v>
      </c>
      <c r="W11" s="23"/>
      <c r="X11" s="23"/>
      <c r="Y11" s="23"/>
      <c r="Z11" s="23"/>
      <c r="AA11" s="491"/>
      <c r="AB11" s="491"/>
      <c r="AC11" s="154"/>
      <c r="AD11" s="25"/>
      <c r="AE11" s="19">
        <f t="shared" si="8"/>
        <v>-72.600000000000136</v>
      </c>
      <c r="AF11" s="227">
        <f t="shared" si="9"/>
        <v>0.95159999999999989</v>
      </c>
      <c r="AG11" s="489"/>
    </row>
    <row r="12" spans="1:33" ht="16.5" customHeight="1">
      <c r="A12" s="527" t="s">
        <v>50</v>
      </c>
      <c r="B12" s="42" t="s">
        <v>71</v>
      </c>
      <c r="C12" s="494"/>
      <c r="D12" s="494"/>
      <c r="E12" s="231"/>
      <c r="F12" s="37"/>
      <c r="G12" s="18"/>
      <c r="H12" s="230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1428.4727272727275</v>
      </c>
      <c r="N12" s="17">
        <f t="shared" si="3"/>
        <v>79.359595959595978</v>
      </c>
      <c r="O12" s="19">
        <f t="shared" si="4"/>
        <v>0</v>
      </c>
      <c r="P12" s="20">
        <f t="shared" si="5"/>
        <v>-3.9737373737373503</v>
      </c>
      <c r="Q12" s="227">
        <f t="shared" si="6"/>
        <v>0.95231515151515178</v>
      </c>
      <c r="R12" s="489"/>
      <c r="S12" s="40"/>
      <c r="T12" s="40"/>
      <c r="U12" s="17"/>
      <c r="V12" s="228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v>2</v>
      </c>
      <c r="AD12" s="31">
        <f>SUM(AD10:AD11)</f>
        <v>0</v>
      </c>
      <c r="AE12" s="19">
        <f t="shared" si="8"/>
        <v>-71.527272727272475</v>
      </c>
      <c r="AF12" s="227">
        <f t="shared" si="9"/>
        <v>0.95231515151515167</v>
      </c>
      <c r="AG12" s="489"/>
    </row>
    <row r="13" spans="1:33" ht="16.5" customHeight="1">
      <c r="A13" s="525" t="s">
        <v>52</v>
      </c>
      <c r="B13" s="230" t="s">
        <v>126</v>
      </c>
      <c r="C13" s="515" t="s">
        <v>127</v>
      </c>
      <c r="D13" s="515"/>
      <c r="E13" s="42">
        <v>41</v>
      </c>
      <c r="F13" s="230">
        <v>2289</v>
      </c>
      <c r="G13" s="225">
        <f t="shared" ref="G13:G21" si="15">E13*F13</f>
        <v>93849</v>
      </c>
      <c r="H13" s="125" t="s">
        <v>79</v>
      </c>
      <c r="I13" s="226">
        <v>26</v>
      </c>
      <c r="J13" s="37">
        <v>1500</v>
      </c>
      <c r="K13" s="17">
        <f t="shared" si="1"/>
        <v>57.692307692307693</v>
      </c>
      <c r="L13" s="226">
        <v>26</v>
      </c>
      <c r="M13" s="18">
        <f t="shared" ref="M13:M21" si="16">F13/V13*60</f>
        <v>1430.6249999999998</v>
      </c>
      <c r="N13" s="17">
        <f t="shared" si="3"/>
        <v>55.024038461538453</v>
      </c>
      <c r="O13" s="19">
        <f t="shared" si="4"/>
        <v>0</v>
      </c>
      <c r="P13" s="20">
        <f t="shared" si="5"/>
        <v>-2.6682692307692406</v>
      </c>
      <c r="Q13" s="227">
        <f t="shared" si="6"/>
        <v>0.95374999999999988</v>
      </c>
      <c r="R13" s="489">
        <f>Q22</f>
        <v>0.96168262208915667</v>
      </c>
      <c r="S13" s="40">
        <v>0.20833333333333334</v>
      </c>
      <c r="T13" s="40">
        <v>0.27500000000000002</v>
      </c>
      <c r="U13" s="225"/>
      <c r="V13" s="228">
        <f t="shared" ref="V13:V21" si="17">(T13-S13)*24*60</f>
        <v>96.000000000000014</v>
      </c>
      <c r="W13" s="28"/>
      <c r="X13" s="28"/>
      <c r="Y13" s="28"/>
      <c r="Z13" s="28"/>
      <c r="AA13" s="491"/>
      <c r="AB13" s="491"/>
      <c r="AC13" s="154">
        <v>4</v>
      </c>
      <c r="AD13" s="25"/>
      <c r="AE13" s="19">
        <f t="shared" si="8"/>
        <v>-69.375000000000227</v>
      </c>
      <c r="AF13" s="227">
        <f t="shared" si="9"/>
        <v>0.95374999999999988</v>
      </c>
      <c r="AG13" s="489">
        <f>AF22</f>
        <v>0.96168262208915656</v>
      </c>
    </row>
    <row r="14" spans="1:33" ht="16.5" customHeight="1">
      <c r="A14" s="526" t="s">
        <v>52</v>
      </c>
      <c r="B14" s="230" t="s">
        <v>128</v>
      </c>
      <c r="C14" s="515" t="s">
        <v>129</v>
      </c>
      <c r="D14" s="515"/>
      <c r="E14" s="42">
        <v>72.400000000000006</v>
      </c>
      <c r="F14" s="230">
        <v>945</v>
      </c>
      <c r="G14" s="225">
        <f t="shared" si="15"/>
        <v>68418</v>
      </c>
      <c r="H14" s="125" t="s">
        <v>79</v>
      </c>
      <c r="I14" s="226">
        <v>18</v>
      </c>
      <c r="J14" s="37">
        <v>1500</v>
      </c>
      <c r="K14" s="17">
        <f t="shared" si="1"/>
        <v>83.333333333333329</v>
      </c>
      <c r="L14" s="226">
        <v>18</v>
      </c>
      <c r="M14" s="18">
        <f t="shared" si="16"/>
        <v>1453.8461538461531</v>
      </c>
      <c r="N14" s="17">
        <f t="shared" si="3"/>
        <v>80.769230769230731</v>
      </c>
      <c r="O14" s="19">
        <f t="shared" si="4"/>
        <v>0</v>
      </c>
      <c r="P14" s="20">
        <f t="shared" si="5"/>
        <v>-2.5641025641025976</v>
      </c>
      <c r="Q14" s="227">
        <f t="shared" si="6"/>
        <v>0.96923076923076878</v>
      </c>
      <c r="R14" s="489"/>
      <c r="S14" s="40">
        <v>0.27986111111111112</v>
      </c>
      <c r="T14" s="40">
        <v>0.30694444444444446</v>
      </c>
      <c r="U14" s="225">
        <f t="shared" ref="U14:U21" si="18">IF(S14=TIME(17,0,0),"",(S14-T13)*24*60)</f>
        <v>6.9999999999999751</v>
      </c>
      <c r="V14" s="228">
        <f t="shared" si="17"/>
        <v>39.000000000000021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-46.153846153846871</v>
      </c>
      <c r="AF14" s="227">
        <f t="shared" si="9"/>
        <v>0.96923076923076878</v>
      </c>
      <c r="AG14" s="489"/>
    </row>
    <row r="15" spans="1:33" ht="16.5" customHeight="1">
      <c r="A15" s="526" t="s">
        <v>52</v>
      </c>
      <c r="B15" s="230" t="s">
        <v>130</v>
      </c>
      <c r="C15" s="515" t="s">
        <v>131</v>
      </c>
      <c r="D15" s="515"/>
      <c r="E15" s="42">
        <v>50.67</v>
      </c>
      <c r="F15" s="230">
        <v>1182</v>
      </c>
      <c r="G15" s="225">
        <f t="shared" si="15"/>
        <v>59891.94</v>
      </c>
      <c r="H15" s="125" t="s">
        <v>79</v>
      </c>
      <c r="I15" s="226">
        <v>16</v>
      </c>
      <c r="J15" s="37">
        <v>1500</v>
      </c>
      <c r="K15" s="17">
        <f t="shared" si="1"/>
        <v>93.75</v>
      </c>
      <c r="L15" s="226">
        <v>16</v>
      </c>
      <c r="M15" s="18">
        <f t="shared" si="16"/>
        <v>1447.3469387755106</v>
      </c>
      <c r="N15" s="17">
        <f t="shared" si="3"/>
        <v>90.459183673469411</v>
      </c>
      <c r="O15" s="19">
        <f t="shared" si="4"/>
        <v>0</v>
      </c>
      <c r="P15" s="20">
        <f t="shared" si="5"/>
        <v>-3.2908163265305888</v>
      </c>
      <c r="Q15" s="227">
        <f t="shared" si="6"/>
        <v>0.96489795918367371</v>
      </c>
      <c r="R15" s="489"/>
      <c r="S15" s="40">
        <v>0.31180555555555556</v>
      </c>
      <c r="T15" s="40">
        <v>0.34583333333333333</v>
      </c>
      <c r="U15" s="225">
        <f t="shared" si="18"/>
        <v>6.9999999999999751</v>
      </c>
      <c r="V15" s="228">
        <f t="shared" si="17"/>
        <v>48.999999999999986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-52.65306122448942</v>
      </c>
      <c r="AF15" s="227">
        <f t="shared" si="9"/>
        <v>0.96489795918367371</v>
      </c>
      <c r="AG15" s="489"/>
    </row>
    <row r="16" spans="1:33" ht="16.5" customHeight="1">
      <c r="A16" s="526" t="s">
        <v>52</v>
      </c>
      <c r="B16" s="230" t="s">
        <v>103</v>
      </c>
      <c r="C16" s="515" t="s">
        <v>123</v>
      </c>
      <c r="D16" s="515"/>
      <c r="E16" s="42">
        <v>50.98</v>
      </c>
      <c r="F16" s="230">
        <v>800</v>
      </c>
      <c r="G16" s="225">
        <f t="shared" si="15"/>
        <v>40784</v>
      </c>
      <c r="H16" s="125">
        <v>2</v>
      </c>
      <c r="I16" s="226">
        <v>16</v>
      </c>
      <c r="J16" s="37">
        <v>2000</v>
      </c>
      <c r="K16" s="17">
        <f t="shared" si="1"/>
        <v>125</v>
      </c>
      <c r="L16" s="226">
        <v>16</v>
      </c>
      <c r="M16" s="18">
        <f t="shared" si="16"/>
        <v>1919.9999999999945</v>
      </c>
      <c r="N16" s="17">
        <f t="shared" si="3"/>
        <v>119.99999999999966</v>
      </c>
      <c r="O16" s="19">
        <f t="shared" si="4"/>
        <v>0</v>
      </c>
      <c r="P16" s="20">
        <f t="shared" si="5"/>
        <v>-5.0000000000003411</v>
      </c>
      <c r="Q16" s="227">
        <f t="shared" si="6"/>
        <v>0.9599999999999973</v>
      </c>
      <c r="R16" s="489"/>
      <c r="S16" s="40">
        <v>0.70833333333333337</v>
      </c>
      <c r="T16" s="40">
        <v>0.72569444444444453</v>
      </c>
      <c r="U16" s="225" t="str">
        <f t="shared" si="18"/>
        <v/>
      </c>
      <c r="V16" s="228">
        <f t="shared" si="17"/>
        <v>25.000000000000071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-80.000000000005457</v>
      </c>
      <c r="AF16" s="227">
        <f t="shared" si="9"/>
        <v>0.9599999999999973</v>
      </c>
      <c r="AG16" s="489"/>
    </row>
    <row r="17" spans="1:33" ht="16.5" customHeight="1">
      <c r="A17" s="526" t="s">
        <v>52</v>
      </c>
      <c r="B17" s="230" t="s">
        <v>103</v>
      </c>
      <c r="C17" s="515" t="s">
        <v>132</v>
      </c>
      <c r="D17" s="515"/>
      <c r="E17" s="42">
        <v>50.92</v>
      </c>
      <c r="F17" s="230">
        <v>800</v>
      </c>
      <c r="G17" s="225">
        <f t="shared" si="15"/>
        <v>40736</v>
      </c>
      <c r="H17" s="125">
        <v>2</v>
      </c>
      <c r="I17" s="226">
        <v>15</v>
      </c>
      <c r="J17" s="37">
        <v>2000</v>
      </c>
      <c r="K17" s="17">
        <f t="shared" si="1"/>
        <v>133.33333333333334</v>
      </c>
      <c r="L17" s="226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27">
        <f t="shared" si="6"/>
        <v>0.95999999999999719</v>
      </c>
      <c r="R17" s="489"/>
      <c r="S17" s="40">
        <v>0.72916666666666674</v>
      </c>
      <c r="T17" s="40">
        <v>0.7465277777777779</v>
      </c>
      <c r="U17" s="225">
        <f t="shared" si="18"/>
        <v>4.9999999999999822</v>
      </c>
      <c r="V17" s="228">
        <f t="shared" si="17"/>
        <v>25.000000000000071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-80.000000000005457</v>
      </c>
      <c r="AF17" s="227">
        <f t="shared" si="9"/>
        <v>0.9599999999999973</v>
      </c>
      <c r="AG17" s="489"/>
    </row>
    <row r="18" spans="1:33" ht="16.5" customHeight="1">
      <c r="A18" s="526" t="s">
        <v>52</v>
      </c>
      <c r="B18" s="230" t="s">
        <v>103</v>
      </c>
      <c r="C18" s="521" t="s">
        <v>133</v>
      </c>
      <c r="D18" s="522"/>
      <c r="E18" s="42">
        <v>50.67</v>
      </c>
      <c r="F18" s="230">
        <v>1668</v>
      </c>
      <c r="G18" s="225">
        <f t="shared" si="15"/>
        <v>84517.56</v>
      </c>
      <c r="H18" s="125" t="s">
        <v>79</v>
      </c>
      <c r="I18" s="226">
        <v>15</v>
      </c>
      <c r="J18" s="37">
        <v>2000</v>
      </c>
      <c r="K18" s="17">
        <f t="shared" si="1"/>
        <v>133.33333333333334</v>
      </c>
      <c r="L18" s="226">
        <v>15</v>
      </c>
      <c r="M18" s="18">
        <f t="shared" si="16"/>
        <v>1924.6153846153857</v>
      </c>
      <c r="N18" s="17">
        <f t="shared" si="3"/>
        <v>128.30769230769238</v>
      </c>
      <c r="O18" s="19">
        <f t="shared" si="4"/>
        <v>0</v>
      </c>
      <c r="P18" s="20">
        <f t="shared" si="5"/>
        <v>-5.0256410256409652</v>
      </c>
      <c r="Q18" s="227">
        <f t="shared" si="6"/>
        <v>0.96230769230769275</v>
      </c>
      <c r="R18" s="489"/>
      <c r="S18" s="40">
        <v>0.75138888888888899</v>
      </c>
      <c r="T18" s="40">
        <v>0.78750000000000009</v>
      </c>
      <c r="U18" s="225">
        <f t="shared" si="18"/>
        <v>6.9999999999999751</v>
      </c>
      <c r="V18" s="228">
        <f t="shared" si="17"/>
        <v>51.999999999999972</v>
      </c>
      <c r="W18" s="23"/>
      <c r="X18" s="23"/>
      <c r="Y18" s="26"/>
      <c r="Z18" s="26"/>
      <c r="AA18" s="503"/>
      <c r="AB18" s="504"/>
      <c r="AC18" s="154"/>
      <c r="AD18" s="25"/>
      <c r="AE18" s="19">
        <f t="shared" si="8"/>
        <v>-75.384615384614335</v>
      </c>
      <c r="AF18" s="227">
        <f t="shared" si="9"/>
        <v>0.96230769230769286</v>
      </c>
      <c r="AG18" s="489"/>
    </row>
    <row r="19" spans="1:33" ht="16.5" customHeight="1">
      <c r="A19" s="526" t="s">
        <v>52</v>
      </c>
      <c r="B19" s="230" t="s">
        <v>103</v>
      </c>
      <c r="C19" s="232" t="s">
        <v>134</v>
      </c>
      <c r="D19" s="233"/>
      <c r="E19" s="42">
        <v>57.3</v>
      </c>
      <c r="F19" s="230">
        <v>1984</v>
      </c>
      <c r="G19" s="225">
        <f t="shared" si="15"/>
        <v>113683.2</v>
      </c>
      <c r="H19" s="125" t="s">
        <v>79</v>
      </c>
      <c r="I19" s="226">
        <v>13</v>
      </c>
      <c r="J19" s="37">
        <v>2000</v>
      </c>
      <c r="K19" s="17">
        <f t="shared" si="1"/>
        <v>153.84615384615384</v>
      </c>
      <c r="L19" s="226">
        <v>13</v>
      </c>
      <c r="M19" s="18">
        <f t="shared" si="16"/>
        <v>1920.0000000000018</v>
      </c>
      <c r="N19" s="17">
        <f t="shared" si="3"/>
        <v>147.69230769230782</v>
      </c>
      <c r="O19" s="19">
        <f t="shared" si="4"/>
        <v>0</v>
      </c>
      <c r="P19" s="20">
        <f t="shared" si="5"/>
        <v>-6.1538461538460183</v>
      </c>
      <c r="Q19" s="227">
        <f t="shared" si="6"/>
        <v>0.96000000000000085</v>
      </c>
      <c r="R19" s="489"/>
      <c r="S19" s="40">
        <v>0.79236111111111118</v>
      </c>
      <c r="T19" s="40">
        <v>0.8354166666666667</v>
      </c>
      <c r="U19" s="225">
        <f t="shared" si="18"/>
        <v>6.9999999999999751</v>
      </c>
      <c r="V19" s="228">
        <f t="shared" si="17"/>
        <v>61.999999999999943</v>
      </c>
      <c r="W19" s="23">
        <f>T19</f>
        <v>0.8354166666666667</v>
      </c>
      <c r="X19" s="23">
        <f>S20</f>
        <v>0.87638888888888888</v>
      </c>
      <c r="Y19" s="26"/>
      <c r="Z19" s="26"/>
      <c r="AA19" s="503"/>
      <c r="AB19" s="504"/>
      <c r="AC19" s="154"/>
      <c r="AD19" s="25"/>
      <c r="AE19" s="19">
        <f t="shared" si="8"/>
        <v>-79.999999999998181</v>
      </c>
      <c r="AF19" s="227">
        <f t="shared" si="9"/>
        <v>0.96000000000000096</v>
      </c>
      <c r="AG19" s="489"/>
    </row>
    <row r="20" spans="1:33" ht="16.5" customHeight="1">
      <c r="A20" s="526" t="s">
        <v>52</v>
      </c>
      <c r="B20" s="230" t="s">
        <v>103</v>
      </c>
      <c r="C20" s="232" t="s">
        <v>123</v>
      </c>
      <c r="D20" s="233"/>
      <c r="E20" s="42">
        <v>50.98</v>
      </c>
      <c r="F20" s="230">
        <v>1507</v>
      </c>
      <c r="G20" s="225">
        <f t="shared" si="15"/>
        <v>76826.86</v>
      </c>
      <c r="H20" s="125" t="s">
        <v>79</v>
      </c>
      <c r="I20" s="226">
        <v>16</v>
      </c>
      <c r="J20" s="37">
        <v>2000</v>
      </c>
      <c r="K20" s="17">
        <f t="shared" si="1"/>
        <v>125</v>
      </c>
      <c r="L20" s="226">
        <v>16</v>
      </c>
      <c r="M20" s="18">
        <f t="shared" si="16"/>
        <v>1923.8297872340429</v>
      </c>
      <c r="N20" s="17">
        <f t="shared" si="3"/>
        <v>120.23936170212768</v>
      </c>
      <c r="O20" s="19">
        <f t="shared" si="4"/>
        <v>0</v>
      </c>
      <c r="P20" s="20">
        <f t="shared" si="5"/>
        <v>-4.760638297872319</v>
      </c>
      <c r="Q20" s="227">
        <f t="shared" si="6"/>
        <v>0.96191489361702143</v>
      </c>
      <c r="R20" s="489"/>
      <c r="S20" s="40">
        <v>0.87638888888888888</v>
      </c>
      <c r="T20" s="40">
        <v>0.90902777777777777</v>
      </c>
      <c r="U20" s="225">
        <f t="shared" si="18"/>
        <v>58.99999999999995</v>
      </c>
      <c r="V20" s="228">
        <f t="shared" si="17"/>
        <v>46.999999999999993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-76.170212765957103</v>
      </c>
      <c r="AF20" s="227">
        <f t="shared" si="9"/>
        <v>0.96191489361702143</v>
      </c>
      <c r="AG20" s="489"/>
    </row>
    <row r="21" spans="1:33" ht="16.5" customHeight="1">
      <c r="A21" s="526" t="s">
        <v>52</v>
      </c>
      <c r="B21" s="230" t="s">
        <v>103</v>
      </c>
      <c r="C21" s="521" t="s">
        <v>132</v>
      </c>
      <c r="D21" s="522"/>
      <c r="E21" s="42">
        <v>50.92</v>
      </c>
      <c r="F21" s="230">
        <v>1285</v>
      </c>
      <c r="G21" s="225">
        <f t="shared" si="15"/>
        <v>65432.200000000004</v>
      </c>
      <c r="H21" s="125" t="s">
        <v>79</v>
      </c>
      <c r="I21" s="226">
        <v>15</v>
      </c>
      <c r="J21" s="37">
        <v>2000</v>
      </c>
      <c r="K21" s="17">
        <f t="shared" si="1"/>
        <v>133.33333333333334</v>
      </c>
      <c r="L21" s="226">
        <v>15</v>
      </c>
      <c r="M21" s="18">
        <f t="shared" si="16"/>
        <v>1927.4999999999991</v>
      </c>
      <c r="N21" s="17">
        <f t="shared" si="3"/>
        <v>128.49999999999994</v>
      </c>
      <c r="O21" s="19">
        <f t="shared" si="4"/>
        <v>0</v>
      </c>
      <c r="P21" s="20">
        <f t="shared" si="5"/>
        <v>-4.8333333333333997</v>
      </c>
      <c r="Q21" s="227">
        <f t="shared" si="6"/>
        <v>0.96374999999999955</v>
      </c>
      <c r="R21" s="489"/>
      <c r="S21" s="40">
        <v>0.9145833333333333</v>
      </c>
      <c r="T21" s="40">
        <v>0.94236111111111109</v>
      </c>
      <c r="U21" s="225">
        <f t="shared" si="18"/>
        <v>7.9999999999999716</v>
      </c>
      <c r="V21" s="228">
        <f t="shared" si="17"/>
        <v>40.000000000000014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-72.500000000000909</v>
      </c>
      <c r="AF21" s="227">
        <f t="shared" si="9"/>
        <v>0.96374999999999955</v>
      </c>
      <c r="AG21" s="489"/>
    </row>
    <row r="22" spans="1:33" ht="16.5" customHeight="1">
      <c r="A22" s="526" t="s">
        <v>52</v>
      </c>
      <c r="B22" s="42" t="s">
        <v>71</v>
      </c>
      <c r="C22" s="494"/>
      <c r="D22" s="494"/>
      <c r="E22" s="231"/>
      <c r="F22" s="44"/>
      <c r="G22" s="17"/>
      <c r="H22" s="230"/>
      <c r="I22" s="30">
        <v>16.666666666666668</v>
      </c>
      <c r="J22" s="37">
        <v>1833.3333333333333</v>
      </c>
      <c r="K22" s="17">
        <f t="shared" si="1"/>
        <v>109.99999999999999</v>
      </c>
      <c r="L22" s="30">
        <v>16.666666666666668</v>
      </c>
      <c r="M22" s="18">
        <f>AVERAGE(M13:M21)</f>
        <v>1763.0848071634537</v>
      </c>
      <c r="N22" s="17">
        <f t="shared" si="3"/>
        <v>105.78508842980722</v>
      </c>
      <c r="O22" s="19">
        <f t="shared" si="4"/>
        <v>0</v>
      </c>
      <c r="P22" s="20">
        <f t="shared" si="5"/>
        <v>-4.2149115701927684</v>
      </c>
      <c r="Q22" s="227">
        <f t="shared" si="6"/>
        <v>0.96168262208915667</v>
      </c>
      <c r="R22" s="489"/>
      <c r="S22" s="40"/>
      <c r="T22" s="40"/>
      <c r="U22" s="225"/>
      <c r="V22" s="228"/>
      <c r="W22" s="17"/>
      <c r="X22" s="17"/>
      <c r="Y22" s="31">
        <f>SUM(Y13:Y21)</f>
        <v>0</v>
      </c>
      <c r="Z22" s="31">
        <f>SUM(Z13:Z21)</f>
        <v>0</v>
      </c>
      <c r="AA22" s="495"/>
      <c r="AB22" s="495"/>
      <c r="AC22" s="31">
        <v>4</v>
      </c>
      <c r="AD22" s="31">
        <f>SUM(AD13:AD21)</f>
        <v>0</v>
      </c>
      <c r="AE22" s="19">
        <f t="shared" si="8"/>
        <v>-70.248526169879597</v>
      </c>
      <c r="AF22" s="227">
        <f t="shared" si="9"/>
        <v>0.96168262208915656</v>
      </c>
      <c r="AG22" s="489"/>
    </row>
    <row r="23" spans="1:33" ht="15.75" customHeight="1">
      <c r="A23" s="519" t="s">
        <v>57</v>
      </c>
      <c r="B23" s="42" t="s">
        <v>126</v>
      </c>
      <c r="C23" s="515" t="s">
        <v>135</v>
      </c>
      <c r="D23" s="515"/>
      <c r="E23" s="42">
        <v>43.14</v>
      </c>
      <c r="F23" s="230">
        <v>1043</v>
      </c>
      <c r="G23" s="225">
        <f t="shared" ref="G23:G32" si="19">E23*F23</f>
        <v>44995.020000000004</v>
      </c>
      <c r="H23" s="125" t="s">
        <v>79</v>
      </c>
      <c r="I23" s="226">
        <v>17</v>
      </c>
      <c r="J23" s="37">
        <v>2000</v>
      </c>
      <c r="K23" s="17">
        <f t="shared" si="1"/>
        <v>117.64705882352941</v>
      </c>
      <c r="L23" s="226">
        <v>17</v>
      </c>
      <c r="M23" s="18">
        <f t="shared" ref="M23:M32" si="20">F23/V23*60</f>
        <v>1955.6249999999995</v>
      </c>
      <c r="N23" s="17">
        <f t="shared" si="3"/>
        <v>115.03676470588232</v>
      </c>
      <c r="O23" s="19">
        <f t="shared" si="4"/>
        <v>0</v>
      </c>
      <c r="P23" s="20">
        <f t="shared" si="5"/>
        <v>-2.6102941176470864</v>
      </c>
      <c r="Q23" s="227">
        <f t="shared" si="6"/>
        <v>0.97781249999999975</v>
      </c>
      <c r="R23" s="489">
        <f>Q33</f>
        <v>0.96393194617470945</v>
      </c>
      <c r="S23" s="40">
        <v>0.20833333333333334</v>
      </c>
      <c r="T23" s="40">
        <v>0.23055555555555557</v>
      </c>
      <c r="U23" s="225"/>
      <c r="V23" s="228">
        <f t="shared" ref="V23:V32" si="21">(T23-S23)*24*60</f>
        <v>32.000000000000007</v>
      </c>
      <c r="W23" s="28"/>
      <c r="X23" s="28"/>
      <c r="Y23" s="28"/>
      <c r="Z23" s="28"/>
      <c r="AA23" s="491"/>
      <c r="AB23" s="491"/>
      <c r="AC23" s="154">
        <v>4</v>
      </c>
      <c r="AD23" s="25"/>
      <c r="AE23" s="19">
        <f t="shared" si="8"/>
        <v>-44.375000000000455</v>
      </c>
      <c r="AF23" s="227">
        <f t="shared" si="9"/>
        <v>0.97781249999999975</v>
      </c>
      <c r="AG23" s="489">
        <f>AF33</f>
        <v>0.96393194617470945</v>
      </c>
    </row>
    <row r="24" spans="1:33" ht="15.75" customHeight="1">
      <c r="A24" s="520" t="s">
        <v>1278</v>
      </c>
      <c r="B24" s="42" t="s">
        <v>103</v>
      </c>
      <c r="C24" s="515" t="s">
        <v>137</v>
      </c>
      <c r="D24" s="515"/>
      <c r="E24" s="42">
        <v>57.73</v>
      </c>
      <c r="F24" s="230">
        <v>2201</v>
      </c>
      <c r="G24" s="225">
        <f t="shared" si="19"/>
        <v>127063.73</v>
      </c>
      <c r="H24" s="125" t="s">
        <v>79</v>
      </c>
      <c r="I24" s="226">
        <v>14</v>
      </c>
      <c r="J24" s="37">
        <v>2000</v>
      </c>
      <c r="K24" s="17">
        <f t="shared" si="1"/>
        <v>142.85714285714286</v>
      </c>
      <c r="L24" s="226">
        <v>14</v>
      </c>
      <c r="M24" s="18">
        <f t="shared" si="20"/>
        <v>1913.9130434782621</v>
      </c>
      <c r="N24" s="17">
        <f t="shared" si="3"/>
        <v>136.70807453416157</v>
      </c>
      <c r="O24" s="19">
        <f t="shared" si="4"/>
        <v>0</v>
      </c>
      <c r="P24" s="20">
        <f t="shared" si="5"/>
        <v>-6.149068322981293</v>
      </c>
      <c r="Q24" s="227">
        <f t="shared" si="6"/>
        <v>0.95695652173913093</v>
      </c>
      <c r="R24" s="489"/>
      <c r="S24" s="40">
        <v>0.23611111111111113</v>
      </c>
      <c r="T24" s="40">
        <v>0.28402777777777777</v>
      </c>
      <c r="U24" s="225">
        <f t="shared" ref="U24:U32" si="22">IF(S24=TIME(17,0,0),"",(S24-T23)*24*60)</f>
        <v>8.0000000000000107</v>
      </c>
      <c r="V24" s="228">
        <f t="shared" si="21"/>
        <v>68.999999999999957</v>
      </c>
      <c r="W24" s="23"/>
      <c r="X24" s="225"/>
      <c r="Y24" s="225"/>
      <c r="Z24" s="225"/>
      <c r="AA24" s="491"/>
      <c r="AB24" s="491"/>
      <c r="AC24" s="154"/>
      <c r="AD24" s="25"/>
      <c r="AE24" s="19">
        <f t="shared" si="8"/>
        <v>-86.086956521737875</v>
      </c>
      <c r="AF24" s="227">
        <f t="shared" si="9"/>
        <v>0.95695652173913104</v>
      </c>
      <c r="AG24" s="489"/>
    </row>
    <row r="25" spans="1:33" ht="15.75" customHeight="1">
      <c r="A25" s="520" t="s">
        <v>1279</v>
      </c>
      <c r="B25" s="42" t="s">
        <v>103</v>
      </c>
      <c r="C25" s="515" t="s">
        <v>138</v>
      </c>
      <c r="D25" s="515"/>
      <c r="E25" s="42">
        <v>53.68</v>
      </c>
      <c r="F25" s="230">
        <v>1404</v>
      </c>
      <c r="G25" s="225">
        <f t="shared" si="19"/>
        <v>75366.720000000001</v>
      </c>
      <c r="H25" s="125" t="s">
        <v>79</v>
      </c>
      <c r="I25" s="226">
        <v>16</v>
      </c>
      <c r="J25" s="37">
        <v>2000</v>
      </c>
      <c r="K25" s="17">
        <f t="shared" si="1"/>
        <v>125</v>
      </c>
      <c r="L25" s="226">
        <v>16</v>
      </c>
      <c r="M25" s="18">
        <f t="shared" si="20"/>
        <v>1914.5454545454545</v>
      </c>
      <c r="N25" s="17">
        <f t="shared" si="3"/>
        <v>119.65909090909091</v>
      </c>
      <c r="O25" s="19">
        <f t="shared" si="4"/>
        <v>0</v>
      </c>
      <c r="P25" s="20">
        <f t="shared" si="5"/>
        <v>-5.3409090909090935</v>
      </c>
      <c r="Q25" s="227">
        <f t="shared" si="6"/>
        <v>0.95727272727272728</v>
      </c>
      <c r="R25" s="489"/>
      <c r="S25" s="40">
        <v>0.2895833333333333</v>
      </c>
      <c r="T25" s="40">
        <v>0.32013888888888886</v>
      </c>
      <c r="U25" s="225">
        <f t="shared" si="22"/>
        <v>7.9999999999999716</v>
      </c>
      <c r="V25" s="228">
        <f t="shared" si="21"/>
        <v>44</v>
      </c>
      <c r="W25" s="23"/>
      <c r="X25" s="225"/>
      <c r="Y25" s="225"/>
      <c r="Z25" s="225"/>
      <c r="AA25" s="491"/>
      <c r="AB25" s="491"/>
      <c r="AC25" s="154"/>
      <c r="AD25" s="25"/>
      <c r="AE25" s="19">
        <f t="shared" si="8"/>
        <v>-85.454545454545496</v>
      </c>
      <c r="AF25" s="227">
        <f t="shared" si="9"/>
        <v>0.95727272727272728</v>
      </c>
      <c r="AG25" s="489"/>
    </row>
    <row r="26" spans="1:33" ht="15.75" customHeight="1">
      <c r="A26" s="520" t="s">
        <v>1280</v>
      </c>
      <c r="B26" s="42" t="s">
        <v>103</v>
      </c>
      <c r="C26" s="515" t="s">
        <v>139</v>
      </c>
      <c r="D26" s="515"/>
      <c r="E26" s="42">
        <v>49.91</v>
      </c>
      <c r="F26" s="230">
        <v>732</v>
      </c>
      <c r="G26" s="225">
        <f t="shared" si="19"/>
        <v>36534.119999999995</v>
      </c>
      <c r="H26" s="125" t="s">
        <v>79</v>
      </c>
      <c r="I26" s="226">
        <v>17</v>
      </c>
      <c r="J26" s="37">
        <v>2000</v>
      </c>
      <c r="K26" s="17">
        <f t="shared" si="1"/>
        <v>117.64705882352941</v>
      </c>
      <c r="L26" s="226">
        <v>17</v>
      </c>
      <c r="M26" s="18">
        <f t="shared" si="20"/>
        <v>1909.5652173913043</v>
      </c>
      <c r="N26" s="17">
        <f t="shared" si="3"/>
        <v>112.32736572890025</v>
      </c>
      <c r="O26" s="19">
        <f t="shared" si="4"/>
        <v>0</v>
      </c>
      <c r="P26" s="20">
        <f t="shared" si="5"/>
        <v>-5.3196930946291587</v>
      </c>
      <c r="Q26" s="227">
        <f t="shared" si="6"/>
        <v>0.95478260869565212</v>
      </c>
      <c r="R26" s="489"/>
      <c r="S26" s="40">
        <v>0.3256944444444444</v>
      </c>
      <c r="T26" s="40">
        <v>0.34166666666666662</v>
      </c>
      <c r="U26" s="225">
        <f t="shared" si="22"/>
        <v>7.9999999999999716</v>
      </c>
      <c r="V26" s="228">
        <f t="shared" si="21"/>
        <v>23</v>
      </c>
      <c r="W26" s="23"/>
      <c r="X26" s="225"/>
      <c r="Y26" s="225"/>
      <c r="Z26" s="225"/>
      <c r="AA26" s="491"/>
      <c r="AB26" s="491"/>
      <c r="AC26" s="154"/>
      <c r="AD26" s="25"/>
      <c r="AE26" s="19">
        <f t="shared" si="8"/>
        <v>-90.434782608695741</v>
      </c>
      <c r="AF26" s="227">
        <f t="shared" si="9"/>
        <v>0.95478260869565212</v>
      </c>
      <c r="AG26" s="489"/>
    </row>
    <row r="27" spans="1:33" ht="15.75" customHeight="1">
      <c r="A27" s="520" t="s">
        <v>1280</v>
      </c>
      <c r="B27" s="42" t="s">
        <v>103</v>
      </c>
      <c r="C27" s="515" t="s">
        <v>140</v>
      </c>
      <c r="D27" s="515"/>
      <c r="E27" s="42">
        <v>50.49</v>
      </c>
      <c r="F27" s="230">
        <v>600</v>
      </c>
      <c r="G27" s="225">
        <f t="shared" si="19"/>
        <v>30294</v>
      </c>
      <c r="H27" s="125">
        <v>2</v>
      </c>
      <c r="I27" s="226">
        <v>15</v>
      </c>
      <c r="J27" s="37">
        <v>2000</v>
      </c>
      <c r="K27" s="17">
        <f t="shared" si="1"/>
        <v>133.33333333333334</v>
      </c>
      <c r="L27" s="226">
        <v>15</v>
      </c>
      <c r="M27" s="18">
        <f t="shared" si="20"/>
        <v>2000.000000000007</v>
      </c>
      <c r="N27" s="17">
        <f t="shared" si="3"/>
        <v>133.3333333333338</v>
      </c>
      <c r="O27" s="19">
        <f t="shared" si="4"/>
        <v>0</v>
      </c>
      <c r="P27" s="20">
        <f t="shared" si="5"/>
        <v>4.5474735088646412E-13</v>
      </c>
      <c r="Q27" s="227">
        <f t="shared" si="6"/>
        <v>1.0000000000000033</v>
      </c>
      <c r="R27" s="489"/>
      <c r="S27" s="40">
        <v>0.70833333333333337</v>
      </c>
      <c r="T27" s="40">
        <v>0.72083333333333333</v>
      </c>
      <c r="U27" s="225" t="str">
        <f t="shared" si="22"/>
        <v/>
      </c>
      <c r="V27" s="228">
        <f t="shared" si="21"/>
        <v>17.999999999999936</v>
      </c>
      <c r="W27" s="23"/>
      <c r="X27" s="225"/>
      <c r="Y27" s="225"/>
      <c r="Z27" s="225"/>
      <c r="AA27" s="491"/>
      <c r="AB27" s="491"/>
      <c r="AC27" s="154"/>
      <c r="AD27" s="25"/>
      <c r="AE27" s="19">
        <f t="shared" si="8"/>
        <v>7.0485839387401938E-12</v>
      </c>
      <c r="AF27" s="227">
        <f t="shared" si="9"/>
        <v>1.0000000000000036</v>
      </c>
      <c r="AG27" s="489"/>
    </row>
    <row r="28" spans="1:33" ht="15.75" customHeight="1">
      <c r="A28" s="520" t="s">
        <v>1278</v>
      </c>
      <c r="B28" s="42" t="s">
        <v>103</v>
      </c>
      <c r="C28" s="515" t="s">
        <v>141</v>
      </c>
      <c r="D28" s="515"/>
      <c r="E28" s="42">
        <v>57.73</v>
      </c>
      <c r="F28" s="230">
        <v>1225</v>
      </c>
      <c r="G28" s="225">
        <f t="shared" si="19"/>
        <v>70719.25</v>
      </c>
      <c r="H28" s="125" t="s">
        <v>79</v>
      </c>
      <c r="I28" s="226">
        <v>16</v>
      </c>
      <c r="J28" s="37">
        <v>1500</v>
      </c>
      <c r="K28" s="17">
        <f t="shared" si="1"/>
        <v>93.75</v>
      </c>
      <c r="L28" s="226">
        <v>16</v>
      </c>
      <c r="M28" s="18">
        <f t="shared" si="20"/>
        <v>1441.176470588236</v>
      </c>
      <c r="N28" s="17">
        <f t="shared" si="3"/>
        <v>90.073529411764753</v>
      </c>
      <c r="O28" s="19">
        <f t="shared" si="4"/>
        <v>0</v>
      </c>
      <c r="P28" s="20">
        <f t="shared" si="5"/>
        <v>-3.6764705882352473</v>
      </c>
      <c r="Q28" s="227">
        <f t="shared" si="6"/>
        <v>0.96078431372549067</v>
      </c>
      <c r="R28" s="489"/>
      <c r="S28" s="40">
        <v>0.72499999999999998</v>
      </c>
      <c r="T28" s="40">
        <v>0.76041666666666663</v>
      </c>
      <c r="U28" s="225">
        <f t="shared" si="22"/>
        <v>5.9999999999999787</v>
      </c>
      <c r="V28" s="228">
        <f t="shared" si="21"/>
        <v>50.999999999999979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-58.823529411763957</v>
      </c>
      <c r="AF28" s="227">
        <f t="shared" si="9"/>
        <v>0.96078431372549067</v>
      </c>
      <c r="AG28" s="489"/>
    </row>
    <row r="29" spans="1:33" ht="15.75" customHeight="1">
      <c r="A29" s="520" t="s">
        <v>57</v>
      </c>
      <c r="B29" s="42" t="s">
        <v>103</v>
      </c>
      <c r="C29" s="515" t="s">
        <v>108</v>
      </c>
      <c r="D29" s="515"/>
      <c r="E29" s="42">
        <v>54.29</v>
      </c>
      <c r="F29" s="230">
        <v>700</v>
      </c>
      <c r="G29" s="225">
        <f t="shared" si="19"/>
        <v>38003</v>
      </c>
      <c r="H29" s="125">
        <v>2</v>
      </c>
      <c r="I29" s="226">
        <v>20</v>
      </c>
      <c r="J29" s="37">
        <v>2000</v>
      </c>
      <c r="K29" s="17">
        <f t="shared" si="1"/>
        <v>100</v>
      </c>
      <c r="L29" s="226">
        <v>20</v>
      </c>
      <c r="M29" s="18">
        <f t="shared" si="20"/>
        <v>1909.0909090909158</v>
      </c>
      <c r="N29" s="17">
        <f t="shared" si="3"/>
        <v>95.454545454545794</v>
      </c>
      <c r="O29" s="19">
        <f t="shared" si="4"/>
        <v>0</v>
      </c>
      <c r="P29" s="20">
        <f t="shared" si="5"/>
        <v>-4.5454545454542057</v>
      </c>
      <c r="Q29" s="227">
        <f t="shared" si="6"/>
        <v>0.95454545454545792</v>
      </c>
      <c r="R29" s="489"/>
      <c r="S29" s="40">
        <v>0.76458333333333328</v>
      </c>
      <c r="T29" s="40">
        <v>0.77986111111111101</v>
      </c>
      <c r="U29" s="225">
        <f t="shared" si="22"/>
        <v>5.9999999999999787</v>
      </c>
      <c r="V29" s="228">
        <f t="shared" si="21"/>
        <v>21.999999999999922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-90.909090909084171</v>
      </c>
      <c r="AF29" s="227">
        <f t="shared" si="9"/>
        <v>0.95454545454545792</v>
      </c>
      <c r="AG29" s="489"/>
    </row>
    <row r="30" spans="1:33" ht="15.75" customHeight="1">
      <c r="A30" s="520" t="s">
        <v>57</v>
      </c>
      <c r="B30" s="42" t="s">
        <v>103</v>
      </c>
      <c r="C30" s="521" t="s">
        <v>142</v>
      </c>
      <c r="D30" s="522"/>
      <c r="E30" s="42">
        <v>53.68</v>
      </c>
      <c r="F30" s="230">
        <v>1972</v>
      </c>
      <c r="G30" s="225">
        <f t="shared" si="19"/>
        <v>105856.96000000001</v>
      </c>
      <c r="H30" s="125" t="s">
        <v>79</v>
      </c>
      <c r="I30" s="226">
        <v>16</v>
      </c>
      <c r="J30" s="37">
        <v>1500</v>
      </c>
      <c r="K30" s="17">
        <f t="shared" si="1"/>
        <v>93.75</v>
      </c>
      <c r="L30" s="226">
        <v>16</v>
      </c>
      <c r="M30" s="18">
        <f t="shared" si="20"/>
        <v>1425.5421686746984</v>
      </c>
      <c r="N30" s="17">
        <f t="shared" si="3"/>
        <v>89.096385542168647</v>
      </c>
      <c r="O30" s="19">
        <f t="shared" si="4"/>
        <v>0</v>
      </c>
      <c r="P30" s="20">
        <f t="shared" si="5"/>
        <v>-4.6536144578313525</v>
      </c>
      <c r="Q30" s="227">
        <f t="shared" si="6"/>
        <v>0.9503614457831322</v>
      </c>
      <c r="R30" s="489"/>
      <c r="S30" s="40">
        <v>0.78402777777777766</v>
      </c>
      <c r="T30" s="40">
        <v>0.84166666666666656</v>
      </c>
      <c r="U30" s="225">
        <f t="shared" si="22"/>
        <v>5.9999999999999787</v>
      </c>
      <c r="V30" s="228">
        <f t="shared" si="21"/>
        <v>83.000000000000028</v>
      </c>
      <c r="W30" s="23">
        <f>T30</f>
        <v>0.84166666666666656</v>
      </c>
      <c r="X30" s="23">
        <f>S31</f>
        <v>0.87986111111111098</v>
      </c>
      <c r="Y30" s="26"/>
      <c r="Z30" s="26"/>
      <c r="AA30" s="503"/>
      <c r="AB30" s="504"/>
      <c r="AC30" s="154"/>
      <c r="AD30" s="25"/>
      <c r="AE30" s="19">
        <f t="shared" si="8"/>
        <v>-74.45783132530164</v>
      </c>
      <c r="AF30" s="227">
        <f t="shared" si="9"/>
        <v>0.9503614457831322</v>
      </c>
      <c r="AG30" s="489"/>
    </row>
    <row r="31" spans="1:33" ht="15.75" customHeight="1">
      <c r="A31" s="520" t="s">
        <v>1278</v>
      </c>
      <c r="B31" s="42" t="s">
        <v>103</v>
      </c>
      <c r="C31" s="521" t="s">
        <v>140</v>
      </c>
      <c r="D31" s="522"/>
      <c r="E31" s="42">
        <v>50.49</v>
      </c>
      <c r="F31" s="230">
        <v>1416</v>
      </c>
      <c r="G31" s="225">
        <f t="shared" si="19"/>
        <v>71493.84</v>
      </c>
      <c r="H31" s="125" t="s">
        <v>79</v>
      </c>
      <c r="I31" s="226">
        <v>15</v>
      </c>
      <c r="J31" s="37">
        <v>2000</v>
      </c>
      <c r="K31" s="17">
        <f t="shared" si="1"/>
        <v>133.33333333333334</v>
      </c>
      <c r="L31" s="226">
        <v>15</v>
      </c>
      <c r="M31" s="18">
        <f t="shared" si="20"/>
        <v>1930.9090909090908</v>
      </c>
      <c r="N31" s="17">
        <f t="shared" si="3"/>
        <v>128.72727272727272</v>
      </c>
      <c r="O31" s="19">
        <f t="shared" si="4"/>
        <v>0</v>
      </c>
      <c r="P31" s="20">
        <f t="shared" si="5"/>
        <v>-4.6060606060606233</v>
      </c>
      <c r="Q31" s="227">
        <f t="shared" si="6"/>
        <v>0.96545454545454534</v>
      </c>
      <c r="R31" s="489"/>
      <c r="S31" s="40">
        <v>0.87986111111111098</v>
      </c>
      <c r="T31" s="40">
        <v>0.91041666666666654</v>
      </c>
      <c r="U31" s="225">
        <f t="shared" si="22"/>
        <v>54.999999999999964</v>
      </c>
      <c r="V31" s="228">
        <f t="shared" si="21"/>
        <v>44</v>
      </c>
      <c r="W31" s="23"/>
      <c r="X31" s="23"/>
      <c r="Y31" s="26"/>
      <c r="Z31" s="26"/>
      <c r="AA31" s="503"/>
      <c r="AB31" s="504"/>
      <c r="AC31" s="154"/>
      <c r="AD31" s="25"/>
      <c r="AE31" s="19">
        <f t="shared" si="8"/>
        <v>-69.090909090909236</v>
      </c>
      <c r="AF31" s="227">
        <f t="shared" si="9"/>
        <v>0.96545454545454534</v>
      </c>
      <c r="AG31" s="489"/>
    </row>
    <row r="32" spans="1:33" ht="15.75" customHeight="1">
      <c r="A32" s="520" t="s">
        <v>1278</v>
      </c>
      <c r="B32" s="42" t="s">
        <v>103</v>
      </c>
      <c r="C32" s="521" t="s">
        <v>108</v>
      </c>
      <c r="D32" s="522"/>
      <c r="E32" s="42">
        <v>54.29</v>
      </c>
      <c r="F32" s="230">
        <v>1691</v>
      </c>
      <c r="G32" s="225">
        <f t="shared" si="19"/>
        <v>91804.39</v>
      </c>
      <c r="H32" s="125" t="s">
        <v>79</v>
      </c>
      <c r="I32" s="226">
        <v>20</v>
      </c>
      <c r="J32" s="37">
        <v>2000</v>
      </c>
      <c r="K32" s="17">
        <f t="shared" si="1"/>
        <v>100</v>
      </c>
      <c r="L32" s="226">
        <v>20</v>
      </c>
      <c r="M32" s="18">
        <f t="shared" si="20"/>
        <v>1914.3396226415105</v>
      </c>
      <c r="N32" s="17">
        <f t="shared" si="3"/>
        <v>95.716981132075517</v>
      </c>
      <c r="O32" s="19">
        <f t="shared" si="4"/>
        <v>0</v>
      </c>
      <c r="P32" s="20">
        <f t="shared" si="5"/>
        <v>-4.2830188679244827</v>
      </c>
      <c r="Q32" s="227">
        <f t="shared" si="6"/>
        <v>0.95716981132075518</v>
      </c>
      <c r="R32" s="489"/>
      <c r="S32" s="40">
        <v>0.91527777777777763</v>
      </c>
      <c r="T32" s="40">
        <v>0.95208333333333317</v>
      </c>
      <c r="U32" s="225">
        <f t="shared" si="22"/>
        <v>6.9999999999999751</v>
      </c>
      <c r="V32" s="228">
        <f t="shared" si="21"/>
        <v>52.999999999999972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-85.660377358489541</v>
      </c>
      <c r="AF32" s="227">
        <f t="shared" si="9"/>
        <v>0.95716981132075518</v>
      </c>
      <c r="AG32" s="489"/>
    </row>
    <row r="33" spans="1:33" ht="15.75" customHeight="1">
      <c r="A33" s="520" t="s">
        <v>57</v>
      </c>
      <c r="B33" s="42" t="s">
        <v>1281</v>
      </c>
      <c r="C33" s="494"/>
      <c r="D33" s="494"/>
      <c r="E33" s="231"/>
      <c r="F33" s="230"/>
      <c r="G33" s="225"/>
      <c r="H33" s="230"/>
      <c r="I33" s="30">
        <v>16.600000000000001</v>
      </c>
      <c r="J33" s="37">
        <v>1900</v>
      </c>
      <c r="K33" s="17">
        <f t="shared" si="1"/>
        <v>114.4578313253012</v>
      </c>
      <c r="L33" s="30">
        <v>16.600000000000001</v>
      </c>
      <c r="M33" s="18">
        <f>AVERAGE(M23:M32)</f>
        <v>1831.4706977319479</v>
      </c>
      <c r="N33" s="17">
        <f t="shared" si="3"/>
        <v>110.32956010433421</v>
      </c>
      <c r="O33" s="19">
        <f t="shared" si="4"/>
        <v>0</v>
      </c>
      <c r="P33" s="20">
        <f t="shared" si="5"/>
        <v>-4.1282712209669938</v>
      </c>
      <c r="Q33" s="227">
        <f t="shared" si="6"/>
        <v>0.96393194617470945</v>
      </c>
      <c r="R33" s="489"/>
      <c r="S33" s="40"/>
      <c r="T33" s="40"/>
      <c r="U33" s="17"/>
      <c r="V33" s="228"/>
      <c r="W33" s="17"/>
      <c r="X33" s="17"/>
      <c r="Y33" s="31">
        <f>SUM(Y23:Y32)</f>
        <v>0</v>
      </c>
      <c r="Z33" s="31">
        <f>SUM(Z23:Z32)</f>
        <v>0</v>
      </c>
      <c r="AA33" s="495"/>
      <c r="AB33" s="495"/>
      <c r="AC33" s="31">
        <v>4</v>
      </c>
      <c r="AD33" s="31">
        <f>SUM(AD23:AD32)</f>
        <v>0</v>
      </c>
      <c r="AE33" s="19">
        <f t="shared" si="8"/>
        <v>-68.529302268052106</v>
      </c>
      <c r="AF33" s="227">
        <f t="shared" si="9"/>
        <v>0.96393194617470945</v>
      </c>
      <c r="AG33" s="489"/>
    </row>
    <row r="34" spans="1:33" ht="15.75" customHeight="1">
      <c r="A34" s="518" t="s">
        <v>1282</v>
      </c>
      <c r="B34" s="42" t="s">
        <v>80</v>
      </c>
      <c r="C34" s="515" t="s">
        <v>81</v>
      </c>
      <c r="D34" s="515"/>
      <c r="E34" s="42">
        <v>31.29</v>
      </c>
      <c r="F34" s="230">
        <v>7484</v>
      </c>
      <c r="G34" s="225">
        <f t="shared" ref="G34:G38" si="23">E34*F34</f>
        <v>234174.36</v>
      </c>
      <c r="H34" s="125" t="s">
        <v>79</v>
      </c>
      <c r="I34" s="226">
        <v>18</v>
      </c>
      <c r="J34" s="37">
        <v>2400</v>
      </c>
      <c r="K34" s="17">
        <f t="shared" si="1"/>
        <v>133.33333333333334</v>
      </c>
      <c r="L34" s="226">
        <v>18</v>
      </c>
      <c r="M34" s="18">
        <f t="shared" ref="M34:M38" si="24">F34/V34*60</f>
        <v>2291.0204081632651</v>
      </c>
      <c r="N34" s="17">
        <f t="shared" si="3"/>
        <v>127.27891156462584</v>
      </c>
      <c r="O34" s="19">
        <f t="shared" si="4"/>
        <v>0</v>
      </c>
      <c r="P34" s="20">
        <f t="shared" si="5"/>
        <v>-6.054421768707499</v>
      </c>
      <c r="Q34" s="227">
        <f t="shared" si="6"/>
        <v>0.95459183673469372</v>
      </c>
      <c r="R34" s="489">
        <f>Q39</f>
        <v>0.95568394887597463</v>
      </c>
      <c r="S34" s="40">
        <v>8.3333333333333329E-2</v>
      </c>
      <c r="T34" s="40">
        <v>0.21944444444444444</v>
      </c>
      <c r="U34" s="225"/>
      <c r="V34" s="228">
        <f t="shared" ref="V34:V38" si="25">(T34-S34)*24*60</f>
        <v>196.00000000000003</v>
      </c>
      <c r="W34" s="23">
        <f>T34</f>
        <v>0.21944444444444444</v>
      </c>
      <c r="X34" s="23">
        <f>S35</f>
        <v>0.23680555555555552</v>
      </c>
      <c r="Y34" s="23"/>
      <c r="Z34" s="23"/>
      <c r="AA34" s="491"/>
      <c r="AB34" s="491"/>
      <c r="AC34" s="154">
        <v>7</v>
      </c>
      <c r="AD34" s="25"/>
      <c r="AE34" s="19">
        <f t="shared" si="8"/>
        <v>-108.97959183673493</v>
      </c>
      <c r="AF34" s="227">
        <f t="shared" si="9"/>
        <v>0.95459183673469383</v>
      </c>
      <c r="AG34" s="489">
        <f>AF39</f>
        <v>0.95568394887597474</v>
      </c>
    </row>
    <row r="35" spans="1:33" ht="15.75" customHeight="1">
      <c r="A35" s="518" t="s">
        <v>1282</v>
      </c>
      <c r="B35" s="42" t="s">
        <v>80</v>
      </c>
      <c r="C35" s="515" t="s">
        <v>82</v>
      </c>
      <c r="D35" s="515"/>
      <c r="E35" s="42">
        <v>26.2</v>
      </c>
      <c r="F35" s="230">
        <v>4178</v>
      </c>
      <c r="G35" s="225">
        <f t="shared" si="23"/>
        <v>109463.59999999999</v>
      </c>
      <c r="H35" s="125" t="s">
        <v>79</v>
      </c>
      <c r="I35" s="226">
        <v>20</v>
      </c>
      <c r="J35" s="37">
        <v>2400</v>
      </c>
      <c r="K35" s="17">
        <f t="shared" si="1"/>
        <v>120</v>
      </c>
      <c r="L35" s="226">
        <v>20</v>
      </c>
      <c r="M35" s="18">
        <f t="shared" si="24"/>
        <v>2299.8165137614687</v>
      </c>
      <c r="N35" s="17">
        <f t="shared" si="3"/>
        <v>114.99082568807344</v>
      </c>
      <c r="O35" s="19">
        <f t="shared" si="4"/>
        <v>0</v>
      </c>
      <c r="P35" s="20">
        <f t="shared" si="5"/>
        <v>-5.0091743119265573</v>
      </c>
      <c r="Q35" s="227">
        <f t="shared" si="6"/>
        <v>0.95825688073394533</v>
      </c>
      <c r="R35" s="489"/>
      <c r="S35" s="40">
        <v>0.23680555555555552</v>
      </c>
      <c r="T35" s="40">
        <v>0.31249999999999994</v>
      </c>
      <c r="U35" s="225">
        <f t="shared" ref="U35:U38" si="26">(S35-T34)*24*60</f>
        <v>24.99999999999995</v>
      </c>
      <c r="V35" s="228">
        <f t="shared" si="25"/>
        <v>108.99999999999997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-100.18348623853126</v>
      </c>
      <c r="AF35" s="227">
        <f t="shared" si="9"/>
        <v>0.95825688073394533</v>
      </c>
      <c r="AG35" s="489"/>
    </row>
    <row r="36" spans="1:33" ht="15.75" customHeight="1">
      <c r="A36" s="518" t="s">
        <v>1283</v>
      </c>
      <c r="B36" s="42" t="s">
        <v>80</v>
      </c>
      <c r="C36" s="515" t="s">
        <v>83</v>
      </c>
      <c r="D36" s="515"/>
      <c r="E36" s="42">
        <v>25.99</v>
      </c>
      <c r="F36" s="230">
        <v>3711</v>
      </c>
      <c r="G36" s="225">
        <f t="shared" si="23"/>
        <v>96448.89</v>
      </c>
      <c r="H36" s="125" t="s">
        <v>79</v>
      </c>
      <c r="I36" s="226">
        <v>14</v>
      </c>
      <c r="J36" s="37">
        <v>2400</v>
      </c>
      <c r="K36" s="17">
        <f t="shared" si="1"/>
        <v>171.42857142857142</v>
      </c>
      <c r="L36" s="226">
        <v>14</v>
      </c>
      <c r="M36" s="18">
        <f t="shared" si="24"/>
        <v>2295.4639175257739</v>
      </c>
      <c r="N36" s="17">
        <f t="shared" si="3"/>
        <v>163.96170839469815</v>
      </c>
      <c r="O36" s="19">
        <f t="shared" si="4"/>
        <v>0</v>
      </c>
      <c r="P36" s="20">
        <f t="shared" si="5"/>
        <v>-7.4668630338732669</v>
      </c>
      <c r="Q36" s="227">
        <f t="shared" si="6"/>
        <v>0.95644329896907265</v>
      </c>
      <c r="R36" s="489"/>
      <c r="S36" s="40">
        <v>0.31736111111111104</v>
      </c>
      <c r="T36" s="40">
        <v>0.38472222222222213</v>
      </c>
      <c r="U36" s="225">
        <f t="shared" si="26"/>
        <v>6.9999999999999751</v>
      </c>
      <c r="V36" s="228">
        <f t="shared" si="25"/>
        <v>96.999999999999972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-104.53608247422608</v>
      </c>
      <c r="AF36" s="227">
        <f t="shared" si="9"/>
        <v>0.95644329896907243</v>
      </c>
      <c r="AG36" s="489"/>
    </row>
    <row r="37" spans="1:33" ht="15.75" customHeight="1">
      <c r="A37" s="518" t="s">
        <v>1282</v>
      </c>
      <c r="B37" s="42" t="s">
        <v>80</v>
      </c>
      <c r="C37" s="515" t="s">
        <v>84</v>
      </c>
      <c r="D37" s="515"/>
      <c r="E37" s="42">
        <v>20.52</v>
      </c>
      <c r="F37" s="230">
        <v>3700</v>
      </c>
      <c r="G37" s="225">
        <f t="shared" si="23"/>
        <v>75924</v>
      </c>
      <c r="H37" s="125" t="s">
        <v>79</v>
      </c>
      <c r="I37" s="226">
        <v>18</v>
      </c>
      <c r="J37" s="37">
        <v>2400</v>
      </c>
      <c r="K37" s="17">
        <f t="shared" si="1"/>
        <v>133.33333333333334</v>
      </c>
      <c r="L37" s="226">
        <v>18</v>
      </c>
      <c r="M37" s="18">
        <f t="shared" si="24"/>
        <v>2288.6597938144337</v>
      </c>
      <c r="N37" s="17">
        <f t="shared" si="3"/>
        <v>127.14776632302409</v>
      </c>
      <c r="O37" s="19">
        <f t="shared" si="4"/>
        <v>0</v>
      </c>
      <c r="P37" s="20">
        <f t="shared" si="5"/>
        <v>-6.1855670103092564</v>
      </c>
      <c r="Q37" s="227">
        <f t="shared" si="6"/>
        <v>0.95360824742268058</v>
      </c>
      <c r="R37" s="489"/>
      <c r="S37" s="40">
        <v>0.39027777777777767</v>
      </c>
      <c r="T37" s="40">
        <v>0.45763888888888876</v>
      </c>
      <c r="U37" s="225">
        <f t="shared" si="26"/>
        <v>7.9999999999999716</v>
      </c>
      <c r="V37" s="228">
        <f t="shared" si="25"/>
        <v>96.999999999999972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-111.34020618556633</v>
      </c>
      <c r="AF37" s="227">
        <f t="shared" si="9"/>
        <v>0.95360824742268069</v>
      </c>
      <c r="AG37" s="489"/>
    </row>
    <row r="38" spans="1:33" ht="15.75" customHeight="1">
      <c r="A38" s="518" t="s">
        <v>60</v>
      </c>
      <c r="B38" s="42" t="s">
        <v>80</v>
      </c>
      <c r="C38" s="515" t="s">
        <v>85</v>
      </c>
      <c r="D38" s="515"/>
      <c r="E38" s="42">
        <v>25.98</v>
      </c>
      <c r="F38" s="230">
        <v>2943</v>
      </c>
      <c r="G38" s="225">
        <f t="shared" si="23"/>
        <v>76459.14</v>
      </c>
      <c r="H38" s="125" t="s">
        <v>79</v>
      </c>
      <c r="I38" s="226">
        <v>21</v>
      </c>
      <c r="J38" s="37">
        <v>2400</v>
      </c>
      <c r="K38" s="17">
        <f t="shared" si="1"/>
        <v>114.28571428571429</v>
      </c>
      <c r="L38" s="226">
        <v>21</v>
      </c>
      <c r="M38" s="18">
        <f t="shared" si="24"/>
        <v>2293.246753246754</v>
      </c>
      <c r="N38" s="17">
        <f t="shared" si="3"/>
        <v>109.20222634508352</v>
      </c>
      <c r="O38" s="19">
        <f t="shared" si="4"/>
        <v>0</v>
      </c>
      <c r="P38" s="20">
        <f t="shared" si="5"/>
        <v>-5.0834879406307749</v>
      </c>
      <c r="Q38" s="227">
        <f t="shared" si="6"/>
        <v>0.95551948051948077</v>
      </c>
      <c r="R38" s="489"/>
      <c r="S38" s="40">
        <v>0.46111111111111097</v>
      </c>
      <c r="T38" s="40">
        <v>0.51458333333333317</v>
      </c>
      <c r="U38" s="225">
        <f t="shared" si="26"/>
        <v>4.9999999999999822</v>
      </c>
      <c r="V38" s="228">
        <f t="shared" si="25"/>
        <v>76.999999999999972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-106.753246753246</v>
      </c>
      <c r="AF38" s="227">
        <f t="shared" si="9"/>
        <v>0.95551948051948088</v>
      </c>
      <c r="AG38" s="489"/>
    </row>
    <row r="39" spans="1:33" ht="15.75" customHeight="1">
      <c r="A39" s="518" t="s">
        <v>1282</v>
      </c>
      <c r="B39" s="42" t="s">
        <v>1284</v>
      </c>
      <c r="C39" s="494"/>
      <c r="D39" s="494"/>
      <c r="E39" s="231"/>
      <c r="F39" s="230"/>
      <c r="G39" s="225"/>
      <c r="H39" s="230"/>
      <c r="I39" s="30">
        <v>18.2</v>
      </c>
      <c r="J39" s="37">
        <v>2400</v>
      </c>
      <c r="K39" s="17">
        <f t="shared" si="1"/>
        <v>131.86813186813188</v>
      </c>
      <c r="L39" s="30">
        <v>18.2</v>
      </c>
      <c r="M39" s="18">
        <f>AVERAGE(M34:M38)</f>
        <v>2293.6414773023394</v>
      </c>
      <c r="N39" s="17">
        <f t="shared" si="3"/>
        <v>126.02425699463403</v>
      </c>
      <c r="O39" s="19">
        <f t="shared" si="4"/>
        <v>0</v>
      </c>
      <c r="P39" s="20">
        <f t="shared" si="5"/>
        <v>-5.8438748734978532</v>
      </c>
      <c r="Q39" s="227">
        <f t="shared" si="6"/>
        <v>0.95568394887597463</v>
      </c>
      <c r="R39" s="489"/>
      <c r="S39" s="40"/>
      <c r="T39" s="40"/>
      <c r="U39" s="225"/>
      <c r="V39" s="228"/>
      <c r="W39" s="225"/>
      <c r="X39" s="225"/>
      <c r="Y39" s="31">
        <f>SUM(Y34:Y38)</f>
        <v>0</v>
      </c>
      <c r="Z39" s="31">
        <f>SUM(Z34:Z38)</f>
        <v>0</v>
      </c>
      <c r="AA39" s="495"/>
      <c r="AB39" s="495"/>
      <c r="AC39" s="31">
        <v>7</v>
      </c>
      <c r="AD39" s="31">
        <f>SUM(AD34:AD38)</f>
        <v>0</v>
      </c>
      <c r="AE39" s="19">
        <f t="shared" si="8"/>
        <v>-106.35852269766065</v>
      </c>
      <c r="AF39" s="227">
        <f t="shared" si="9"/>
        <v>0.95568394887597474</v>
      </c>
      <c r="AG39" s="489"/>
    </row>
    <row r="40" spans="1:33" ht="15.75" customHeight="1">
      <c r="A40" s="516" t="s">
        <v>1285</v>
      </c>
      <c r="B40" s="42" t="s">
        <v>80</v>
      </c>
      <c r="C40" s="490" t="s">
        <v>87</v>
      </c>
      <c r="D40" s="490"/>
      <c r="E40" s="42">
        <v>26.2</v>
      </c>
      <c r="F40" s="230">
        <v>5302</v>
      </c>
      <c r="G40" s="225">
        <f t="shared" ref="G40:G46" si="27">E40*F40</f>
        <v>138912.4</v>
      </c>
      <c r="H40" s="125" t="s">
        <v>79</v>
      </c>
      <c r="I40" s="226">
        <v>18</v>
      </c>
      <c r="J40" s="37">
        <v>2400</v>
      </c>
      <c r="K40" s="17">
        <f t="shared" si="1"/>
        <v>133.33333333333334</v>
      </c>
      <c r="L40" s="226">
        <v>18</v>
      </c>
      <c r="M40" s="18">
        <f t="shared" ref="M40:M46" si="28">F40/V40*60</f>
        <v>2288.6330935251799</v>
      </c>
      <c r="N40" s="17">
        <f t="shared" si="3"/>
        <v>127.14628297362111</v>
      </c>
      <c r="O40" s="19">
        <f t="shared" si="4"/>
        <v>0</v>
      </c>
      <c r="P40" s="20">
        <f t="shared" si="5"/>
        <v>-6.1870503597122308</v>
      </c>
      <c r="Q40" s="227">
        <f t="shared" si="6"/>
        <v>0.95359712230215832</v>
      </c>
      <c r="R40" s="489">
        <f>Q47</f>
        <v>0.95753657176986673</v>
      </c>
      <c r="S40" s="40">
        <v>8.3333333333333329E-2</v>
      </c>
      <c r="T40" s="40">
        <v>0.17986111111111111</v>
      </c>
      <c r="U40" s="225"/>
      <c r="V40" s="228">
        <f t="shared" ref="V40:V46" si="29">(T40-S40)*24*60</f>
        <v>139</v>
      </c>
      <c r="W40" s="28">
        <f>T40</f>
        <v>0.17986111111111111</v>
      </c>
      <c r="X40" s="28">
        <f>S41</f>
        <v>0.20069444444444445</v>
      </c>
      <c r="Y40" s="28"/>
      <c r="Z40" s="28"/>
      <c r="AA40" s="491"/>
      <c r="AB40" s="491"/>
      <c r="AC40" s="154">
        <v>8</v>
      </c>
      <c r="AD40" s="25"/>
      <c r="AE40" s="19">
        <f t="shared" si="8"/>
        <v>-111.3669064748201</v>
      </c>
      <c r="AF40" s="227">
        <f t="shared" si="9"/>
        <v>0.95359712230215832</v>
      </c>
      <c r="AG40" s="489">
        <f>AF47</f>
        <v>0.95753657176986673</v>
      </c>
    </row>
    <row r="41" spans="1:33" ht="15.75" customHeight="1">
      <c r="A41" s="516" t="s">
        <v>1286</v>
      </c>
      <c r="B41" s="42" t="s">
        <v>80</v>
      </c>
      <c r="C41" s="490" t="s">
        <v>88</v>
      </c>
      <c r="D41" s="490"/>
      <c r="E41" s="42">
        <v>26.18</v>
      </c>
      <c r="F41" s="230">
        <v>2003</v>
      </c>
      <c r="G41" s="225">
        <f t="shared" si="27"/>
        <v>52438.54</v>
      </c>
      <c r="H41" s="125" t="s">
        <v>79</v>
      </c>
      <c r="I41" s="226">
        <v>19</v>
      </c>
      <c r="J41" s="37">
        <v>2400</v>
      </c>
      <c r="K41" s="17">
        <f t="shared" si="1"/>
        <v>126.31578947368421</v>
      </c>
      <c r="L41" s="226">
        <v>19</v>
      </c>
      <c r="M41" s="18">
        <f t="shared" si="28"/>
        <v>2311.1538461538457</v>
      </c>
      <c r="N41" s="17">
        <f t="shared" si="3"/>
        <v>121.6396761133603</v>
      </c>
      <c r="O41" s="19">
        <f t="shared" si="4"/>
        <v>0</v>
      </c>
      <c r="P41" s="20">
        <f t="shared" si="5"/>
        <v>-4.6761133603239102</v>
      </c>
      <c r="Q41" s="227">
        <f t="shared" si="6"/>
        <v>0.96298076923076903</v>
      </c>
      <c r="R41" s="489"/>
      <c r="S41" s="40">
        <v>0.20069444444444445</v>
      </c>
      <c r="T41" s="40">
        <v>0.23680555555555557</v>
      </c>
      <c r="U41" s="225">
        <f t="shared" ref="U41:U46" si="30">(S41-T40)*24*60</f>
        <v>30.000000000000014</v>
      </c>
      <c r="V41" s="228">
        <f t="shared" si="29"/>
        <v>52.000000000000014</v>
      </c>
      <c r="W41" s="225"/>
      <c r="X41" s="225"/>
      <c r="Y41" s="225"/>
      <c r="Z41" s="225"/>
      <c r="AA41" s="491"/>
      <c r="AB41" s="491"/>
      <c r="AC41" s="154"/>
      <c r="AD41" s="25"/>
      <c r="AE41" s="19">
        <f t="shared" si="8"/>
        <v>-88.846153846154266</v>
      </c>
      <c r="AF41" s="227">
        <f t="shared" si="9"/>
        <v>0.96298076923076903</v>
      </c>
      <c r="AG41" s="489"/>
    </row>
    <row r="42" spans="1:33">
      <c r="A42" s="517" t="s">
        <v>1287</v>
      </c>
      <c r="B42" s="42" t="s">
        <v>80</v>
      </c>
      <c r="C42" s="490" t="s">
        <v>89</v>
      </c>
      <c r="D42" s="490"/>
      <c r="E42" s="42">
        <v>26.39</v>
      </c>
      <c r="F42" s="230">
        <v>5101</v>
      </c>
      <c r="G42" s="225">
        <f t="shared" si="27"/>
        <v>134615.39000000001</v>
      </c>
      <c r="H42" s="125" t="s">
        <v>79</v>
      </c>
      <c r="I42" s="226">
        <v>19</v>
      </c>
      <c r="J42" s="37">
        <v>2400</v>
      </c>
      <c r="K42" s="17">
        <f t="shared" si="1"/>
        <v>126.31578947368421</v>
      </c>
      <c r="L42" s="226">
        <v>19</v>
      </c>
      <c r="M42" s="18">
        <f t="shared" si="28"/>
        <v>2284.0298507462689</v>
      </c>
      <c r="N42" s="17">
        <f t="shared" si="3"/>
        <v>120.21209740769837</v>
      </c>
      <c r="O42" s="19">
        <f t="shared" si="4"/>
        <v>0</v>
      </c>
      <c r="P42" s="20">
        <f t="shared" si="5"/>
        <v>-6.1036920659858396</v>
      </c>
      <c r="Q42" s="227">
        <f t="shared" si="6"/>
        <v>0.95167910447761206</v>
      </c>
      <c r="R42" s="489"/>
      <c r="S42" s="40">
        <v>0.24236111111111114</v>
      </c>
      <c r="T42" s="40">
        <v>0.3354166666666667</v>
      </c>
      <c r="U42" s="225">
        <f t="shared" si="30"/>
        <v>8.0000000000000107</v>
      </c>
      <c r="V42" s="228">
        <f t="shared" si="29"/>
        <v>134</v>
      </c>
      <c r="W42" s="225"/>
      <c r="X42" s="225"/>
      <c r="Y42" s="225"/>
      <c r="Z42" s="225"/>
      <c r="AA42" s="491"/>
      <c r="AB42" s="491"/>
      <c r="AC42" s="154"/>
      <c r="AD42" s="25"/>
      <c r="AE42" s="19">
        <f t="shared" si="8"/>
        <v>-115.97014925373105</v>
      </c>
      <c r="AF42" s="227">
        <f t="shared" si="9"/>
        <v>0.95167910447761206</v>
      </c>
      <c r="AG42" s="489"/>
    </row>
    <row r="43" spans="1:33">
      <c r="A43" s="517" t="s">
        <v>61</v>
      </c>
      <c r="B43" s="42" t="s">
        <v>80</v>
      </c>
      <c r="C43" s="490" t="s">
        <v>90</v>
      </c>
      <c r="D43" s="490"/>
      <c r="E43" s="42">
        <v>22.69</v>
      </c>
      <c r="F43" s="230">
        <v>1913</v>
      </c>
      <c r="G43" s="225">
        <f t="shared" si="27"/>
        <v>43405.97</v>
      </c>
      <c r="H43" s="125" t="s">
        <v>79</v>
      </c>
      <c r="I43" s="226">
        <v>15</v>
      </c>
      <c r="J43" s="37">
        <v>2400</v>
      </c>
      <c r="K43" s="17">
        <f t="shared" si="1"/>
        <v>160</v>
      </c>
      <c r="L43" s="226">
        <v>15</v>
      </c>
      <c r="M43" s="18">
        <f t="shared" si="28"/>
        <v>2295.6000000000008</v>
      </c>
      <c r="N43" s="17">
        <f t="shared" si="3"/>
        <v>153.04000000000005</v>
      </c>
      <c r="O43" s="19">
        <f t="shared" si="4"/>
        <v>0</v>
      </c>
      <c r="P43" s="20">
        <f t="shared" si="5"/>
        <v>-6.9599999999999511</v>
      </c>
      <c r="Q43" s="227">
        <f t="shared" si="6"/>
        <v>0.95650000000000035</v>
      </c>
      <c r="R43" s="489"/>
      <c r="S43" s="40">
        <v>0.33888888888888891</v>
      </c>
      <c r="T43" s="40">
        <v>0.37361111111111112</v>
      </c>
      <c r="U43" s="225">
        <f t="shared" si="30"/>
        <v>4.9999999999999822</v>
      </c>
      <c r="V43" s="228">
        <f t="shared" si="29"/>
        <v>49.999999999999986</v>
      </c>
      <c r="W43" s="23"/>
      <c r="X43" s="23"/>
      <c r="Y43" s="23"/>
      <c r="Z43" s="23"/>
      <c r="AA43" s="491"/>
      <c r="AB43" s="491"/>
      <c r="AC43" s="154"/>
      <c r="AD43" s="25"/>
      <c r="AE43" s="19">
        <f t="shared" si="8"/>
        <v>-104.39999999999918</v>
      </c>
      <c r="AF43" s="227">
        <f t="shared" si="9"/>
        <v>0.95650000000000035</v>
      </c>
      <c r="AG43" s="489"/>
    </row>
    <row r="44" spans="1:33">
      <c r="A44" s="517" t="s">
        <v>61</v>
      </c>
      <c r="B44" s="42" t="s">
        <v>80</v>
      </c>
      <c r="C44" s="490" t="s">
        <v>91</v>
      </c>
      <c r="D44" s="490"/>
      <c r="E44" s="42">
        <v>24.45</v>
      </c>
      <c r="F44" s="230">
        <v>2239</v>
      </c>
      <c r="G44" s="225">
        <f t="shared" si="27"/>
        <v>54743.549999999996</v>
      </c>
      <c r="H44" s="125" t="s">
        <v>79</v>
      </c>
      <c r="I44" s="226">
        <v>20</v>
      </c>
      <c r="J44" s="37">
        <v>2400</v>
      </c>
      <c r="K44" s="17">
        <f t="shared" si="1"/>
        <v>120</v>
      </c>
      <c r="L44" s="226">
        <v>20</v>
      </c>
      <c r="M44" s="18">
        <f t="shared" si="28"/>
        <v>2316.2068965517224</v>
      </c>
      <c r="N44" s="17">
        <f t="shared" si="3"/>
        <v>115.81034482758612</v>
      </c>
      <c r="O44" s="19">
        <f t="shared" si="4"/>
        <v>0</v>
      </c>
      <c r="P44" s="20">
        <f t="shared" si="5"/>
        <v>-4.1896551724138789</v>
      </c>
      <c r="Q44" s="227">
        <f t="shared" si="6"/>
        <v>0.965086206896551</v>
      </c>
      <c r="R44" s="489"/>
      <c r="S44" s="40">
        <v>0.37708333333333333</v>
      </c>
      <c r="T44" s="40">
        <v>0.41736111111111113</v>
      </c>
      <c r="U44" s="225">
        <f t="shared" si="30"/>
        <v>4.9999999999999822</v>
      </c>
      <c r="V44" s="228">
        <f t="shared" si="29"/>
        <v>58.000000000000036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-83.793103448277634</v>
      </c>
      <c r="AF44" s="227">
        <f t="shared" si="9"/>
        <v>0.965086206896551</v>
      </c>
      <c r="AG44" s="489"/>
    </row>
    <row r="45" spans="1:33">
      <c r="A45" s="517" t="s">
        <v>1286</v>
      </c>
      <c r="B45" s="42" t="s">
        <v>80</v>
      </c>
      <c r="C45" s="490" t="s">
        <v>1224</v>
      </c>
      <c r="D45" s="490"/>
      <c r="E45" s="42">
        <v>21.68</v>
      </c>
      <c r="F45" s="230">
        <v>4300</v>
      </c>
      <c r="G45" s="225">
        <f t="shared" si="27"/>
        <v>93224</v>
      </c>
      <c r="H45" s="125">
        <v>2</v>
      </c>
      <c r="I45" s="226">
        <v>16</v>
      </c>
      <c r="J45" s="37">
        <v>2400</v>
      </c>
      <c r="K45" s="17">
        <f t="shared" si="1"/>
        <v>150</v>
      </c>
      <c r="L45" s="226">
        <v>16</v>
      </c>
      <c r="M45" s="18">
        <f t="shared" si="28"/>
        <v>2283.1858407079644</v>
      </c>
      <c r="N45" s="17">
        <f t="shared" si="3"/>
        <v>142.69911504424778</v>
      </c>
      <c r="O45" s="19">
        <f t="shared" si="4"/>
        <v>0</v>
      </c>
      <c r="P45" s="20">
        <f t="shared" si="5"/>
        <v>-7.300884955752224</v>
      </c>
      <c r="Q45" s="227">
        <f t="shared" si="6"/>
        <v>0.95132743362831851</v>
      </c>
      <c r="R45" s="489"/>
      <c r="S45" s="40">
        <v>0.42152777777777778</v>
      </c>
      <c r="T45" s="40">
        <v>0.5</v>
      </c>
      <c r="U45" s="225">
        <f t="shared" si="30"/>
        <v>5.9999999999999787</v>
      </c>
      <c r="V45" s="228">
        <f t="shared" si="29"/>
        <v>113</v>
      </c>
      <c r="W45" s="23">
        <f>T45</f>
        <v>0.5</v>
      </c>
      <c r="X45" s="23">
        <f>S46</f>
        <v>0.53819444444444442</v>
      </c>
      <c r="Y45" s="23"/>
      <c r="Z45" s="23"/>
      <c r="AA45" s="491"/>
      <c r="AB45" s="491"/>
      <c r="AC45" s="154"/>
      <c r="AD45" s="25"/>
      <c r="AE45" s="19">
        <f t="shared" si="8"/>
        <v>-116.81415929203558</v>
      </c>
      <c r="AF45" s="227">
        <f t="shared" si="9"/>
        <v>0.95132743362831851</v>
      </c>
      <c r="AG45" s="489"/>
    </row>
    <row r="46" spans="1:33">
      <c r="A46" s="517" t="s">
        <v>1287</v>
      </c>
      <c r="B46" s="42" t="s">
        <v>80</v>
      </c>
      <c r="C46" s="490" t="s">
        <v>1224</v>
      </c>
      <c r="D46" s="490"/>
      <c r="E46" s="42">
        <v>21.68</v>
      </c>
      <c r="F46" s="230">
        <v>3154</v>
      </c>
      <c r="G46" s="225">
        <f t="shared" si="27"/>
        <v>68378.720000000001</v>
      </c>
      <c r="H46" s="125" t="s">
        <v>79</v>
      </c>
      <c r="I46" s="226">
        <v>16</v>
      </c>
      <c r="J46" s="37">
        <v>2400</v>
      </c>
      <c r="K46" s="17">
        <f t="shared" si="1"/>
        <v>150</v>
      </c>
      <c r="L46" s="226">
        <v>16</v>
      </c>
      <c r="M46" s="18">
        <f t="shared" si="28"/>
        <v>2307.8048780487793</v>
      </c>
      <c r="N46" s="17">
        <f t="shared" si="3"/>
        <v>144.23780487804871</v>
      </c>
      <c r="O46" s="19">
        <f t="shared" si="4"/>
        <v>0</v>
      </c>
      <c r="P46" s="20">
        <f t="shared" si="5"/>
        <v>-5.7621951219512937</v>
      </c>
      <c r="Q46" s="227">
        <f t="shared" si="6"/>
        <v>0.96158536585365806</v>
      </c>
      <c r="R46" s="489"/>
      <c r="S46" s="40">
        <v>0.53819444444444442</v>
      </c>
      <c r="T46" s="40">
        <v>0.59513888888888888</v>
      </c>
      <c r="U46" s="225">
        <f t="shared" si="30"/>
        <v>54.999999999999964</v>
      </c>
      <c r="V46" s="228">
        <f t="shared" si="29"/>
        <v>82.000000000000028</v>
      </c>
      <c r="W46" s="23"/>
      <c r="X46" s="23"/>
      <c r="Y46" s="26"/>
      <c r="Z46" s="26"/>
      <c r="AA46" s="503"/>
      <c r="AB46" s="504"/>
      <c r="AC46" s="154"/>
      <c r="AD46" s="25"/>
      <c r="AE46" s="19">
        <f t="shared" si="8"/>
        <v>-92.195121951220699</v>
      </c>
      <c r="AF46" s="227">
        <f t="shared" si="9"/>
        <v>0.96158536585365806</v>
      </c>
      <c r="AG46" s="489"/>
    </row>
    <row r="47" spans="1:33">
      <c r="A47" s="517" t="s">
        <v>1287</v>
      </c>
      <c r="B47" s="44" t="s">
        <v>71</v>
      </c>
      <c r="C47" s="494"/>
      <c r="D47" s="494"/>
      <c r="E47" s="231"/>
      <c r="F47" s="44"/>
      <c r="G47" s="17"/>
      <c r="H47" s="230"/>
      <c r="I47" s="30">
        <v>17.571428571428573</v>
      </c>
      <c r="J47" s="37">
        <v>2400</v>
      </c>
      <c r="K47" s="17">
        <f t="shared" si="1"/>
        <v>136.58536585365852</v>
      </c>
      <c r="L47" s="30">
        <v>17.571428571428573</v>
      </c>
      <c r="M47" s="18">
        <f>AVERAGE(M40:M46)</f>
        <v>2298.0877722476803</v>
      </c>
      <c r="N47" s="17">
        <f t="shared" si="3"/>
        <v>130.7854829734452</v>
      </c>
      <c r="O47" s="19">
        <f t="shared" si="4"/>
        <v>0</v>
      </c>
      <c r="P47" s="20">
        <f t="shared" si="5"/>
        <v>-5.7998828802133175</v>
      </c>
      <c r="Q47" s="227">
        <f t="shared" si="6"/>
        <v>0.95753657176986673</v>
      </c>
      <c r="R47" s="489"/>
      <c r="S47" s="40"/>
      <c r="T47" s="40"/>
      <c r="U47" s="17"/>
      <c r="V47" s="228"/>
      <c r="W47" s="17"/>
      <c r="X47" s="17"/>
      <c r="Y47" s="31">
        <f>SUM(Y40:Y46)</f>
        <v>0</v>
      </c>
      <c r="Z47" s="31">
        <f>SUM(Z40:Z46)</f>
        <v>0</v>
      </c>
      <c r="AA47" s="495"/>
      <c r="AB47" s="495"/>
      <c r="AC47" s="31">
        <v>8</v>
      </c>
      <c r="AD47" s="31">
        <f>SUM(AD40:AD46)</f>
        <v>0</v>
      </c>
      <c r="AE47" s="19">
        <f t="shared" si="8"/>
        <v>-101.91222775231972</v>
      </c>
      <c r="AF47" s="227">
        <f t="shared" si="9"/>
        <v>0.95753657176986673</v>
      </c>
      <c r="AG47" s="489"/>
    </row>
    <row r="48" spans="1:33" ht="15.75" customHeight="1">
      <c r="A48" s="512" t="s">
        <v>1288</v>
      </c>
      <c r="B48" s="42" t="s">
        <v>93</v>
      </c>
      <c r="C48" s="501" t="s">
        <v>94</v>
      </c>
      <c r="D48" s="502"/>
      <c r="E48" s="42">
        <v>21.13</v>
      </c>
      <c r="F48" s="230">
        <v>4966</v>
      </c>
      <c r="G48" s="225">
        <f t="shared" ref="G48:G54" si="31">E48*F48</f>
        <v>104931.58</v>
      </c>
      <c r="H48" s="125" t="s">
        <v>79</v>
      </c>
      <c r="I48" s="226">
        <v>10</v>
      </c>
      <c r="J48" s="37">
        <v>3000</v>
      </c>
      <c r="K48" s="17">
        <f t="shared" si="1"/>
        <v>300</v>
      </c>
      <c r="L48" s="226">
        <v>10</v>
      </c>
      <c r="M48" s="18">
        <f t="shared" ref="M48:M54" si="32">F48/V48*60</f>
        <v>2865</v>
      </c>
      <c r="N48" s="18">
        <f t="shared" si="3"/>
        <v>286.5</v>
      </c>
      <c r="O48" s="19">
        <f t="shared" si="4"/>
        <v>0</v>
      </c>
      <c r="P48" s="20">
        <f t="shared" si="5"/>
        <v>-13.5</v>
      </c>
      <c r="Q48" s="227">
        <f t="shared" si="6"/>
        <v>0.95499999999999996</v>
      </c>
      <c r="R48" s="509">
        <f>Q55</f>
        <v>0.95631152790914487</v>
      </c>
      <c r="S48" s="40">
        <v>8.3333333333333329E-2</v>
      </c>
      <c r="T48" s="40">
        <v>0.15555555555555556</v>
      </c>
      <c r="U48" s="28"/>
      <c r="V48" s="228">
        <f t="shared" ref="V48:V54" si="33">(T48-S48)*24*60</f>
        <v>104</v>
      </c>
      <c r="W48" s="23">
        <f>T48</f>
        <v>0.15555555555555556</v>
      </c>
      <c r="X48" s="23">
        <f>S49</f>
        <v>0.17500000000000002</v>
      </c>
      <c r="Y48" s="26"/>
      <c r="Z48" s="26"/>
      <c r="AA48" s="503"/>
      <c r="AB48" s="504"/>
      <c r="AC48" s="154" t="s">
        <v>79</v>
      </c>
      <c r="AD48" s="25"/>
      <c r="AE48" s="19">
        <f t="shared" si="8"/>
        <v>-135</v>
      </c>
      <c r="AF48" s="227">
        <f t="shared" si="9"/>
        <v>0.95499999999999996</v>
      </c>
      <c r="AG48" s="509">
        <f>AF55</f>
        <v>0.95631152790914487</v>
      </c>
    </row>
    <row r="49" spans="1:33" ht="15.75" customHeight="1">
      <c r="A49" s="513" t="s">
        <v>1289</v>
      </c>
      <c r="B49" s="42" t="s">
        <v>93</v>
      </c>
      <c r="C49" s="501" t="s">
        <v>95</v>
      </c>
      <c r="D49" s="502"/>
      <c r="E49" s="42">
        <v>27.17</v>
      </c>
      <c r="F49" s="230">
        <v>7524</v>
      </c>
      <c r="G49" s="225">
        <f t="shared" si="31"/>
        <v>204427.08000000002</v>
      </c>
      <c r="H49" s="125" t="s">
        <v>79</v>
      </c>
      <c r="I49" s="226">
        <v>10</v>
      </c>
      <c r="J49" s="37">
        <v>3000</v>
      </c>
      <c r="K49" s="17">
        <f t="shared" si="1"/>
        <v>300</v>
      </c>
      <c r="L49" s="226">
        <v>10</v>
      </c>
      <c r="M49" s="18">
        <f t="shared" si="32"/>
        <v>2857.2151898734182</v>
      </c>
      <c r="N49" s="18">
        <f t="shared" si="3"/>
        <v>285.72151898734182</v>
      </c>
      <c r="O49" s="19">
        <f t="shared" si="4"/>
        <v>0</v>
      </c>
      <c r="P49" s="20">
        <f t="shared" si="5"/>
        <v>-14.278481012658176</v>
      </c>
      <c r="Q49" s="227">
        <f t="shared" si="6"/>
        <v>0.95240506329113939</v>
      </c>
      <c r="R49" s="510"/>
      <c r="S49" s="40">
        <v>0.17500000000000002</v>
      </c>
      <c r="T49" s="40">
        <v>0.28472222222222221</v>
      </c>
      <c r="U49" s="225">
        <f t="shared" ref="U49:U54" si="34">(S49-T48)*24*60</f>
        <v>28.000000000000021</v>
      </c>
      <c r="V49" s="228">
        <f t="shared" si="33"/>
        <v>157.99999999999997</v>
      </c>
      <c r="W49" s="23"/>
      <c r="X49" s="23"/>
      <c r="Y49" s="26"/>
      <c r="Z49" s="26"/>
      <c r="AA49" s="503"/>
      <c r="AB49" s="504"/>
      <c r="AC49" s="154">
        <v>1</v>
      </c>
      <c r="AD49" s="25"/>
      <c r="AE49" s="19">
        <f t="shared" si="8"/>
        <v>-142.78481012658176</v>
      </c>
      <c r="AF49" s="227">
        <f t="shared" si="9"/>
        <v>0.95240506329113939</v>
      </c>
      <c r="AG49" s="510"/>
    </row>
    <row r="50" spans="1:33" ht="15.75" customHeight="1">
      <c r="A50" s="513" t="s">
        <v>65</v>
      </c>
      <c r="B50" s="42" t="s">
        <v>93</v>
      </c>
      <c r="C50" s="501" t="s">
        <v>96</v>
      </c>
      <c r="D50" s="502"/>
      <c r="E50" s="42">
        <v>35.119999999999997</v>
      </c>
      <c r="F50" s="230">
        <v>5291</v>
      </c>
      <c r="G50" s="225">
        <f t="shared" si="31"/>
        <v>185819.91999999998</v>
      </c>
      <c r="H50" s="125" t="s">
        <v>79</v>
      </c>
      <c r="I50" s="226">
        <v>10</v>
      </c>
      <c r="J50" s="37">
        <v>3000</v>
      </c>
      <c r="K50" s="17">
        <f t="shared" si="1"/>
        <v>300</v>
      </c>
      <c r="L50" s="226">
        <v>10</v>
      </c>
      <c r="M50" s="18">
        <f t="shared" si="32"/>
        <v>2860</v>
      </c>
      <c r="N50" s="18">
        <f t="shared" si="3"/>
        <v>286</v>
      </c>
      <c r="O50" s="19">
        <f t="shared" si="4"/>
        <v>0</v>
      </c>
      <c r="P50" s="20">
        <f t="shared" si="5"/>
        <v>-14</v>
      </c>
      <c r="Q50" s="227">
        <f t="shared" si="6"/>
        <v>0.95333333333333337</v>
      </c>
      <c r="R50" s="510"/>
      <c r="S50" s="40">
        <v>0.28819444444444442</v>
      </c>
      <c r="T50" s="40">
        <v>0.36527777777777776</v>
      </c>
      <c r="U50" s="225">
        <f t="shared" si="34"/>
        <v>4.9999999999999822</v>
      </c>
      <c r="V50" s="228">
        <f t="shared" si="33"/>
        <v>111</v>
      </c>
      <c r="W50" s="23"/>
      <c r="X50" s="23"/>
      <c r="Y50" s="26"/>
      <c r="Z50" s="26"/>
      <c r="AA50" s="503"/>
      <c r="AB50" s="504"/>
      <c r="AC50" s="154">
        <v>1</v>
      </c>
      <c r="AD50" s="25"/>
      <c r="AE50" s="19">
        <f t="shared" si="8"/>
        <v>-140</v>
      </c>
      <c r="AF50" s="227">
        <f t="shared" si="9"/>
        <v>0.95333333333333337</v>
      </c>
      <c r="AG50" s="510"/>
    </row>
    <row r="51" spans="1:33" ht="15.75" customHeight="1">
      <c r="A51" s="513" t="s">
        <v>65</v>
      </c>
      <c r="B51" s="42" t="s">
        <v>93</v>
      </c>
      <c r="C51" s="501" t="s">
        <v>97</v>
      </c>
      <c r="D51" s="502"/>
      <c r="E51" s="42">
        <v>31</v>
      </c>
      <c r="F51" s="230">
        <v>1178</v>
      </c>
      <c r="G51" s="225">
        <f t="shared" si="31"/>
        <v>36518</v>
      </c>
      <c r="H51" s="125" t="s">
        <v>79</v>
      </c>
      <c r="I51" s="226">
        <v>13</v>
      </c>
      <c r="J51" s="37">
        <v>2000</v>
      </c>
      <c r="K51" s="17">
        <f t="shared" si="1"/>
        <v>153.84615384615384</v>
      </c>
      <c r="L51" s="226">
        <v>13</v>
      </c>
      <c r="M51" s="18">
        <f t="shared" si="32"/>
        <v>1910.2702702702688</v>
      </c>
      <c r="N51" s="18">
        <f t="shared" si="3"/>
        <v>146.94386694386682</v>
      </c>
      <c r="O51" s="19">
        <f t="shared" si="4"/>
        <v>0</v>
      </c>
      <c r="P51" s="20">
        <f t="shared" si="5"/>
        <v>-6.9022869022870168</v>
      </c>
      <c r="Q51" s="227">
        <f t="shared" si="6"/>
        <v>0.95513513513513437</v>
      </c>
      <c r="R51" s="510"/>
      <c r="S51" s="40">
        <v>0.37013888888888885</v>
      </c>
      <c r="T51" s="40">
        <v>0.39583333333333331</v>
      </c>
      <c r="U51" s="225">
        <f t="shared" si="34"/>
        <v>6.9999999999999751</v>
      </c>
      <c r="V51" s="228">
        <f t="shared" si="33"/>
        <v>37.000000000000028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-89.729729729731162</v>
      </c>
      <c r="AF51" s="227">
        <f t="shared" si="9"/>
        <v>0.95513513513513437</v>
      </c>
      <c r="AG51" s="510"/>
    </row>
    <row r="52" spans="1:33" ht="15.75" customHeight="1">
      <c r="A52" s="513" t="s">
        <v>1289</v>
      </c>
      <c r="B52" s="42" t="s">
        <v>93</v>
      </c>
      <c r="C52" s="501" t="s">
        <v>99</v>
      </c>
      <c r="D52" s="502"/>
      <c r="E52" s="42">
        <v>32.020000000000003</v>
      </c>
      <c r="F52" s="230">
        <v>2155</v>
      </c>
      <c r="G52" s="225">
        <f t="shared" si="31"/>
        <v>69003.100000000006</v>
      </c>
      <c r="H52" s="125" t="s">
        <v>79</v>
      </c>
      <c r="I52" s="226">
        <v>11</v>
      </c>
      <c r="J52" s="37">
        <v>3000</v>
      </c>
      <c r="K52" s="17">
        <f t="shared" si="1"/>
        <v>272.72727272727275</v>
      </c>
      <c r="L52" s="226">
        <v>11</v>
      </c>
      <c r="M52" s="18">
        <f t="shared" si="32"/>
        <v>2873.333333333333</v>
      </c>
      <c r="N52" s="18">
        <f t="shared" si="3"/>
        <v>261.21212121212119</v>
      </c>
      <c r="O52" s="19">
        <f t="shared" si="4"/>
        <v>0</v>
      </c>
      <c r="P52" s="20">
        <f t="shared" si="5"/>
        <v>-11.515151515151558</v>
      </c>
      <c r="Q52" s="227">
        <f t="shared" si="6"/>
        <v>0.95777777777777762</v>
      </c>
      <c r="R52" s="510"/>
      <c r="S52" s="40">
        <v>0.40069444444444441</v>
      </c>
      <c r="T52" s="40">
        <v>0.43194444444444441</v>
      </c>
      <c r="U52" s="225">
        <f t="shared" si="34"/>
        <v>6.9999999999999751</v>
      </c>
      <c r="V52" s="228">
        <f t="shared" si="33"/>
        <v>45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-126.66666666666697</v>
      </c>
      <c r="AF52" s="227">
        <f t="shared" si="9"/>
        <v>0.95777777777777773</v>
      </c>
      <c r="AG52" s="510"/>
    </row>
    <row r="53" spans="1:33" ht="15.75" customHeight="1">
      <c r="A53" s="513" t="s">
        <v>65</v>
      </c>
      <c r="B53" s="42" t="s">
        <v>93</v>
      </c>
      <c r="C53" s="501" t="s">
        <v>112</v>
      </c>
      <c r="D53" s="502"/>
      <c r="E53" s="42">
        <v>35.869999999999997</v>
      </c>
      <c r="F53" s="230">
        <v>2861</v>
      </c>
      <c r="G53" s="225">
        <f t="shared" si="31"/>
        <v>102624.06999999999</v>
      </c>
      <c r="H53" s="125" t="s">
        <v>79</v>
      </c>
      <c r="I53" s="226">
        <v>9</v>
      </c>
      <c r="J53" s="37">
        <v>3000</v>
      </c>
      <c r="K53" s="17">
        <f t="shared" si="1"/>
        <v>333.33333333333331</v>
      </c>
      <c r="L53" s="226">
        <v>9</v>
      </c>
      <c r="M53" s="18">
        <f t="shared" si="32"/>
        <v>2860.9999999999986</v>
      </c>
      <c r="N53" s="18">
        <f t="shared" si="3"/>
        <v>317.88888888888874</v>
      </c>
      <c r="O53" s="19">
        <f t="shared" si="4"/>
        <v>0</v>
      </c>
      <c r="P53" s="20">
        <f t="shared" si="5"/>
        <v>-15.444444444444571</v>
      </c>
      <c r="Q53" s="227">
        <f t="shared" si="6"/>
        <v>0.95366666666666633</v>
      </c>
      <c r="R53" s="510"/>
      <c r="S53" s="40">
        <v>0.4368055555555555</v>
      </c>
      <c r="T53" s="40">
        <v>0.47847222222222219</v>
      </c>
      <c r="U53" s="225">
        <f t="shared" si="34"/>
        <v>6.9999999999999751</v>
      </c>
      <c r="V53" s="228">
        <f t="shared" si="33"/>
        <v>60.000000000000028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-139.00000000000136</v>
      </c>
      <c r="AF53" s="227">
        <f t="shared" si="9"/>
        <v>0.95366666666666622</v>
      </c>
      <c r="AG53" s="510"/>
    </row>
    <row r="54" spans="1:33" ht="15.75" customHeight="1">
      <c r="A54" s="513" t="s">
        <v>65</v>
      </c>
      <c r="B54" s="42" t="s">
        <v>93</v>
      </c>
      <c r="C54" s="501" t="s">
        <v>113</v>
      </c>
      <c r="D54" s="502"/>
      <c r="E54" s="42">
        <v>34.36</v>
      </c>
      <c r="F54" s="230">
        <v>1643</v>
      </c>
      <c r="G54" s="225">
        <f t="shared" si="31"/>
        <v>56453.479999999996</v>
      </c>
      <c r="H54" s="125" t="s">
        <v>79</v>
      </c>
      <c r="I54" s="226">
        <v>10</v>
      </c>
      <c r="J54" s="37">
        <v>3000</v>
      </c>
      <c r="K54" s="17">
        <f t="shared" si="1"/>
        <v>300</v>
      </c>
      <c r="L54" s="226">
        <v>10</v>
      </c>
      <c r="M54" s="18">
        <f t="shared" si="32"/>
        <v>2899.4117647058788</v>
      </c>
      <c r="N54" s="18">
        <f t="shared" si="3"/>
        <v>289.94117647058789</v>
      </c>
      <c r="O54" s="19">
        <f t="shared" si="4"/>
        <v>0</v>
      </c>
      <c r="P54" s="20">
        <f t="shared" si="5"/>
        <v>-10.058823529412109</v>
      </c>
      <c r="Q54" s="227">
        <f t="shared" si="6"/>
        <v>0.96647058823529297</v>
      </c>
      <c r="R54" s="510"/>
      <c r="S54" s="40">
        <v>0.48402777777777772</v>
      </c>
      <c r="T54" s="40">
        <v>0.50763888888888886</v>
      </c>
      <c r="U54" s="225">
        <f t="shared" si="34"/>
        <v>7.9999999999999716</v>
      </c>
      <c r="V54" s="228">
        <f t="shared" si="33"/>
        <v>34.000000000000043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-100.5882352941212</v>
      </c>
      <c r="AF54" s="227">
        <f t="shared" si="9"/>
        <v>0.96647058823529297</v>
      </c>
      <c r="AG54" s="510"/>
    </row>
    <row r="55" spans="1:33" ht="15.75" customHeight="1">
      <c r="A55" s="514" t="s">
        <v>1289</v>
      </c>
      <c r="B55" s="42" t="s">
        <v>71</v>
      </c>
      <c r="C55" s="492"/>
      <c r="D55" s="493"/>
      <c r="E55" s="236"/>
      <c r="F55" s="230"/>
      <c r="G55" s="225"/>
      <c r="H55" s="230"/>
      <c r="I55" s="30">
        <v>10.428571428571429</v>
      </c>
      <c r="J55" s="37">
        <v>2857.1428571428573</v>
      </c>
      <c r="K55" s="17">
        <f t="shared" si="1"/>
        <v>273.97260273972603</v>
      </c>
      <c r="L55" s="30">
        <v>10.428571428571429</v>
      </c>
      <c r="M55" s="18">
        <f>AVERAGE(M48:M54)</f>
        <v>2732.3186511689855</v>
      </c>
      <c r="N55" s="17">
        <f t="shared" si="3"/>
        <v>262.00315833127257</v>
      </c>
      <c r="O55" s="19">
        <f t="shared" si="4"/>
        <v>0</v>
      </c>
      <c r="P55" s="20">
        <f t="shared" si="5"/>
        <v>-11.969444408453455</v>
      </c>
      <c r="Q55" s="227">
        <f t="shared" si="6"/>
        <v>0.95631152790914487</v>
      </c>
      <c r="R55" s="511"/>
      <c r="S55" s="40"/>
      <c r="T55" s="40"/>
      <c r="U55" s="225"/>
      <c r="V55" s="228"/>
      <c r="W55" s="23"/>
      <c r="X55" s="23"/>
      <c r="Y55" s="31">
        <f>SUM(Y48:Y54)</f>
        <v>0</v>
      </c>
      <c r="Z55" s="31">
        <f>SUM(Z48:Z54)</f>
        <v>0</v>
      </c>
      <c r="AA55" s="505"/>
      <c r="AB55" s="506"/>
      <c r="AC55" s="31">
        <v>2</v>
      </c>
      <c r="AD55" s="31">
        <f>SUM(AD48:AD54)</f>
        <v>0</v>
      </c>
      <c r="AE55" s="19">
        <f t="shared" si="8"/>
        <v>-124.82420597387181</v>
      </c>
      <c r="AF55" s="227">
        <f t="shared" si="9"/>
        <v>0.95631152790914487</v>
      </c>
      <c r="AG55" s="511"/>
    </row>
    <row r="56" spans="1:33" ht="15.75" customHeight="1">
      <c r="A56" s="507" t="s">
        <v>68</v>
      </c>
      <c r="B56" s="42" t="s">
        <v>100</v>
      </c>
      <c r="C56" s="490" t="s">
        <v>101</v>
      </c>
      <c r="D56" s="490"/>
      <c r="E56" s="42">
        <v>46</v>
      </c>
      <c r="F56" s="46">
        <v>1655</v>
      </c>
      <c r="G56" s="225">
        <f t="shared" ref="G56:G62" si="35">E56*F56</f>
        <v>76130</v>
      </c>
      <c r="H56" s="125" t="s">
        <v>79</v>
      </c>
      <c r="I56" s="226">
        <v>17</v>
      </c>
      <c r="J56" s="37">
        <v>2000</v>
      </c>
      <c r="K56" s="17">
        <f t="shared" si="1"/>
        <v>117.64705882352941</v>
      </c>
      <c r="L56" s="226">
        <v>17</v>
      </c>
      <c r="M56" s="18">
        <f t="shared" ref="M56:M62" si="36">F56/V56*60</f>
        <v>1909.6153846153841</v>
      </c>
      <c r="N56" s="18">
        <f t="shared" si="3"/>
        <v>112.33031674208142</v>
      </c>
      <c r="O56" s="19">
        <f t="shared" si="4"/>
        <v>0</v>
      </c>
      <c r="P56" s="20">
        <f t="shared" si="5"/>
        <v>-5.316742081447984</v>
      </c>
      <c r="Q56" s="227">
        <f t="shared" si="6"/>
        <v>0.95480769230769214</v>
      </c>
      <c r="R56" s="489">
        <f>Q63</f>
        <v>0.92900682007326918</v>
      </c>
      <c r="S56" s="40">
        <v>0.20833333333333334</v>
      </c>
      <c r="T56" s="40">
        <v>0.24444444444444446</v>
      </c>
      <c r="U56" s="28"/>
      <c r="V56" s="228">
        <f t="shared" ref="V56:V62" si="37">(T56-S56)*24*60</f>
        <v>52.000000000000014</v>
      </c>
      <c r="W56" s="28"/>
      <c r="X56" s="28"/>
      <c r="Y56" s="28"/>
      <c r="Z56" s="28"/>
      <c r="AA56" s="491"/>
      <c r="AB56" s="491"/>
      <c r="AC56" s="154">
        <v>4</v>
      </c>
      <c r="AD56" s="25"/>
      <c r="AE56" s="19">
        <f t="shared" si="8"/>
        <v>-90.384615384615927</v>
      </c>
      <c r="AF56" s="227">
        <f t="shared" si="9"/>
        <v>0.95480769230769202</v>
      </c>
      <c r="AG56" s="489">
        <f>AF63</f>
        <v>0.92900682007326918</v>
      </c>
    </row>
    <row r="57" spans="1:33" ht="15.75" customHeight="1">
      <c r="A57" s="507" t="s">
        <v>68</v>
      </c>
      <c r="B57" s="42" t="s">
        <v>100</v>
      </c>
      <c r="C57" s="490" t="s">
        <v>102</v>
      </c>
      <c r="D57" s="490"/>
      <c r="E57" s="42">
        <v>46</v>
      </c>
      <c r="F57" s="46">
        <v>1795</v>
      </c>
      <c r="G57" s="225">
        <f t="shared" si="35"/>
        <v>82570</v>
      </c>
      <c r="H57" s="125" t="s">
        <v>79</v>
      </c>
      <c r="I57" s="226">
        <v>17</v>
      </c>
      <c r="J57" s="37">
        <v>2000</v>
      </c>
      <c r="K57" s="17">
        <f t="shared" si="1"/>
        <v>117.64705882352941</v>
      </c>
      <c r="L57" s="226">
        <v>17</v>
      </c>
      <c r="M57" s="18">
        <f t="shared" si="36"/>
        <v>1923.2142857142858</v>
      </c>
      <c r="N57" s="18">
        <f t="shared" si="3"/>
        <v>113.13025210084034</v>
      </c>
      <c r="O57" s="19">
        <f t="shared" si="4"/>
        <v>0</v>
      </c>
      <c r="P57" s="20">
        <f t="shared" si="5"/>
        <v>-4.5168067226890685</v>
      </c>
      <c r="Q57" s="227">
        <f t="shared" si="6"/>
        <v>0.96160714285714288</v>
      </c>
      <c r="R57" s="489"/>
      <c r="S57" s="40">
        <v>0.24861111111111114</v>
      </c>
      <c r="T57" s="40">
        <v>0.28750000000000003</v>
      </c>
      <c r="U57" s="225">
        <f t="shared" ref="U57:U62" si="38">IF(S57=TIME(17,0,0),"",(S57-T56)*24*60)</f>
        <v>6.0000000000000187</v>
      </c>
      <c r="V57" s="228">
        <f t="shared" si="37"/>
        <v>56</v>
      </c>
      <c r="W57" s="23"/>
      <c r="X57" s="23"/>
      <c r="Y57" s="23"/>
      <c r="Z57" s="23"/>
      <c r="AA57" s="491"/>
      <c r="AB57" s="491"/>
      <c r="AC57" s="154"/>
      <c r="AD57" s="25"/>
      <c r="AE57" s="19">
        <f t="shared" si="8"/>
        <v>-76.785714285714221</v>
      </c>
      <c r="AF57" s="227">
        <f t="shared" si="9"/>
        <v>0.96160714285714288</v>
      </c>
      <c r="AG57" s="489"/>
    </row>
    <row r="58" spans="1:33" ht="15.75" customHeight="1">
      <c r="A58" s="507" t="s">
        <v>68</v>
      </c>
      <c r="B58" s="42" t="s">
        <v>103</v>
      </c>
      <c r="C58" s="501" t="s">
        <v>105</v>
      </c>
      <c r="D58" s="502"/>
      <c r="E58" s="42">
        <v>56.43</v>
      </c>
      <c r="F58" s="46">
        <v>1811</v>
      </c>
      <c r="G58" s="225">
        <f t="shared" si="35"/>
        <v>102194.73</v>
      </c>
      <c r="H58" s="125" t="s">
        <v>79</v>
      </c>
      <c r="I58" s="226">
        <v>22</v>
      </c>
      <c r="J58" s="37">
        <v>2000</v>
      </c>
      <c r="K58" s="17">
        <f t="shared" si="1"/>
        <v>90.909090909090907</v>
      </c>
      <c r="L58" s="226">
        <v>22</v>
      </c>
      <c r="M58" s="18">
        <f t="shared" si="36"/>
        <v>1697.8124999999995</v>
      </c>
      <c r="N58" s="18">
        <f t="shared" si="3"/>
        <v>77.173295454545439</v>
      </c>
      <c r="O58" s="19">
        <f t="shared" si="4"/>
        <v>0</v>
      </c>
      <c r="P58" s="20">
        <f t="shared" si="5"/>
        <v>-13.735795454545467</v>
      </c>
      <c r="Q58" s="227">
        <f t="shared" si="6"/>
        <v>0.84890624999999986</v>
      </c>
      <c r="R58" s="489"/>
      <c r="S58" s="40">
        <v>0.29236111111111113</v>
      </c>
      <c r="T58" s="40">
        <v>0.33680555555555558</v>
      </c>
      <c r="U58" s="225">
        <f t="shared" si="38"/>
        <v>6.9999999999999751</v>
      </c>
      <c r="V58" s="228">
        <f t="shared" si="37"/>
        <v>64.000000000000014</v>
      </c>
      <c r="W58" s="23"/>
      <c r="X58" s="23"/>
      <c r="Y58" s="26"/>
      <c r="Z58" s="26"/>
      <c r="AA58" s="491"/>
      <c r="AB58" s="491"/>
      <c r="AC58" s="154"/>
      <c r="AD58" s="25"/>
      <c r="AE58" s="19">
        <f t="shared" si="8"/>
        <v>-302.18750000000045</v>
      </c>
      <c r="AF58" s="227">
        <f t="shared" si="9"/>
        <v>0.84890624999999975</v>
      </c>
      <c r="AG58" s="489"/>
    </row>
    <row r="59" spans="1:33" ht="15.75" customHeight="1">
      <c r="A59" s="507" t="s">
        <v>68</v>
      </c>
      <c r="B59" s="42" t="s">
        <v>103</v>
      </c>
      <c r="C59" s="234" t="s">
        <v>518</v>
      </c>
      <c r="D59" s="235"/>
      <c r="E59" s="42">
        <v>51.75</v>
      </c>
      <c r="F59" s="46">
        <v>2618</v>
      </c>
      <c r="G59" s="225">
        <f t="shared" si="35"/>
        <v>135481.5</v>
      </c>
      <c r="H59" s="125" t="s">
        <v>79</v>
      </c>
      <c r="I59" s="226">
        <v>25</v>
      </c>
      <c r="J59" s="37">
        <v>2000</v>
      </c>
      <c r="K59" s="17">
        <f t="shared" si="1"/>
        <v>80</v>
      </c>
      <c r="L59" s="226">
        <v>25</v>
      </c>
      <c r="M59" s="18">
        <f t="shared" si="36"/>
        <v>1689.0322580645166</v>
      </c>
      <c r="N59" s="18">
        <f t="shared" si="3"/>
        <v>67.56129032258066</v>
      </c>
      <c r="O59" s="19">
        <f t="shared" si="4"/>
        <v>0</v>
      </c>
      <c r="P59" s="20">
        <f t="shared" si="5"/>
        <v>-12.43870967741934</v>
      </c>
      <c r="Q59" s="227">
        <f t="shared" si="6"/>
        <v>0.84451612903225826</v>
      </c>
      <c r="R59" s="489"/>
      <c r="S59" s="40">
        <v>0.34097222222222223</v>
      </c>
      <c r="T59" s="40">
        <v>0.40555555555555556</v>
      </c>
      <c r="U59" s="225">
        <f t="shared" si="38"/>
        <v>5.9999999999999787</v>
      </c>
      <c r="V59" s="228">
        <f t="shared" si="37"/>
        <v>92.999999999999986</v>
      </c>
      <c r="W59" s="23"/>
      <c r="X59" s="23"/>
      <c r="Y59" s="26"/>
      <c r="Z59" s="26"/>
      <c r="AA59" s="491"/>
      <c r="AB59" s="491"/>
      <c r="AC59" s="154"/>
      <c r="AD59" s="25"/>
      <c r="AE59" s="19">
        <f t="shared" si="8"/>
        <v>-310.96774193548345</v>
      </c>
      <c r="AF59" s="227">
        <f t="shared" si="9"/>
        <v>0.84451612903225826</v>
      </c>
      <c r="AG59" s="489"/>
    </row>
    <row r="60" spans="1:33" ht="15.75" customHeight="1">
      <c r="A60" s="507" t="s">
        <v>68</v>
      </c>
      <c r="B60" s="42" t="s">
        <v>103</v>
      </c>
      <c r="C60" s="234" t="s">
        <v>106</v>
      </c>
      <c r="D60" s="235"/>
      <c r="E60" s="42">
        <v>55.56</v>
      </c>
      <c r="F60" s="46">
        <v>1799</v>
      </c>
      <c r="G60" s="225">
        <f t="shared" si="35"/>
        <v>99952.44</v>
      </c>
      <c r="H60" s="125" t="s">
        <v>79</v>
      </c>
      <c r="I60" s="226">
        <v>17</v>
      </c>
      <c r="J60" s="37">
        <v>2000</v>
      </c>
      <c r="K60" s="17">
        <f t="shared" si="1"/>
        <v>117.64705882352941</v>
      </c>
      <c r="L60" s="226">
        <v>17</v>
      </c>
      <c r="M60" s="18">
        <f t="shared" si="36"/>
        <v>1927.5000000000014</v>
      </c>
      <c r="N60" s="18">
        <f t="shared" si="3"/>
        <v>113.38235294117655</v>
      </c>
      <c r="O60" s="19">
        <f t="shared" si="4"/>
        <v>0</v>
      </c>
      <c r="P60" s="20">
        <f t="shared" si="5"/>
        <v>-4.2647058823528567</v>
      </c>
      <c r="Q60" s="227">
        <f t="shared" si="6"/>
        <v>0.96375000000000066</v>
      </c>
      <c r="R60" s="489"/>
      <c r="S60" s="40">
        <v>0.70833333333333337</v>
      </c>
      <c r="T60" s="40">
        <v>0.74722222222222223</v>
      </c>
      <c r="U60" s="225" t="str">
        <f t="shared" si="38"/>
        <v/>
      </c>
      <c r="V60" s="228">
        <f t="shared" si="37"/>
        <v>55.999999999999957</v>
      </c>
      <c r="W60" s="23"/>
      <c r="X60" s="23"/>
      <c r="Y60" s="26"/>
      <c r="Z60" s="26"/>
      <c r="AA60" s="491"/>
      <c r="AB60" s="491"/>
      <c r="AC60" s="154"/>
      <c r="AD60" s="25"/>
      <c r="AE60" s="19">
        <f t="shared" si="8"/>
        <v>-72.499999999998636</v>
      </c>
      <c r="AF60" s="227">
        <f t="shared" si="9"/>
        <v>0.96375000000000066</v>
      </c>
      <c r="AG60" s="489"/>
    </row>
    <row r="61" spans="1:33" ht="15.75" customHeight="1">
      <c r="A61" s="507" t="s">
        <v>1290</v>
      </c>
      <c r="B61" s="42" t="s">
        <v>103</v>
      </c>
      <c r="C61" s="501" t="s">
        <v>107</v>
      </c>
      <c r="D61" s="502"/>
      <c r="E61" s="42">
        <v>55.32</v>
      </c>
      <c r="F61" s="46">
        <v>1287</v>
      </c>
      <c r="G61" s="225">
        <f t="shared" si="35"/>
        <v>71196.84</v>
      </c>
      <c r="H61" s="125" t="s">
        <v>79</v>
      </c>
      <c r="I61" s="226">
        <v>15</v>
      </c>
      <c r="J61" s="37">
        <v>2000</v>
      </c>
      <c r="K61" s="17">
        <f t="shared" si="1"/>
        <v>133.33333333333334</v>
      </c>
      <c r="L61" s="226">
        <v>15</v>
      </c>
      <c r="M61" s="18">
        <f t="shared" si="36"/>
        <v>1930.4999999999993</v>
      </c>
      <c r="N61" s="18">
        <f t="shared" si="3"/>
        <v>128.69999999999996</v>
      </c>
      <c r="O61" s="19">
        <f t="shared" si="4"/>
        <v>0</v>
      </c>
      <c r="P61" s="20">
        <f t="shared" si="5"/>
        <v>-4.6333333333333826</v>
      </c>
      <c r="Q61" s="227">
        <f t="shared" si="6"/>
        <v>0.96524999999999961</v>
      </c>
      <c r="R61" s="489"/>
      <c r="S61" s="40">
        <v>0.75208333333333333</v>
      </c>
      <c r="T61" s="40">
        <v>0.77986111111111112</v>
      </c>
      <c r="U61" s="225">
        <f t="shared" si="38"/>
        <v>6.9999999999999751</v>
      </c>
      <c r="V61" s="228">
        <f t="shared" si="37"/>
        <v>40.000000000000014</v>
      </c>
      <c r="W61" s="23"/>
      <c r="X61" s="23"/>
      <c r="Y61" s="26"/>
      <c r="Z61" s="26"/>
      <c r="AA61" s="503"/>
      <c r="AB61" s="504"/>
      <c r="AC61" s="154"/>
      <c r="AD61" s="25"/>
      <c r="AE61" s="19">
        <f t="shared" si="8"/>
        <v>-69.500000000000682</v>
      </c>
      <c r="AF61" s="227">
        <f t="shared" si="9"/>
        <v>0.96524999999999961</v>
      </c>
      <c r="AG61" s="489"/>
    </row>
    <row r="62" spans="1:33" ht="15.75" customHeight="1">
      <c r="A62" s="507" t="s">
        <v>1290</v>
      </c>
      <c r="B62" s="42" t="s">
        <v>103</v>
      </c>
      <c r="C62" s="501" t="s">
        <v>516</v>
      </c>
      <c r="D62" s="502"/>
      <c r="E62" s="42">
        <v>50.67</v>
      </c>
      <c r="F62" s="46">
        <v>1832</v>
      </c>
      <c r="G62" s="225">
        <f t="shared" si="35"/>
        <v>92827.44</v>
      </c>
      <c r="H62" s="125" t="s">
        <v>79</v>
      </c>
      <c r="I62" s="226">
        <v>16</v>
      </c>
      <c r="J62" s="37">
        <v>2000</v>
      </c>
      <c r="K62" s="17">
        <f t="shared" si="1"/>
        <v>125</v>
      </c>
      <c r="L62" s="226">
        <v>16</v>
      </c>
      <c r="M62" s="18">
        <f t="shared" si="36"/>
        <v>1928.4210526315806</v>
      </c>
      <c r="N62" s="18">
        <f t="shared" si="3"/>
        <v>120.52631578947378</v>
      </c>
      <c r="O62" s="19">
        <f t="shared" si="4"/>
        <v>0</v>
      </c>
      <c r="P62" s="20">
        <f t="shared" si="5"/>
        <v>-4.4736842105262156</v>
      </c>
      <c r="Q62" s="227">
        <f t="shared" si="6"/>
        <v>0.9642105263157903</v>
      </c>
      <c r="R62" s="489"/>
      <c r="S62" s="40">
        <v>0.78333333333333333</v>
      </c>
      <c r="T62" s="40">
        <v>0.82291666666666663</v>
      </c>
      <c r="U62" s="225">
        <f t="shared" si="38"/>
        <v>4.9999999999999822</v>
      </c>
      <c r="V62" s="228">
        <f t="shared" si="37"/>
        <v>56.999999999999957</v>
      </c>
      <c r="W62" s="23"/>
      <c r="X62" s="23"/>
      <c r="Y62" s="26"/>
      <c r="Z62" s="26"/>
      <c r="AA62" s="503"/>
      <c r="AB62" s="504"/>
      <c r="AC62" s="154"/>
      <c r="AD62" s="25"/>
      <c r="AE62" s="19">
        <f t="shared" si="8"/>
        <v>-71.578947368419449</v>
      </c>
      <c r="AF62" s="227">
        <f t="shared" si="9"/>
        <v>0.9642105263157903</v>
      </c>
      <c r="AG62" s="489"/>
    </row>
    <row r="63" spans="1:33">
      <c r="A63" s="508" t="s">
        <v>1291</v>
      </c>
      <c r="B63" s="42" t="s">
        <v>71</v>
      </c>
      <c r="C63" s="494"/>
      <c r="D63" s="494"/>
      <c r="E63" s="231"/>
      <c r="F63" s="44"/>
      <c r="G63" s="17"/>
      <c r="H63" s="230"/>
      <c r="I63" s="30">
        <v>18.428571428571427</v>
      </c>
      <c r="J63" s="37">
        <v>2000</v>
      </c>
      <c r="K63" s="17">
        <f t="shared" si="1"/>
        <v>108.52713178294574</v>
      </c>
      <c r="L63" s="30">
        <v>18.428571428571427</v>
      </c>
      <c r="M63" s="18">
        <f>AVERAGE(M56:M62)</f>
        <v>1858.0136401465384</v>
      </c>
      <c r="N63" s="17">
        <f t="shared" si="3"/>
        <v>100.82244558934705</v>
      </c>
      <c r="O63" s="19">
        <f t="shared" si="4"/>
        <v>0</v>
      </c>
      <c r="P63" s="20">
        <f t="shared" si="5"/>
        <v>-7.7046861935986897</v>
      </c>
      <c r="Q63" s="227">
        <f t="shared" si="6"/>
        <v>0.92900682007326918</v>
      </c>
      <c r="R63" s="489"/>
      <c r="S63" s="41"/>
      <c r="T63" s="40"/>
      <c r="U63" s="17"/>
      <c r="V63" s="228"/>
      <c r="W63" s="17"/>
      <c r="X63" s="17"/>
      <c r="Y63" s="31">
        <f>SUM(Y56:Y62)</f>
        <v>0</v>
      </c>
      <c r="Z63" s="31">
        <f>SUM(Z56:Z62)</f>
        <v>0</v>
      </c>
      <c r="AA63" s="495"/>
      <c r="AB63" s="495"/>
      <c r="AC63" s="31">
        <v>4</v>
      </c>
      <c r="AD63" s="31">
        <f>SUM(AD56:AD62)</f>
        <v>0</v>
      </c>
      <c r="AE63" s="19">
        <f t="shared" si="8"/>
        <v>-141.98635985346164</v>
      </c>
      <c r="AF63" s="227">
        <f t="shared" si="9"/>
        <v>0.92900682007326918</v>
      </c>
      <c r="AG63" s="489"/>
    </row>
    <row r="64" spans="1:33" ht="15.75" customHeight="1">
      <c r="A64" s="499" t="s">
        <v>1292</v>
      </c>
      <c r="B64" s="230" t="s">
        <v>100</v>
      </c>
      <c r="C64" s="490" t="s">
        <v>109</v>
      </c>
      <c r="D64" s="490"/>
      <c r="E64" s="42">
        <v>26.97</v>
      </c>
      <c r="F64" s="46">
        <v>2393</v>
      </c>
      <c r="G64" s="225">
        <f t="shared" ref="G64:G68" si="39">E64*F64</f>
        <v>64539.21</v>
      </c>
      <c r="H64" s="125" t="s">
        <v>79</v>
      </c>
      <c r="I64" s="226">
        <v>8</v>
      </c>
      <c r="J64" s="37">
        <v>1500</v>
      </c>
      <c r="K64" s="17">
        <f t="shared" si="1"/>
        <v>187.5</v>
      </c>
      <c r="L64" s="226">
        <v>8</v>
      </c>
      <c r="M64" s="18">
        <f t="shared" ref="M64:M68" si="40">F64/V64*60</f>
        <v>1435.8</v>
      </c>
      <c r="N64" s="17">
        <f t="shared" si="3"/>
        <v>179.47499999999999</v>
      </c>
      <c r="O64" s="19">
        <f t="shared" si="4"/>
        <v>0</v>
      </c>
      <c r="P64" s="20">
        <f t="shared" si="5"/>
        <v>-8.0250000000000057</v>
      </c>
      <c r="Q64" s="227">
        <f t="shared" si="6"/>
        <v>0.95719999999999994</v>
      </c>
      <c r="R64" s="489">
        <f>Q69</f>
        <v>0.95744521263323756</v>
      </c>
      <c r="S64" s="40">
        <v>0.20833333333333334</v>
      </c>
      <c r="T64" s="40">
        <v>0.27777777777777779</v>
      </c>
      <c r="U64" s="225"/>
      <c r="V64" s="228">
        <f t="shared" ref="V64:V68" si="41">(T64-S64)*24*60</f>
        <v>100</v>
      </c>
      <c r="W64" s="28"/>
      <c r="X64" s="28"/>
      <c r="Y64" s="28"/>
      <c r="Z64" s="28"/>
      <c r="AA64" s="491"/>
      <c r="AB64" s="491"/>
      <c r="AC64" s="154" t="s">
        <v>79</v>
      </c>
      <c r="AD64" s="25"/>
      <c r="AE64" s="19">
        <f t="shared" si="8"/>
        <v>-64.200000000000045</v>
      </c>
      <c r="AF64" s="227">
        <f t="shared" si="9"/>
        <v>0.95719999999999994</v>
      </c>
      <c r="AG64" s="489">
        <f>AF69</f>
        <v>0.95744521263323745</v>
      </c>
    </row>
    <row r="65" spans="1:33" ht="15.75" customHeight="1">
      <c r="A65" s="499" t="s">
        <v>72</v>
      </c>
      <c r="B65" s="230" t="s">
        <v>93</v>
      </c>
      <c r="C65" s="490" t="s">
        <v>110</v>
      </c>
      <c r="D65" s="490"/>
      <c r="E65" s="42">
        <v>26.78</v>
      </c>
      <c r="F65" s="46">
        <v>2930</v>
      </c>
      <c r="G65" s="225">
        <f t="shared" si="39"/>
        <v>78465.400000000009</v>
      </c>
      <c r="H65" s="125" t="s">
        <v>79</v>
      </c>
      <c r="I65" s="226">
        <v>10</v>
      </c>
      <c r="J65" s="37">
        <v>3000</v>
      </c>
      <c r="K65" s="17">
        <f t="shared" si="1"/>
        <v>300</v>
      </c>
      <c r="L65" s="226">
        <v>10</v>
      </c>
      <c r="M65" s="18">
        <f t="shared" si="40"/>
        <v>2881.9672131147531</v>
      </c>
      <c r="N65" s="17">
        <f t="shared" si="3"/>
        <v>288.1967213114753</v>
      </c>
      <c r="O65" s="19">
        <f t="shared" si="4"/>
        <v>0</v>
      </c>
      <c r="P65" s="20">
        <f t="shared" si="5"/>
        <v>-11.803278688524699</v>
      </c>
      <c r="Q65" s="227">
        <f t="shared" si="6"/>
        <v>0.96065573770491763</v>
      </c>
      <c r="R65" s="489"/>
      <c r="S65" s="40">
        <v>0.28194444444444444</v>
      </c>
      <c r="T65" s="40">
        <v>0.32430555555555557</v>
      </c>
      <c r="U65" s="225">
        <f t="shared" ref="U65:U68" si="42">(S65-T64)*24*60</f>
        <v>5.9999999999999787</v>
      </c>
      <c r="V65" s="228">
        <f t="shared" si="41"/>
        <v>61.000000000000021</v>
      </c>
      <c r="W65" s="225"/>
      <c r="X65" s="225"/>
      <c r="Y65" s="225"/>
      <c r="Z65" s="225"/>
      <c r="AA65" s="491"/>
      <c r="AB65" s="491"/>
      <c r="AC65" s="154" t="s">
        <v>79</v>
      </c>
      <c r="AD65" s="25"/>
      <c r="AE65" s="19">
        <f t="shared" si="8"/>
        <v>-118.03278688524688</v>
      </c>
      <c r="AF65" s="227">
        <f t="shared" si="9"/>
        <v>0.96065573770491774</v>
      </c>
      <c r="AG65" s="489"/>
    </row>
    <row r="66" spans="1:33" ht="15.75" customHeight="1">
      <c r="A66" s="499" t="s">
        <v>1293</v>
      </c>
      <c r="B66" s="230" t="s">
        <v>100</v>
      </c>
      <c r="C66" s="490" t="s">
        <v>519</v>
      </c>
      <c r="D66" s="490"/>
      <c r="E66" s="42">
        <v>27.4</v>
      </c>
      <c r="F66" s="46">
        <v>2997</v>
      </c>
      <c r="G66" s="225">
        <f t="shared" si="39"/>
        <v>82117.8</v>
      </c>
      <c r="H66" s="125" t="s">
        <v>79</v>
      </c>
      <c r="I66" s="226">
        <v>10</v>
      </c>
      <c r="J66" s="37">
        <v>1500</v>
      </c>
      <c r="K66" s="17">
        <f t="shared" si="1"/>
        <v>150</v>
      </c>
      <c r="L66" s="226">
        <v>10</v>
      </c>
      <c r="M66" s="18">
        <f t="shared" si="40"/>
        <v>1427.1428571428569</v>
      </c>
      <c r="N66" s="17">
        <f t="shared" si="3"/>
        <v>142.71428571428569</v>
      </c>
      <c r="O66" s="19">
        <f t="shared" si="4"/>
        <v>0</v>
      </c>
      <c r="P66" s="20">
        <f t="shared" si="5"/>
        <v>-7.285714285714306</v>
      </c>
      <c r="Q66" s="227">
        <f t="shared" si="6"/>
        <v>0.95142857142857129</v>
      </c>
      <c r="R66" s="489"/>
      <c r="S66" s="40">
        <v>0.3298611111111111</v>
      </c>
      <c r="T66" s="40">
        <v>0.41736111111111113</v>
      </c>
      <c r="U66" s="225">
        <f t="shared" si="42"/>
        <v>7.9999999999999716</v>
      </c>
      <c r="V66" s="228">
        <f t="shared" si="41"/>
        <v>126.00000000000003</v>
      </c>
      <c r="W66" s="225"/>
      <c r="X66" s="225"/>
      <c r="Y66" s="225"/>
      <c r="Z66" s="225"/>
      <c r="AA66" s="491"/>
      <c r="AB66" s="491"/>
      <c r="AC66" s="154" t="s">
        <v>79</v>
      </c>
      <c r="AD66" s="25"/>
      <c r="AE66" s="19">
        <f t="shared" si="8"/>
        <v>-72.857142857143117</v>
      </c>
      <c r="AF66" s="227">
        <f t="shared" si="9"/>
        <v>0.95142857142857129</v>
      </c>
      <c r="AG66" s="489"/>
    </row>
    <row r="67" spans="1:33" ht="15.75" customHeight="1">
      <c r="A67" s="499" t="s">
        <v>72</v>
      </c>
      <c r="B67" s="230" t="s">
        <v>93</v>
      </c>
      <c r="C67" s="490" t="s">
        <v>1235</v>
      </c>
      <c r="D67" s="490"/>
      <c r="E67" s="42">
        <v>36.17</v>
      </c>
      <c r="F67" s="46">
        <v>3400</v>
      </c>
      <c r="G67" s="225">
        <f t="shared" si="39"/>
        <v>122978</v>
      </c>
      <c r="H67" s="125">
        <v>2</v>
      </c>
      <c r="I67" s="226">
        <v>12</v>
      </c>
      <c r="J67" s="37">
        <v>2000</v>
      </c>
      <c r="K67" s="17">
        <f t="shared" si="1"/>
        <v>166.66666666666666</v>
      </c>
      <c r="L67" s="226">
        <v>12</v>
      </c>
      <c r="M67" s="18">
        <f t="shared" si="40"/>
        <v>1906.5420560747662</v>
      </c>
      <c r="N67" s="17">
        <f t="shared" si="3"/>
        <v>158.87850467289718</v>
      </c>
      <c r="O67" s="19">
        <f t="shared" si="4"/>
        <v>0</v>
      </c>
      <c r="P67" s="20">
        <f t="shared" si="5"/>
        <v>-7.7881619937694779</v>
      </c>
      <c r="Q67" s="227">
        <f t="shared" si="6"/>
        <v>0.95327102803738317</v>
      </c>
      <c r="R67" s="489"/>
      <c r="S67" s="40">
        <v>0.42291666666666666</v>
      </c>
      <c r="T67" s="40">
        <v>0.49722222222222223</v>
      </c>
      <c r="U67" s="225">
        <f t="shared" si="42"/>
        <v>7.9999999999999716</v>
      </c>
      <c r="V67" s="228">
        <f t="shared" si="41"/>
        <v>107.00000000000001</v>
      </c>
      <c r="W67" s="23">
        <f>T67</f>
        <v>0.49722222222222223</v>
      </c>
      <c r="X67" s="23">
        <f>S68</f>
        <v>0.53749999999999998</v>
      </c>
      <c r="Y67" s="225"/>
      <c r="Z67" s="225"/>
      <c r="AA67" s="491"/>
      <c r="AB67" s="491"/>
      <c r="AC67" s="154" t="s">
        <v>79</v>
      </c>
      <c r="AD67" s="25"/>
      <c r="AE67" s="19">
        <f t="shared" si="8"/>
        <v>-93.457943925233849</v>
      </c>
      <c r="AF67" s="227">
        <f t="shared" si="9"/>
        <v>0.95327102803738306</v>
      </c>
      <c r="AG67" s="489"/>
    </row>
    <row r="68" spans="1:33">
      <c r="A68" s="500" t="s">
        <v>72</v>
      </c>
      <c r="B68" s="230" t="s">
        <v>93</v>
      </c>
      <c r="C68" s="490" t="s">
        <v>1235</v>
      </c>
      <c r="D68" s="490"/>
      <c r="E68" s="42">
        <v>36.17</v>
      </c>
      <c r="F68" s="46">
        <v>2564</v>
      </c>
      <c r="G68" s="225">
        <f t="shared" si="39"/>
        <v>92739.88</v>
      </c>
      <c r="H68" s="125" t="s">
        <v>79</v>
      </c>
      <c r="I68" s="226">
        <v>12</v>
      </c>
      <c r="J68" s="37">
        <v>2000</v>
      </c>
      <c r="K68" s="17">
        <f t="shared" si="1"/>
        <v>166.66666666666666</v>
      </c>
      <c r="L68" s="226">
        <v>12</v>
      </c>
      <c r="M68" s="18">
        <f t="shared" si="40"/>
        <v>1922.9999999999993</v>
      </c>
      <c r="N68" s="17">
        <f t="shared" si="3"/>
        <v>160.24999999999994</v>
      </c>
      <c r="O68" s="19">
        <f t="shared" si="4"/>
        <v>0</v>
      </c>
      <c r="P68" s="20">
        <f t="shared" si="5"/>
        <v>-6.416666666666714</v>
      </c>
      <c r="Q68" s="227">
        <f t="shared" si="6"/>
        <v>0.96149999999999969</v>
      </c>
      <c r="R68" s="489"/>
      <c r="S68" s="40">
        <v>0.53749999999999998</v>
      </c>
      <c r="T68" s="40">
        <v>0.59305555555555556</v>
      </c>
      <c r="U68" s="225">
        <f t="shared" si="42"/>
        <v>57.999999999999957</v>
      </c>
      <c r="V68" s="228">
        <f t="shared" si="41"/>
        <v>80.000000000000028</v>
      </c>
      <c r="W68" s="23"/>
      <c r="X68" s="23"/>
      <c r="Y68" s="23"/>
      <c r="Z68" s="23"/>
      <c r="AA68" s="491"/>
      <c r="AB68" s="491"/>
      <c r="AC68" s="154" t="s">
        <v>79</v>
      </c>
      <c r="AD68" s="25"/>
      <c r="AE68" s="19">
        <f t="shared" si="8"/>
        <v>-77.000000000000682</v>
      </c>
      <c r="AF68" s="227">
        <f t="shared" si="9"/>
        <v>0.96149999999999969</v>
      </c>
      <c r="AG68" s="489"/>
    </row>
    <row r="69" spans="1:33">
      <c r="A69" s="500" t="s">
        <v>72</v>
      </c>
      <c r="B69" s="42" t="s">
        <v>71</v>
      </c>
      <c r="C69" s="494"/>
      <c r="D69" s="494"/>
      <c r="E69" s="231"/>
      <c r="F69" s="44"/>
      <c r="G69" s="17"/>
      <c r="H69" s="230"/>
      <c r="I69" s="30">
        <v>10.4</v>
      </c>
      <c r="J69" s="37">
        <v>2000</v>
      </c>
      <c r="K69" s="17">
        <f t="shared" ref="K69:K75" si="43">J69/I69</f>
        <v>192.30769230769229</v>
      </c>
      <c r="L69" s="30">
        <v>10.4</v>
      </c>
      <c r="M69" s="18">
        <f>AVERAGE(M64:M68)</f>
        <v>1914.8904252664749</v>
      </c>
      <c r="N69" s="17">
        <f t="shared" ref="N69:N75" si="44">M69/L69</f>
        <v>184.12407935254566</v>
      </c>
      <c r="O69" s="19">
        <f t="shared" ref="O69:O75" si="45">L69-I69</f>
        <v>0</v>
      </c>
      <c r="P69" s="20">
        <f t="shared" ref="P69:P75" si="46">N69-K69</f>
        <v>-8.1836129551466286</v>
      </c>
      <c r="Q69" s="227">
        <f t="shared" ref="Q69:Q75" si="47">N69/K69</f>
        <v>0.95744521263323756</v>
      </c>
      <c r="R69" s="489"/>
      <c r="S69" s="40"/>
      <c r="T69" s="40"/>
      <c r="U69" s="17"/>
      <c r="V69" s="228"/>
      <c r="W69" s="17"/>
      <c r="X69" s="17"/>
      <c r="Y69" s="31">
        <f>SUM(Y64:Y68)</f>
        <v>0</v>
      </c>
      <c r="Z69" s="31">
        <f>SUM(Z64:Z68)</f>
        <v>0</v>
      </c>
      <c r="AA69" s="495"/>
      <c r="AB69" s="495"/>
      <c r="AC69" s="31">
        <v>0</v>
      </c>
      <c r="AD69" s="31">
        <f>SUM(AD64:AD68)</f>
        <v>0</v>
      </c>
      <c r="AE69" s="19">
        <f t="shared" ref="AE69:AE75" si="48">M69-J69</f>
        <v>-85.109574733525051</v>
      </c>
      <c r="AF69" s="227">
        <f t="shared" ref="AF69:AF75" si="49">M69/J69</f>
        <v>0.95744521263323745</v>
      </c>
      <c r="AG69" s="489"/>
    </row>
    <row r="70" spans="1:33" ht="15.75" customHeight="1">
      <c r="A70" s="496" t="s">
        <v>321</v>
      </c>
      <c r="B70" s="230" t="s">
        <v>80</v>
      </c>
      <c r="C70" s="490" t="s">
        <v>115</v>
      </c>
      <c r="D70" s="490"/>
      <c r="E70" s="42">
        <v>20.2</v>
      </c>
      <c r="F70" s="230">
        <v>1855</v>
      </c>
      <c r="G70" s="225">
        <f t="shared" ref="G70:G74" si="50">E70*F70</f>
        <v>37471</v>
      </c>
      <c r="H70" s="125" t="s">
        <v>79</v>
      </c>
      <c r="I70" s="226">
        <v>19</v>
      </c>
      <c r="J70" s="37">
        <v>2400</v>
      </c>
      <c r="K70" s="17">
        <f t="shared" si="43"/>
        <v>126.31578947368421</v>
      </c>
      <c r="L70" s="226">
        <v>19</v>
      </c>
      <c r="M70" s="18">
        <f t="shared" ref="M70:M74" si="51">F70/V70*60</f>
        <v>2318.7499999999995</v>
      </c>
      <c r="N70" s="17">
        <f t="shared" si="44"/>
        <v>122.03947368421051</v>
      </c>
      <c r="O70" s="19">
        <f t="shared" si="45"/>
        <v>0</v>
      </c>
      <c r="P70" s="20">
        <f t="shared" si="46"/>
        <v>-4.2763157894736992</v>
      </c>
      <c r="Q70" s="227">
        <f t="shared" si="47"/>
        <v>0.96614583333333326</v>
      </c>
      <c r="R70" s="489">
        <f>Q75</f>
        <v>0.95741880332665452</v>
      </c>
      <c r="S70" s="40">
        <v>8.3333333333333329E-2</v>
      </c>
      <c r="T70" s="40">
        <v>0.11666666666666667</v>
      </c>
      <c r="U70" s="28"/>
      <c r="V70" s="228">
        <f t="shared" ref="V70:V74" si="52">(T70-S70)*24*60</f>
        <v>48.000000000000007</v>
      </c>
      <c r="W70" s="23">
        <f>T70</f>
        <v>0.11666666666666667</v>
      </c>
      <c r="X70" s="23">
        <f>S71</f>
        <v>0.13819444444444445</v>
      </c>
      <c r="Y70" s="23"/>
      <c r="Z70" s="23"/>
      <c r="AA70" s="491"/>
      <c r="AB70" s="491"/>
      <c r="AC70" s="154">
        <v>7</v>
      </c>
      <c r="AD70" s="25"/>
      <c r="AE70" s="19">
        <f t="shared" si="48"/>
        <v>-81.250000000000455</v>
      </c>
      <c r="AF70" s="227">
        <f t="shared" si="49"/>
        <v>0.96614583333333315</v>
      </c>
      <c r="AG70" s="489">
        <f>AF75</f>
        <v>0.95741880332665441</v>
      </c>
    </row>
    <row r="71" spans="1:33" ht="15.75" customHeight="1">
      <c r="A71" s="497" t="s">
        <v>1294</v>
      </c>
      <c r="B71" s="230" t="s">
        <v>80</v>
      </c>
      <c r="C71" s="490" t="s">
        <v>116</v>
      </c>
      <c r="D71" s="490"/>
      <c r="E71" s="42">
        <v>20.52</v>
      </c>
      <c r="F71" s="230">
        <v>2621</v>
      </c>
      <c r="G71" s="225">
        <f t="shared" si="50"/>
        <v>53782.92</v>
      </c>
      <c r="H71" s="125" t="s">
        <v>79</v>
      </c>
      <c r="I71" s="226">
        <v>18</v>
      </c>
      <c r="J71" s="37">
        <v>2400</v>
      </c>
      <c r="K71" s="17">
        <f t="shared" si="43"/>
        <v>133.33333333333334</v>
      </c>
      <c r="L71" s="226">
        <v>18</v>
      </c>
      <c r="M71" s="18">
        <f t="shared" si="51"/>
        <v>2312.6470588235297</v>
      </c>
      <c r="N71" s="17">
        <f t="shared" si="44"/>
        <v>128.48039215686276</v>
      </c>
      <c r="O71" s="19">
        <f t="shared" si="45"/>
        <v>0</v>
      </c>
      <c r="P71" s="20">
        <f t="shared" si="46"/>
        <v>-4.8529411764705799</v>
      </c>
      <c r="Q71" s="227">
        <f t="shared" si="47"/>
        <v>0.96360294117647061</v>
      </c>
      <c r="R71" s="489"/>
      <c r="S71" s="40">
        <v>0.13819444444444445</v>
      </c>
      <c r="T71" s="40">
        <v>0.18541666666666667</v>
      </c>
      <c r="U71" s="225">
        <f t="shared" ref="U71:U74" si="53">(S71-T70)*24*60</f>
        <v>31.000000000000011</v>
      </c>
      <c r="V71" s="228">
        <f t="shared" si="52"/>
        <v>68</v>
      </c>
      <c r="W71" s="23"/>
      <c r="X71" s="23"/>
      <c r="Y71" s="23"/>
      <c r="Z71" s="23"/>
      <c r="AA71" s="491"/>
      <c r="AB71" s="491"/>
      <c r="AC71" s="154"/>
      <c r="AD71" s="25"/>
      <c r="AE71" s="19">
        <f t="shared" si="48"/>
        <v>-87.352941176470267</v>
      </c>
      <c r="AF71" s="227">
        <f t="shared" si="49"/>
        <v>0.96360294117647072</v>
      </c>
      <c r="AG71" s="489"/>
    </row>
    <row r="72" spans="1:33" ht="15.75" customHeight="1">
      <c r="A72" s="497" t="s">
        <v>1294</v>
      </c>
      <c r="B72" s="230" t="s">
        <v>80</v>
      </c>
      <c r="C72" s="490" t="s">
        <v>117</v>
      </c>
      <c r="D72" s="490"/>
      <c r="E72" s="42">
        <v>24.43</v>
      </c>
      <c r="F72" s="230">
        <v>5443</v>
      </c>
      <c r="G72" s="225">
        <f t="shared" si="50"/>
        <v>132972.49</v>
      </c>
      <c r="H72" s="125" t="s">
        <v>79</v>
      </c>
      <c r="I72" s="226">
        <v>14</v>
      </c>
      <c r="J72" s="37">
        <v>2400</v>
      </c>
      <c r="K72" s="17">
        <f t="shared" si="43"/>
        <v>171.42857142857142</v>
      </c>
      <c r="L72" s="226">
        <v>14</v>
      </c>
      <c r="M72" s="18">
        <f t="shared" si="51"/>
        <v>2283.7762237762231</v>
      </c>
      <c r="N72" s="17">
        <f t="shared" si="44"/>
        <v>163.12687312687308</v>
      </c>
      <c r="O72" s="19">
        <f t="shared" si="45"/>
        <v>0</v>
      </c>
      <c r="P72" s="20">
        <f t="shared" si="46"/>
        <v>-8.3016983016983374</v>
      </c>
      <c r="Q72" s="227">
        <f t="shared" si="47"/>
        <v>0.95157342657342636</v>
      </c>
      <c r="R72" s="489"/>
      <c r="S72" s="40">
        <v>0.19097222222222224</v>
      </c>
      <c r="T72" s="40">
        <v>0.2902777777777778</v>
      </c>
      <c r="U72" s="225">
        <f t="shared" si="53"/>
        <v>8.0000000000000107</v>
      </c>
      <c r="V72" s="228">
        <f t="shared" si="52"/>
        <v>143.00000000000003</v>
      </c>
      <c r="W72" s="23"/>
      <c r="X72" s="23"/>
      <c r="Y72" s="23"/>
      <c r="Z72" s="23"/>
      <c r="AA72" s="491"/>
      <c r="AB72" s="491"/>
      <c r="AC72" s="154"/>
      <c r="AD72" s="25"/>
      <c r="AE72" s="19">
        <f t="shared" si="48"/>
        <v>-116.22377622377689</v>
      </c>
      <c r="AF72" s="227">
        <f t="shared" si="49"/>
        <v>0.95157342657342625</v>
      </c>
      <c r="AG72" s="489"/>
    </row>
    <row r="73" spans="1:33" ht="15.75" customHeight="1">
      <c r="A73" s="497" t="s">
        <v>321</v>
      </c>
      <c r="B73" s="230" t="s">
        <v>80</v>
      </c>
      <c r="C73" s="490" t="s">
        <v>118</v>
      </c>
      <c r="D73" s="490"/>
      <c r="E73" s="42">
        <v>20.21</v>
      </c>
      <c r="F73" s="230">
        <v>3551</v>
      </c>
      <c r="G73" s="225">
        <f t="shared" si="50"/>
        <v>71765.710000000006</v>
      </c>
      <c r="H73" s="125" t="s">
        <v>79</v>
      </c>
      <c r="I73" s="226">
        <v>16</v>
      </c>
      <c r="J73" s="37">
        <v>2400</v>
      </c>
      <c r="K73" s="17">
        <f t="shared" si="43"/>
        <v>150</v>
      </c>
      <c r="L73" s="226">
        <v>16</v>
      </c>
      <c r="M73" s="18">
        <f t="shared" si="51"/>
        <v>2290.9677419354839</v>
      </c>
      <c r="N73" s="17">
        <f t="shared" si="44"/>
        <v>143.18548387096774</v>
      </c>
      <c r="O73" s="19">
        <f t="shared" si="45"/>
        <v>0</v>
      </c>
      <c r="P73" s="20">
        <f t="shared" si="46"/>
        <v>-6.8145161290322562</v>
      </c>
      <c r="Q73" s="227">
        <f t="shared" si="47"/>
        <v>0.9545698924731183</v>
      </c>
      <c r="R73" s="489"/>
      <c r="S73" s="40">
        <v>0.29444444444444445</v>
      </c>
      <c r="T73" s="40">
        <v>0.35902777777777778</v>
      </c>
      <c r="U73" s="225">
        <f t="shared" si="53"/>
        <v>5.9999999999999787</v>
      </c>
      <c r="V73" s="228">
        <f t="shared" si="52"/>
        <v>92.999999999999986</v>
      </c>
      <c r="W73" s="23"/>
      <c r="X73" s="23"/>
      <c r="Y73" s="23"/>
      <c r="Z73" s="23"/>
      <c r="AA73" s="491"/>
      <c r="AB73" s="491"/>
      <c r="AC73" s="154"/>
      <c r="AD73" s="25"/>
      <c r="AE73" s="19">
        <f t="shared" si="48"/>
        <v>-109.0322580645161</v>
      </c>
      <c r="AF73" s="227">
        <f t="shared" si="49"/>
        <v>0.9545698924731183</v>
      </c>
      <c r="AG73" s="489"/>
    </row>
    <row r="74" spans="1:33" ht="15.75" customHeight="1">
      <c r="A74" s="497" t="s">
        <v>1294</v>
      </c>
      <c r="B74" s="230" t="s">
        <v>80</v>
      </c>
      <c r="C74" s="490" t="s">
        <v>119</v>
      </c>
      <c r="D74" s="490"/>
      <c r="E74" s="42">
        <v>19.02</v>
      </c>
      <c r="F74" s="230">
        <v>7914</v>
      </c>
      <c r="G74" s="225">
        <f t="shared" si="50"/>
        <v>150524.28</v>
      </c>
      <c r="H74" s="125" t="s">
        <v>79</v>
      </c>
      <c r="I74" s="226">
        <v>15</v>
      </c>
      <c r="J74" s="37">
        <v>2400</v>
      </c>
      <c r="K74" s="17">
        <f t="shared" si="43"/>
        <v>160</v>
      </c>
      <c r="L74" s="226">
        <v>15</v>
      </c>
      <c r="M74" s="18">
        <f t="shared" si="51"/>
        <v>2282.8846153846157</v>
      </c>
      <c r="N74" s="17">
        <f t="shared" si="44"/>
        <v>152.19230769230771</v>
      </c>
      <c r="O74" s="19">
        <f t="shared" si="45"/>
        <v>0</v>
      </c>
      <c r="P74" s="20">
        <f t="shared" si="46"/>
        <v>-7.8076923076922924</v>
      </c>
      <c r="Q74" s="227">
        <f t="shared" si="47"/>
        <v>0.95120192307692319</v>
      </c>
      <c r="R74" s="489"/>
      <c r="S74" s="40">
        <v>0.36388888888888887</v>
      </c>
      <c r="T74" s="40">
        <v>0.5083333333333333</v>
      </c>
      <c r="U74" s="225">
        <f t="shared" si="53"/>
        <v>6.9999999999999751</v>
      </c>
      <c r="V74" s="228">
        <f t="shared" si="52"/>
        <v>207.99999999999997</v>
      </c>
      <c r="W74" s="23"/>
      <c r="X74" s="23"/>
      <c r="Y74" s="23"/>
      <c r="Z74" s="23"/>
      <c r="AA74" s="491"/>
      <c r="AB74" s="491"/>
      <c r="AC74" s="154"/>
      <c r="AD74" s="25"/>
      <c r="AE74" s="19">
        <f t="shared" si="48"/>
        <v>-117.1153846153843</v>
      </c>
      <c r="AF74" s="227">
        <f t="shared" si="49"/>
        <v>0.95120192307692319</v>
      </c>
      <c r="AG74" s="489"/>
    </row>
    <row r="75" spans="1:33" ht="16.5" customHeight="1">
      <c r="A75" s="498" t="s">
        <v>1294</v>
      </c>
      <c r="B75" s="42" t="s">
        <v>1295</v>
      </c>
      <c r="C75" s="492"/>
      <c r="D75" s="493"/>
      <c r="E75" s="231"/>
      <c r="F75" s="44"/>
      <c r="G75" s="17"/>
      <c r="H75" s="230"/>
      <c r="I75" s="30">
        <v>16.399999999999999</v>
      </c>
      <c r="J75" s="37">
        <v>2400</v>
      </c>
      <c r="K75" s="17">
        <f t="shared" si="43"/>
        <v>146.34146341463415</v>
      </c>
      <c r="L75" s="30">
        <v>16.399999999999999</v>
      </c>
      <c r="M75" s="18">
        <f>AVERAGE(M70:M74)</f>
        <v>2297.8051279839706</v>
      </c>
      <c r="N75" s="17">
        <f t="shared" si="44"/>
        <v>140.11006877951041</v>
      </c>
      <c r="O75" s="19">
        <f t="shared" si="45"/>
        <v>0</v>
      </c>
      <c r="P75" s="20">
        <f t="shared" si="46"/>
        <v>-6.2313946351237348</v>
      </c>
      <c r="Q75" s="227">
        <f t="shared" si="47"/>
        <v>0.95741880332665452</v>
      </c>
      <c r="R75" s="489"/>
      <c r="S75" s="40"/>
      <c r="T75" s="40"/>
      <c r="U75" s="17"/>
      <c r="V75" s="228"/>
      <c r="W75" s="17"/>
      <c r="X75" s="17"/>
      <c r="Y75" s="31">
        <f>SUM(Y70:Y74)</f>
        <v>0</v>
      </c>
      <c r="Z75" s="31">
        <f>SUM(Z70:Z74)</f>
        <v>0</v>
      </c>
      <c r="AA75" s="495"/>
      <c r="AB75" s="495"/>
      <c r="AC75" s="31">
        <v>7</v>
      </c>
      <c r="AD75" s="31">
        <f>SUM(AD70:AD74)</f>
        <v>0</v>
      </c>
      <c r="AE75" s="19">
        <f t="shared" si="48"/>
        <v>-102.19487201602942</v>
      </c>
      <c r="AF75" s="227">
        <f t="shared" si="49"/>
        <v>0.95741880332665441</v>
      </c>
      <c r="AG75" s="489"/>
    </row>
    <row r="76" spans="1:33">
      <c r="D76" s="33"/>
      <c r="E76" s="33"/>
      <c r="J76" s="38"/>
    </row>
    <row r="77" spans="1:33">
      <c r="J77" s="38"/>
    </row>
  </sheetData>
  <mergeCells count="201">
    <mergeCell ref="A70:A75"/>
    <mergeCell ref="C70:D70"/>
    <mergeCell ref="R70:R75"/>
    <mergeCell ref="AA70:AB70"/>
    <mergeCell ref="AG70:AG75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AA75:AB75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A52:AB52"/>
    <mergeCell ref="C53:D53"/>
    <mergeCell ref="A64:A69"/>
    <mergeCell ref="C64:D64"/>
    <mergeCell ref="R64:R69"/>
    <mergeCell ref="AA64:AB64"/>
    <mergeCell ref="AA69:AB69"/>
    <mergeCell ref="AA59:AB59"/>
    <mergeCell ref="AA60:AB60"/>
    <mergeCell ref="C61:D61"/>
    <mergeCell ref="AA61:AB61"/>
    <mergeCell ref="C62:D62"/>
    <mergeCell ref="AA62:AB62"/>
    <mergeCell ref="A56:A63"/>
    <mergeCell ref="C56:D56"/>
    <mergeCell ref="R56:R63"/>
    <mergeCell ref="AA56:AB56"/>
    <mergeCell ref="AG56:AG63"/>
    <mergeCell ref="C57:D57"/>
    <mergeCell ref="AA57:AB57"/>
    <mergeCell ref="C58:D58"/>
    <mergeCell ref="AA58:AB58"/>
    <mergeCell ref="C63:D63"/>
    <mergeCell ref="AA63:AB63"/>
    <mergeCell ref="A48:A55"/>
    <mergeCell ref="C48:D48"/>
    <mergeCell ref="R48:R55"/>
    <mergeCell ref="AA48:AB48"/>
    <mergeCell ref="AA53:AB53"/>
    <mergeCell ref="C54:D54"/>
    <mergeCell ref="AA54:AB54"/>
    <mergeCell ref="C55:D55"/>
    <mergeCell ref="AA55:AB55"/>
    <mergeCell ref="AG48:AG55"/>
    <mergeCell ref="C49:D49"/>
    <mergeCell ref="AA49:AB49"/>
    <mergeCell ref="C50:D50"/>
    <mergeCell ref="AA50:AB50"/>
    <mergeCell ref="C51:D51"/>
    <mergeCell ref="AA51:AB51"/>
    <mergeCell ref="C52:D52"/>
    <mergeCell ref="C45:D45"/>
    <mergeCell ref="AA45:AB45"/>
    <mergeCell ref="C46:D46"/>
    <mergeCell ref="AA46:AB46"/>
    <mergeCell ref="A40:A47"/>
    <mergeCell ref="C40:D40"/>
    <mergeCell ref="R40:R47"/>
    <mergeCell ref="AA40:AB40"/>
    <mergeCell ref="C47:D47"/>
    <mergeCell ref="AA47:AB47"/>
    <mergeCell ref="A34:A39"/>
    <mergeCell ref="C34:D34"/>
    <mergeCell ref="R34:R39"/>
    <mergeCell ref="AA34:AB34"/>
    <mergeCell ref="AA39:AB39"/>
    <mergeCell ref="AG40:AG47"/>
    <mergeCell ref="C41:D41"/>
    <mergeCell ref="AA41:AB41"/>
    <mergeCell ref="C42:D42"/>
    <mergeCell ref="AA42:AB42"/>
    <mergeCell ref="C43:D43"/>
    <mergeCell ref="AG34:AG39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3:AB43"/>
    <mergeCell ref="C44:D44"/>
    <mergeCell ref="AA44:AB44"/>
    <mergeCell ref="AG23:AG33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32:D32"/>
    <mergeCell ref="AA32:AB32"/>
    <mergeCell ref="C33:D33"/>
    <mergeCell ref="AA33:AB33"/>
    <mergeCell ref="AA13:AB13"/>
    <mergeCell ref="AA20:AB20"/>
    <mergeCell ref="C21:D21"/>
    <mergeCell ref="AA21:AB21"/>
    <mergeCell ref="C22:D22"/>
    <mergeCell ref="AA22:AB22"/>
    <mergeCell ref="A23:A33"/>
    <mergeCell ref="C23:D23"/>
    <mergeCell ref="R23:R33"/>
    <mergeCell ref="AA23:AB23"/>
    <mergeCell ref="AA28:AB28"/>
    <mergeCell ref="C29:D29"/>
    <mergeCell ref="AA29:AB29"/>
    <mergeCell ref="C30:D30"/>
    <mergeCell ref="AA30:AB30"/>
    <mergeCell ref="C31:D31"/>
    <mergeCell ref="AA31:AB31"/>
    <mergeCell ref="AG13:AG22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19:AB19"/>
    <mergeCell ref="A13:A22"/>
    <mergeCell ref="C13:D13"/>
    <mergeCell ref="R13:R2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3:O64 O67:O75 O5:O10 O12:O14 O55:O61 O22:O53">
    <cfRule type="cellIs" dxfId="1207" priority="63" operator="greaterThan">
      <formula>0</formula>
    </cfRule>
  </conditionalFormatting>
  <conditionalFormatting sqref="P5:P8 P67:P68 AE67:AE68 P70:P74 P34:P38 P64 P10 P12:P14 P23:P32 P56:P61 P40:P53 AE5:AE64 AE70:AE75">
    <cfRule type="cellIs" dxfId="1206" priority="67" operator="lessThan">
      <formula>0</formula>
    </cfRule>
  </conditionalFormatting>
  <conditionalFormatting sqref="AF67:AF68 Q63:Q64 Q67:Q75 Q5:Q10 Q12:Q14 Q55:Q61 Q22:Q53 AF5:AF64 AF70:AF75">
    <cfRule type="cellIs" dxfId="1205" priority="64" operator="greaterThan">
      <formula>1</formula>
    </cfRule>
    <cfRule type="cellIs" dxfId="1204" priority="65" operator="lessThan">
      <formula>0.8</formula>
    </cfRule>
  </conditionalFormatting>
  <conditionalFormatting sqref="AG13:AG14 R13:R14 AG67 R22:R28 AG22:AG28 AG63:AG64 R63:R64 R67:R75 AG5:AG10 R5:R10 R33:R53 AG33:AG53 AG55:AG61 R55:R61">
    <cfRule type="cellIs" dxfId="1203" priority="69" operator="lessThan">
      <formula>0.8</formula>
    </cfRule>
  </conditionalFormatting>
  <conditionalFormatting sqref="AG48">
    <cfRule type="cellIs" dxfId="1202" priority="71" operator="lessThan">
      <formula>0.8</formula>
    </cfRule>
  </conditionalFormatting>
  <conditionalFormatting sqref="AG23:AG28">
    <cfRule type="cellIs" dxfId="1201" priority="68" operator="lessThan">
      <formula>0.8</formula>
    </cfRule>
  </conditionalFormatting>
  <conditionalFormatting sqref="AG34">
    <cfRule type="cellIs" dxfId="1200" priority="70" operator="lessThan">
      <formula>0.8</formula>
    </cfRule>
  </conditionalFormatting>
  <conditionalFormatting sqref="AG40:AG46">
    <cfRule type="cellIs" dxfId="1199" priority="66" operator="lessThan">
      <formula>0.8</formula>
    </cfRule>
  </conditionalFormatting>
  <conditionalFormatting sqref="AE69">
    <cfRule type="cellIs" dxfId="1198" priority="62" operator="lessThan">
      <formula>0</formula>
    </cfRule>
  </conditionalFormatting>
  <conditionalFormatting sqref="AF69">
    <cfRule type="cellIs" dxfId="1197" priority="60" operator="greaterThan">
      <formula>1</formula>
    </cfRule>
    <cfRule type="cellIs" dxfId="1196" priority="61" operator="lessThan">
      <formula>0.8</formula>
    </cfRule>
  </conditionalFormatting>
  <conditionalFormatting sqref="O15:O16">
    <cfRule type="cellIs" dxfId="1195" priority="55" operator="greaterThan">
      <formula>0</formula>
    </cfRule>
  </conditionalFormatting>
  <conditionalFormatting sqref="P15:P16">
    <cfRule type="cellIs" dxfId="1194" priority="58" operator="lessThan">
      <formula>0</formula>
    </cfRule>
  </conditionalFormatting>
  <conditionalFormatting sqref="Q15:Q16">
    <cfRule type="cellIs" dxfId="1193" priority="56" operator="greaterThan">
      <formula>1</formula>
    </cfRule>
    <cfRule type="cellIs" dxfId="1192" priority="57" operator="lessThan">
      <formula>0.8</formula>
    </cfRule>
  </conditionalFormatting>
  <conditionalFormatting sqref="R15:R16 AG15:AG16">
    <cfRule type="cellIs" dxfId="1191" priority="59" operator="lessThan">
      <formula>0.8</formula>
    </cfRule>
  </conditionalFormatting>
  <conditionalFormatting sqref="O11">
    <cfRule type="cellIs" dxfId="1190" priority="51" operator="greaterThan">
      <formula>0</formula>
    </cfRule>
  </conditionalFormatting>
  <conditionalFormatting sqref="P11">
    <cfRule type="cellIs" dxfId="1189" priority="54" operator="lessThan">
      <formula>0</formula>
    </cfRule>
  </conditionalFormatting>
  <conditionalFormatting sqref="Q11">
    <cfRule type="cellIs" dxfId="1188" priority="52" operator="greaterThan">
      <formula>1</formula>
    </cfRule>
    <cfRule type="cellIs" dxfId="1187" priority="53" operator="lessThan">
      <formula>0.8</formula>
    </cfRule>
  </conditionalFormatting>
  <conditionalFormatting sqref="O62">
    <cfRule type="cellIs" dxfId="1186" priority="46" operator="greaterThan">
      <formula>0</formula>
    </cfRule>
  </conditionalFormatting>
  <conditionalFormatting sqref="P62">
    <cfRule type="cellIs" dxfId="1185" priority="49" operator="lessThan">
      <formula>0</formula>
    </cfRule>
  </conditionalFormatting>
  <conditionalFormatting sqref="Q62">
    <cfRule type="cellIs" dxfId="1184" priority="47" operator="greaterThan">
      <formula>1</formula>
    </cfRule>
    <cfRule type="cellIs" dxfId="1183" priority="48" operator="lessThan">
      <formula>0.8</formula>
    </cfRule>
  </conditionalFormatting>
  <conditionalFormatting sqref="R62 AG62">
    <cfRule type="cellIs" dxfId="1182" priority="50" operator="lessThan">
      <formula>0.8</formula>
    </cfRule>
  </conditionalFormatting>
  <conditionalFormatting sqref="AG30 R30">
    <cfRule type="cellIs" dxfId="1181" priority="45" operator="lessThan">
      <formula>0.8</formula>
    </cfRule>
  </conditionalFormatting>
  <conditionalFormatting sqref="O66">
    <cfRule type="cellIs" dxfId="1180" priority="40" operator="greaterThan">
      <formula>0</formula>
    </cfRule>
  </conditionalFormatting>
  <conditionalFormatting sqref="P66 AE66">
    <cfRule type="cellIs" dxfId="1179" priority="43" operator="lessThan">
      <formula>0</formula>
    </cfRule>
  </conditionalFormatting>
  <conditionalFormatting sqref="Q66 AF66">
    <cfRule type="cellIs" dxfId="1178" priority="41" operator="greaterThan">
      <formula>1</formula>
    </cfRule>
    <cfRule type="cellIs" dxfId="1177" priority="42" operator="lessThan">
      <formula>0.8</formula>
    </cfRule>
  </conditionalFormatting>
  <conditionalFormatting sqref="R66 AG66">
    <cfRule type="cellIs" dxfId="1176" priority="44" operator="lessThan">
      <formula>0.8</formula>
    </cfRule>
  </conditionalFormatting>
  <conditionalFormatting sqref="O17:O18">
    <cfRule type="cellIs" dxfId="1175" priority="35" operator="greaterThan">
      <formula>0</formula>
    </cfRule>
  </conditionalFormatting>
  <conditionalFormatting sqref="P17:P18">
    <cfRule type="cellIs" dxfId="1174" priority="38" operator="lessThan">
      <formula>0</formula>
    </cfRule>
  </conditionalFormatting>
  <conditionalFormatting sqref="Q17:Q18">
    <cfRule type="cellIs" dxfId="1173" priority="36" operator="greaterThan">
      <formula>1</formula>
    </cfRule>
    <cfRule type="cellIs" dxfId="1172" priority="37" operator="lessThan">
      <formula>0.8</formula>
    </cfRule>
  </conditionalFormatting>
  <conditionalFormatting sqref="R17:R18 AG17:AG18">
    <cfRule type="cellIs" dxfId="1171" priority="39" operator="lessThan">
      <formula>0.8</formula>
    </cfRule>
  </conditionalFormatting>
  <conditionalFormatting sqref="O54">
    <cfRule type="cellIs" dxfId="1170" priority="29" operator="greaterThan">
      <formula>0</formula>
    </cfRule>
  </conditionalFormatting>
  <conditionalFormatting sqref="P54">
    <cfRule type="cellIs" dxfId="1169" priority="33" operator="lessThan">
      <formula>0</formula>
    </cfRule>
  </conditionalFormatting>
  <conditionalFormatting sqref="Q54">
    <cfRule type="cellIs" dxfId="1168" priority="30" operator="greaterThan">
      <formula>1</formula>
    </cfRule>
    <cfRule type="cellIs" dxfId="1167" priority="31" operator="lessThan">
      <formula>0.8</formula>
    </cfRule>
  </conditionalFormatting>
  <conditionalFormatting sqref="R54 AG54">
    <cfRule type="cellIs" dxfId="1166" priority="34" operator="lessThan">
      <formula>0.8</formula>
    </cfRule>
  </conditionalFormatting>
  <conditionalFormatting sqref="AG54">
    <cfRule type="cellIs" dxfId="1165" priority="32" operator="lessThan">
      <formula>0.8</formula>
    </cfRule>
  </conditionalFormatting>
  <conditionalFormatting sqref="AG31 R31">
    <cfRule type="cellIs" dxfId="1164" priority="28" operator="lessThan">
      <formula>0.8</formula>
    </cfRule>
  </conditionalFormatting>
  <conditionalFormatting sqref="R29 AG29">
    <cfRule type="cellIs" dxfId="1163" priority="27" operator="lessThan">
      <formula>0.8</formula>
    </cfRule>
  </conditionalFormatting>
  <conditionalFormatting sqref="AG29">
    <cfRule type="cellIs" dxfId="1162" priority="26" operator="lessThan">
      <formula>0.8</formula>
    </cfRule>
  </conditionalFormatting>
  <conditionalFormatting sqref="O65">
    <cfRule type="cellIs" dxfId="1161" priority="21" operator="greaterThan">
      <formula>0</formula>
    </cfRule>
  </conditionalFormatting>
  <conditionalFormatting sqref="P65 AE65">
    <cfRule type="cellIs" dxfId="1160" priority="24" operator="lessThan">
      <formula>0</formula>
    </cfRule>
  </conditionalFormatting>
  <conditionalFormatting sqref="Q65 AF65">
    <cfRule type="cellIs" dxfId="1159" priority="22" operator="greaterThan">
      <formula>1</formula>
    </cfRule>
    <cfRule type="cellIs" dxfId="1158" priority="23" operator="lessThan">
      <formula>0.8</formula>
    </cfRule>
  </conditionalFormatting>
  <conditionalFormatting sqref="R65 AG65">
    <cfRule type="cellIs" dxfId="1157" priority="25" operator="lessThan">
      <formula>0.8</formula>
    </cfRule>
  </conditionalFormatting>
  <conditionalFormatting sqref="O19">
    <cfRule type="cellIs" dxfId="1156" priority="16" operator="greaterThan">
      <formula>0</formula>
    </cfRule>
  </conditionalFormatting>
  <conditionalFormatting sqref="P19">
    <cfRule type="cellIs" dxfId="1155" priority="19" operator="lessThan">
      <formula>0</formula>
    </cfRule>
  </conditionalFormatting>
  <conditionalFormatting sqref="Q19">
    <cfRule type="cellIs" dxfId="1154" priority="17" operator="greaterThan">
      <formula>1</formula>
    </cfRule>
    <cfRule type="cellIs" dxfId="1153" priority="18" operator="lessThan">
      <formula>0.8</formula>
    </cfRule>
  </conditionalFormatting>
  <conditionalFormatting sqref="AG19 R19">
    <cfRule type="cellIs" dxfId="1152" priority="20" operator="lessThan">
      <formula>0.8</formula>
    </cfRule>
  </conditionalFormatting>
  <conditionalFormatting sqref="O20:O21">
    <cfRule type="cellIs" dxfId="1151" priority="11" operator="greaterThan">
      <formula>0</formula>
    </cfRule>
  </conditionalFormatting>
  <conditionalFormatting sqref="P20:P21">
    <cfRule type="cellIs" dxfId="1150" priority="14" operator="lessThan">
      <formula>0</formula>
    </cfRule>
  </conditionalFormatting>
  <conditionalFormatting sqref="Q20:Q21">
    <cfRule type="cellIs" dxfId="1149" priority="12" operator="greaterThan">
      <formula>1</formula>
    </cfRule>
    <cfRule type="cellIs" dxfId="1148" priority="13" operator="lessThan">
      <formula>0.8</formula>
    </cfRule>
  </conditionalFormatting>
  <conditionalFormatting sqref="AG20 R20">
    <cfRule type="cellIs" dxfId="1147" priority="15" operator="lessThan">
      <formula>0.8</formula>
    </cfRule>
  </conditionalFormatting>
  <conditionalFormatting sqref="P9">
    <cfRule type="cellIs" dxfId="1146" priority="10" operator="lessThan">
      <formula>0</formula>
    </cfRule>
  </conditionalFormatting>
  <conditionalFormatting sqref="P22">
    <cfRule type="cellIs" dxfId="1145" priority="9" operator="lessThan">
      <formula>0</formula>
    </cfRule>
  </conditionalFormatting>
  <conditionalFormatting sqref="P33">
    <cfRule type="cellIs" dxfId="1144" priority="8" operator="lessThan">
      <formula>0</formula>
    </cfRule>
  </conditionalFormatting>
  <conditionalFormatting sqref="P39">
    <cfRule type="cellIs" dxfId="1143" priority="7" operator="lessThan">
      <formula>0</formula>
    </cfRule>
  </conditionalFormatting>
  <conditionalFormatting sqref="P55">
    <cfRule type="cellIs" dxfId="1142" priority="6" operator="lessThan">
      <formula>0</formula>
    </cfRule>
  </conditionalFormatting>
  <conditionalFormatting sqref="P63">
    <cfRule type="cellIs" dxfId="1141" priority="5" operator="lessThan">
      <formula>0</formula>
    </cfRule>
  </conditionalFormatting>
  <conditionalFormatting sqref="P69">
    <cfRule type="cellIs" dxfId="1140" priority="4" operator="lessThan">
      <formula>0</formula>
    </cfRule>
  </conditionalFormatting>
  <conditionalFormatting sqref="P75">
    <cfRule type="cellIs" dxfId="1139" priority="3" operator="lessThan">
      <formula>0</formula>
    </cfRule>
  </conditionalFormatting>
  <conditionalFormatting sqref="AG21 R21">
    <cfRule type="cellIs" dxfId="1138" priority="2" operator="lessThan">
      <formula>0.8</formula>
    </cfRule>
  </conditionalFormatting>
  <conditionalFormatting sqref="AG32 R32">
    <cfRule type="cellIs" dxfId="1137" priority="1" operator="lessThan">
      <formula>0.8</formula>
    </cfRule>
  </conditionalFormatting>
  <dataValidations count="1">
    <dataValidation type="list" allowBlank="1" showInputMessage="1" showErrorMessage="1" sqref="AB9 AA5:AB8 AB68 AA9:AA68 AB11:AB64 AA69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K1" sqref="K1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1127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1128</v>
      </c>
      <c r="C3" s="478" t="str">
        <f>TEXT('0113 4度C'!A2,"yyyy.mm.ddaaaa")</f>
        <v>2026.01.13星期二</v>
      </c>
      <c r="D3" s="479"/>
      <c r="E3" s="56" t="s">
        <v>1129</v>
      </c>
      <c r="F3" s="480">
        <f>'0113 4度C'!D1</f>
        <v>179692</v>
      </c>
      <c r="G3" s="481"/>
      <c r="H3" s="56" t="s">
        <v>1130</v>
      </c>
      <c r="I3" s="482">
        <f>'0113 4度C'!F1</f>
        <v>6034847.1300000008</v>
      </c>
      <c r="J3" s="483"/>
      <c r="K3" s="57"/>
      <c r="L3" s="58"/>
      <c r="M3" s="59"/>
      <c r="N3" s="59"/>
    </row>
    <row r="4" spans="2:17" ht="28.5" customHeight="1">
      <c r="B4" s="484" t="s">
        <v>1131</v>
      </c>
      <c r="C4" s="470" t="s">
        <v>1132</v>
      </c>
      <c r="D4" s="471"/>
      <c r="E4" s="487" t="s">
        <v>1133</v>
      </c>
      <c r="F4" s="488"/>
      <c r="G4" s="487" t="s">
        <v>1134</v>
      </c>
      <c r="H4" s="488"/>
      <c r="I4" s="487" t="s">
        <v>1135</v>
      </c>
      <c r="J4" s="488"/>
      <c r="K4" s="468" t="s">
        <v>1136</v>
      </c>
      <c r="L4" s="469"/>
      <c r="M4" s="469" t="s">
        <v>1137</v>
      </c>
      <c r="N4" s="469"/>
    </row>
    <row r="5" spans="2:17" ht="28.5" customHeight="1">
      <c r="B5" s="485"/>
      <c r="C5" s="470" t="s">
        <v>1138</v>
      </c>
      <c r="D5" s="471"/>
      <c r="E5" s="470" t="s">
        <v>1139</v>
      </c>
      <c r="F5" s="471"/>
      <c r="G5" s="472" t="s">
        <v>1140</v>
      </c>
      <c r="H5" s="473"/>
      <c r="I5" s="474" t="s">
        <v>1141</v>
      </c>
      <c r="J5" s="475"/>
      <c r="K5" s="60" t="s">
        <v>1142</v>
      </c>
      <c r="L5" s="61" t="s">
        <v>1143</v>
      </c>
      <c r="M5" s="60" t="s">
        <v>1144</v>
      </c>
      <c r="N5" s="61" t="s">
        <v>1145</v>
      </c>
    </row>
    <row r="6" spans="2:17" ht="28.5" customHeight="1">
      <c r="B6" s="485"/>
      <c r="C6" s="470" t="s">
        <v>144</v>
      </c>
      <c r="D6" s="471"/>
      <c r="E6" s="462">
        <f>AVERAGE(D13:M13)</f>
        <v>141.43487020321831</v>
      </c>
      <c r="F6" s="463">
        <f>AVERAGE(D31:O31,D13:J13)</f>
        <v>142.18906622572896</v>
      </c>
      <c r="G6" s="464">
        <f>AVERAGE(D13:J13)</f>
        <v>142.18906622572896</v>
      </c>
      <c r="H6" s="465"/>
      <c r="I6" s="464">
        <f>AVERAGE(K13:M13)</f>
        <v>139.67507948402678</v>
      </c>
      <c r="J6" s="465"/>
      <c r="K6" s="466">
        <f>'0113 4度C'!Y2</f>
        <v>0</v>
      </c>
      <c r="L6" s="451">
        <f>'0113 4度C'!Z2</f>
        <v>0</v>
      </c>
      <c r="M6" s="467">
        <f>'0113 4度C'!AC2</f>
        <v>46</v>
      </c>
      <c r="N6" s="451">
        <f>'0113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135.23397250716255</v>
      </c>
      <c r="F7" s="455">
        <f>AVERAGE(D32:O32,D14:J14)</f>
        <v>136.03119430130494</v>
      </c>
      <c r="G7" s="456">
        <f>AVERAGE(D14:J14)</f>
        <v>136.03119430130494</v>
      </c>
      <c r="H7" s="457"/>
      <c r="I7" s="456">
        <f>AVERAGE(K14:M14)</f>
        <v>133.37378832083036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0.95608929023031064</v>
      </c>
      <c r="F8" s="459">
        <f>AVERAGE(D15:J15,D33:O33)</f>
        <v>0.95660209860307976</v>
      </c>
      <c r="G8" s="460">
        <f>AVERAGE(D15:J15)</f>
        <v>0.95660209860307976</v>
      </c>
      <c r="H8" s="461"/>
      <c r="I8" s="460">
        <f>AVERAGE(K15:M15)</f>
        <v>0.95489273736051616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1146</v>
      </c>
      <c r="N9" s="59"/>
      <c r="O9" s="59"/>
      <c r="P9" s="59"/>
      <c r="Q9" s="59"/>
    </row>
    <row r="10" spans="2:17" ht="30" customHeight="1">
      <c r="B10" s="434" t="s">
        <v>1147</v>
      </c>
      <c r="C10" s="435"/>
      <c r="D10" s="436" t="s">
        <v>1148</v>
      </c>
      <c r="E10" s="437"/>
      <c r="F10" s="437"/>
      <c r="G10" s="437"/>
      <c r="H10" s="437"/>
      <c r="I10" s="437"/>
      <c r="J10" s="438"/>
      <c r="K10" s="439" t="s">
        <v>1149</v>
      </c>
      <c r="L10" s="440"/>
      <c r="M10" s="441"/>
      <c r="P10" s="65"/>
      <c r="Q10" s="65"/>
    </row>
    <row r="11" spans="2:17" ht="17.25" customHeight="1">
      <c r="B11" s="442" t="s">
        <v>1150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1151</v>
      </c>
      <c r="C13" s="72" t="s">
        <v>1152</v>
      </c>
      <c r="D13" s="73">
        <f>SUMIFS('0113 4度C'!$K:$K,'0113 4度C'!$A:$A,"新豐6線",'0113 4度C'!$B:$B,"平均")</f>
        <v>109.58904109589041</v>
      </c>
      <c r="E13" s="74">
        <f>SUMIFS('0113 4度C'!$K:$K,'0113 4度C'!$A:$A,"新豐2線",'0113 4度C'!$B:$B,"平均")</f>
        <v>83.333333333333329</v>
      </c>
      <c r="F13" s="75">
        <f>SUMIFS('0113 4度C'!$K:$K,'0113 4度C'!$A:$A,"新豐5線",'0113 4度C'!$B:$B,"平均")</f>
        <v>109.99999999999999</v>
      </c>
      <c r="G13" s="75">
        <f>SUMIFS('0113 4度C'!$K:$K,'0113 4度C'!$A:$A,"新豐7線",'0113 4度C'!$B:$B,"平均")</f>
        <v>114.4578313253012</v>
      </c>
      <c r="H13" s="75">
        <f>SUMIFS('0113 4度C'!$K:$K,'0113 4度C'!$A:$A,"新豐3線",'0113 4度C'!$B:$B,"平均")</f>
        <v>277.10843373493975</v>
      </c>
      <c r="I13" s="75">
        <f>SUMIFS('0113 4度C'!$K:$K,'0113 4度C'!$A:$A,"新豐1線",'0113 4度C'!$B:$B,"平均")</f>
        <v>108.52713178294574</v>
      </c>
      <c r="J13" s="76">
        <f>SUMIFS('0113 4度C'!$K:$K,'0113 4度C'!$A:$A,"新豐10線",'0113 4度C'!$B:$B,"平均")</f>
        <v>192.30769230769229</v>
      </c>
      <c r="K13" s="77">
        <f>SUMIFS('0113 4度C'!$K:$K,'0113 4度C'!$A:$A,"新豐8線",'0113 4度C'!$B:$B,"平均")</f>
        <v>132.11009174311926</v>
      </c>
      <c r="L13" s="78">
        <f>SUMIFS('0113 4度C'!$K:$K,'0113 4度C'!$A:$A,"新豐9線",'0113 4度C'!$B:$B,"平均")</f>
        <v>138.46153846153848</v>
      </c>
      <c r="M13" s="76">
        <f>SUMIFS('0113 4度C'!$K:$K,'0113 4度C'!$A:$A,"新豐4線",'0113 4度C'!$B:$B,"平均")</f>
        <v>148.45360824742266</v>
      </c>
    </row>
    <row r="14" spans="2:17" ht="39.6" customHeight="1">
      <c r="B14" s="447"/>
      <c r="C14" s="79" t="s">
        <v>1153</v>
      </c>
      <c r="D14" s="80">
        <f>SUMIFS('0113 4度C'!$N:$N,'0113 4度C'!$A:$A,"新豐6線",'0113 4度C'!$B:$B,"平均")</f>
        <v>106.16780320666909</v>
      </c>
      <c r="E14" s="81">
        <f>SUMIFS('0113 4度C'!$N:$N,'0113 4度C'!$A:$A,"新豐2線",'0113 4度C'!$B:$B,"平均")</f>
        <v>79.660441625557937</v>
      </c>
      <c r="F14" s="81">
        <f>SUMIFS('0113 4度C'!$N:$N,'0113 4度C'!$A:$A,"新豐5線",'0113 4度C'!$B:$B,"平均")</f>
        <v>105.71199036124663</v>
      </c>
      <c r="G14" s="81">
        <f>SUMIFS('0113 4度C'!$N:$N,'0113 4度C'!$A:$A,"新豐7線",'0113 4度C'!$B:$B,"平均")</f>
        <v>110.69789030281274</v>
      </c>
      <c r="H14" s="81">
        <f>SUMIFS('0113 4度C'!$N:$N,'0113 4度C'!$A:$A,"新豐3線",'0113 4度C'!$B:$B,"平均")</f>
        <v>265.18937850864546</v>
      </c>
      <c r="I14" s="81">
        <f>SUMIFS('0113 4度C'!$N:$N,'0113 4度C'!$A:$A,"新豐1線",'0113 4度C'!$B:$B,"平均")</f>
        <v>100.9992619329233</v>
      </c>
      <c r="J14" s="82">
        <f>SUMIFS('0113 4度C'!$N:$N,'0113 4度C'!$A:$A,"新豐10線",'0113 4度C'!$B:$B,"平均")</f>
        <v>183.79159417127929</v>
      </c>
      <c r="K14" s="83">
        <f>SUMIFS('0113 4度C'!$N:$N,'0113 4度C'!$A:$A,"新豐8線",'0113 4度C'!$B:$B,"平均")</f>
        <v>126.25823360249484</v>
      </c>
      <c r="L14" s="84">
        <f>SUMIFS('0113 4度C'!$N:$N,'0113 4度C'!$A:$A,"新豐9線",'0113 4度C'!$B:$B,"平均")</f>
        <v>132.07072134039052</v>
      </c>
      <c r="M14" s="82">
        <f>SUMIFS('0113 4度C'!$N:$N,'0113 4度C'!$A:$A,"新豐4線",'0113 4度C'!$B:$B,"平均")</f>
        <v>141.79241001960563</v>
      </c>
    </row>
    <row r="15" spans="2:17" ht="40.15" customHeight="1">
      <c r="B15" s="448"/>
      <c r="C15" s="85" t="s">
        <v>1154</v>
      </c>
      <c r="D15" s="86">
        <f t="shared" ref="D15:M15" si="0">D14/D13</f>
        <v>0.96878120426085546</v>
      </c>
      <c r="E15" s="87">
        <f t="shared" si="0"/>
        <v>0.95592529950669525</v>
      </c>
      <c r="F15" s="87">
        <f t="shared" si="0"/>
        <v>0.96101809419315132</v>
      </c>
      <c r="G15" s="87">
        <f t="shared" si="0"/>
        <v>0.96714998896141657</v>
      </c>
      <c r="H15" s="87">
        <f t="shared" si="0"/>
        <v>0.95698775722685103</v>
      </c>
      <c r="I15" s="87">
        <f t="shared" si="0"/>
        <v>0.93063605638193614</v>
      </c>
      <c r="J15" s="88">
        <f t="shared" si="0"/>
        <v>0.95571628969065237</v>
      </c>
      <c r="K15" s="86">
        <f t="shared" si="0"/>
        <v>0.95570468490777349</v>
      </c>
      <c r="L15" s="87">
        <f t="shared" si="0"/>
        <v>0.95384409856948693</v>
      </c>
      <c r="M15" s="88">
        <f t="shared" si="0"/>
        <v>0.95512942860428796</v>
      </c>
    </row>
    <row r="16" spans="2:17" ht="17.25" customHeight="1">
      <c r="B16" s="449" t="s">
        <v>1155</v>
      </c>
      <c r="C16" s="89" t="s">
        <v>1156</v>
      </c>
      <c r="D16" s="90">
        <f>VLOOKUP("新豐6線",'0113 4度C'!$A:$T,19,0)</f>
        <v>0.70833333333333337</v>
      </c>
      <c r="E16" s="91">
        <f>VLOOKUP("新豐2線",'0113 4度C'!$A:$T,19,0)</f>
        <v>0.16666666666666666</v>
      </c>
      <c r="F16" s="91">
        <f>VLOOKUP("新豐5線",'0113 4度C'!$A:$T,19,0)</f>
        <v>0.20833333333333334</v>
      </c>
      <c r="G16" s="91">
        <f>VLOOKUP("新豐7線",'0113 4度C'!$A:$T,19,0)</f>
        <v>0.20833333333333334</v>
      </c>
      <c r="H16" s="91">
        <f>VLOOKUP("新豐3線",'0113 4度C'!$A:$T,19,0)</f>
        <v>8.3333333333333329E-2</v>
      </c>
      <c r="I16" s="91">
        <f>VLOOKUP("新豐1線",'0113 4度C'!$A:$T,19,0)</f>
        <v>0.20833333333333334</v>
      </c>
      <c r="J16" s="92">
        <f>VLOOKUP("新豐10線",'0113 4度C'!$A:$T,19,0)</f>
        <v>0.20833333333333334</v>
      </c>
      <c r="K16" s="93">
        <f>VLOOKUP("新豐8線",'0113 4度C'!$A:$T,19,0)</f>
        <v>8.3333333333333329E-2</v>
      </c>
      <c r="L16" s="94">
        <f>VLOOKUP("新豐9線",'0113 4度C'!$A:$T,19,0)</f>
        <v>8.3333333333333329E-2</v>
      </c>
      <c r="M16" s="95">
        <f>VLOOKUP("新豐4線",'0113 4度C'!$A:$T,19,0)</f>
        <v>8.3333333333333329E-2</v>
      </c>
    </row>
    <row r="17" spans="2:13" ht="17.25" customHeight="1">
      <c r="B17" s="450"/>
      <c r="C17" s="89" t="s">
        <v>1157</v>
      </c>
      <c r="D17" s="93">
        <f>LOOKUP(2,1/(('0113 4度C'!$A:$A="新豐6線")*('0113 4度C'!$T:$T&lt;&gt;"")),'0113 4度C'!$T:$T)</f>
        <v>0.8520833333333333</v>
      </c>
      <c r="E17" s="91">
        <f>LOOKUP(2,1/(('0113 4度C'!$A:$A="新豐2線")*('0113 4度C'!$T:$T&lt;&gt;"")),'0113 4度C'!$T:$T)</f>
        <v>0.42638888888888882</v>
      </c>
      <c r="F17" s="91">
        <f>LOOKUP(2,1/(('0113 4度C'!$A:$A="新豐5線")*('0113 4度C'!$T:$T&lt;&gt;"")),'0113 4度C'!$T:$T)</f>
        <v>0.96458333333333335</v>
      </c>
      <c r="G17" s="91">
        <f>LOOKUP(2,1/(('0113 4度C'!$A:$A="新豐7線")*('0113 4度C'!$T:$T&lt;&gt;"")),'0113 4度C'!$T:$T)</f>
        <v>0.96597222222222201</v>
      </c>
      <c r="H17" s="91">
        <f>LOOKUP(2,1/(('0113 4度C'!$A:$A="新豐3線")*('0113 4度C'!$T:$T&lt;&gt;"")),'0113 4度C'!$T:$T)</f>
        <v>0.58750000000000002</v>
      </c>
      <c r="I17" s="91">
        <f>LOOKUP(2,1/(('0113 4度C'!$A:$A="新豐1線")*('0113 4度C'!$T:$T&lt;&gt;"")),'0113 4度C'!$T:$T)</f>
        <v>0.83819444444444435</v>
      </c>
      <c r="J17" s="92">
        <f>LOOKUP(2,1/(('0113 4度C'!$A:$A="新豐10線")*('0113 4度C'!$T:$T&lt;&gt;"")),'0113 4度C'!$T:$T)</f>
        <v>0.67152777777777772</v>
      </c>
      <c r="K17" s="90">
        <f>LOOKUP(2,1/(('0113 4度C'!$A:$A="新豐8線")*('0113 4度C'!$T:$T&lt;&gt;"")),'0113 4度C'!$T:$T)</f>
        <v>0.60763888888888884</v>
      </c>
      <c r="L17" s="91">
        <f>LOOKUP(2,1/(('0113 4度C'!$A:$A="新豐9線")*('0113 4度C'!$T:$T&lt;&gt;"")),'0113 4度C'!$T:$T)</f>
        <v>0.72361111111111098</v>
      </c>
      <c r="M17" s="92">
        <f>LOOKUP(2,1/(('0113 4度C'!$A:$A="新豐4線")*('0113 4度C'!$T:$T&lt;&gt;"")),'0113 4度C'!$T:$T)</f>
        <v>0.6</v>
      </c>
    </row>
    <row r="18" spans="2:13" ht="17.25" customHeight="1">
      <c r="B18" s="428" t="s">
        <v>1158</v>
      </c>
      <c r="C18" s="96" t="s">
        <v>1159</v>
      </c>
      <c r="D18" s="97">
        <f>SUMIFS('0113 4度C'!$Y:$Y,'0113 4度C'!$A:$A,"新豐6線",'0113 4度C'!$B:$B,"平均")</f>
        <v>0</v>
      </c>
      <c r="E18" s="98">
        <f>SUMIFS('0113 4度C'!$Y:$Y,'0113 4度C'!$A:$A,"新豐2線",'0113 4度C'!$B:$B,"平均")</f>
        <v>0</v>
      </c>
      <c r="F18" s="98">
        <f>SUMIFS('0113 4度C'!$Y:$Y,'0113 4度C'!$A:$A,"新豐5線",'0113 4度C'!$B:$B,"平均")</f>
        <v>0</v>
      </c>
      <c r="G18" s="98">
        <f>SUMIFS('0113 4度C'!$Y:$Y,'0113 4度C'!$A:$A,"新豐7線",'0113 4度C'!$B:$B,"平均")</f>
        <v>0</v>
      </c>
      <c r="H18" s="98">
        <f>SUMIFS('0113 4度C'!$Y:$Y,'0113 4度C'!$A:$A,"新豐3線",'0113 4度C'!$B:$B,"平均")</f>
        <v>0</v>
      </c>
      <c r="I18" s="98">
        <f>SUMIFS('0113 4度C'!$Y:$Y,'0113 4度C'!$A:$A,"新豐1線",'0113 4度C'!$B:$B,"平均")</f>
        <v>0</v>
      </c>
      <c r="J18" s="99">
        <f>SUMIFS('0113 4度C'!$Y:$Y,'0113 4度C'!$A:$A,"新豐10線",'0113 4度C'!$B:$B,"平均")</f>
        <v>0</v>
      </c>
      <c r="K18" s="100">
        <f>SUMIFS('0113 4度C'!$Y:$Y,'0113 4度C'!$A:$A,"新豐8線",'0113 4度C'!$B:$B,"平均")</f>
        <v>0</v>
      </c>
      <c r="L18" s="98">
        <f>SUMIFS('0113 4度C'!$Y:$Y,'0113 4度C'!$A:$A,"新豐9線",'0113 4度C'!$B:$B,"平均")</f>
        <v>0</v>
      </c>
      <c r="M18" s="99">
        <f>SUMIFS('0113 4度C'!$Y:$Y,'0113 4度C'!$A:$A,"新豐4線",'0113 4度C'!$B:$B,"平均")</f>
        <v>0</v>
      </c>
    </row>
    <row r="19" spans="2:13" ht="17.25" customHeight="1">
      <c r="B19" s="429"/>
      <c r="C19" s="96" t="s">
        <v>1160</v>
      </c>
      <c r="D19" s="97">
        <f>SUMIFS('0113 4度C'!$Z:$Z,'0113 4度C'!$A:$A,"新豐6線",'0113 4度C'!$B:$B,"平均")</f>
        <v>0</v>
      </c>
      <c r="E19" s="98">
        <f>SUMIFS('0113 4度C'!$Z:$Z,'0113 4度C'!$A:$A,"新豐2線",'0113 4度C'!$B:$B,"平均")</f>
        <v>0</v>
      </c>
      <c r="F19" s="98">
        <f>SUMIFS('0113 4度C'!$Z:$Z,'0113 4度C'!$A:$A,"新豐5線",'0113 4度C'!$B:$B,"平均")</f>
        <v>0</v>
      </c>
      <c r="G19" s="98">
        <f>SUMIFS('0113 4度C'!$Z:$Z,'0113 4度C'!$A:$A,"新豐7線",'0113 4度C'!$B:$B,"平均")</f>
        <v>0</v>
      </c>
      <c r="H19" s="98">
        <f>SUMIFS('0113 4度C'!$Z:$Z,'0113 4度C'!$A:$A,"新豐3線",'0113 4度C'!$B:$B,"平均")</f>
        <v>0</v>
      </c>
      <c r="I19" s="98">
        <f>SUMIFS('0113 4度C'!$Z:$Z,'0113 4度C'!$A:$A,"新豐1線",'0113 4度C'!$B:$B,"平均")</f>
        <v>0</v>
      </c>
      <c r="J19" s="99">
        <f>SUMIFS('0113 4度C'!$Z:$Z,'0113 4度C'!$A:$A,"新豐10線",'0113 4度C'!$B:$B,"平均")</f>
        <v>0</v>
      </c>
      <c r="K19" s="100">
        <f>SUMIFS('0113 4度C'!$Z:$Z,'0113 4度C'!$A:$A,"新豐8線",'0113 4度C'!$B:$B,"平均")</f>
        <v>0</v>
      </c>
      <c r="L19" s="98">
        <f>SUMIFS('0113 4度C'!$Z:$Z,'0113 4度C'!$A:$A,"新豐9線",'0113 4度C'!$B:$B,"平均")</f>
        <v>0</v>
      </c>
      <c r="M19" s="99">
        <f>SUMIFS('0113 4度C'!$Z:$Z,'0113 4度C'!$A:$A,"新豐4線",'0113 4度C'!$B:$B,"平均")</f>
        <v>0</v>
      </c>
    </row>
    <row r="20" spans="2:13" ht="17.25" customHeight="1">
      <c r="B20" s="428" t="s">
        <v>1161</v>
      </c>
      <c r="C20" s="96" t="s">
        <v>1159</v>
      </c>
      <c r="D20" s="97">
        <f>SUMIFS('0113 4度C'!$AC:$AC,'0113 4度C'!$A:$A,"新豐6線",'0113 4度C'!$B:$B,"平均")</f>
        <v>2</v>
      </c>
      <c r="E20" s="98">
        <f>SUMIFS('0113 4度C'!$AC:$AC,'0113 4度C'!$A:$A,"新豐2線",'0113 4度C'!$B:$B,"平均")</f>
        <v>2</v>
      </c>
      <c r="F20" s="98">
        <f>SUMIFS('0113 4度C'!$AC:$AC,'0113 4度C'!$A:$A,"新豐5線",'0113 4度C'!$B:$B,"平均")</f>
        <v>4</v>
      </c>
      <c r="G20" s="98">
        <f>SUMIFS('0113 4度C'!$AC:$AC,'0113 4度C'!$A:$A,"新豐7線",'0113 4度C'!$B:$B,"平均")</f>
        <v>4</v>
      </c>
      <c r="H20" s="98">
        <f>SUMIFS('0113 4度C'!$AC:$AC,'0113 4度C'!$A:$A,"新豐3線",'0113 4度C'!$B:$B,"平均")</f>
        <v>2</v>
      </c>
      <c r="I20" s="98">
        <f>SUMIFS('0113 4度C'!$AC:$AC,'0113 4度C'!$A:$A,"新豐1線",'0113 4度C'!$B:$B,"平均")</f>
        <v>4</v>
      </c>
      <c r="J20" s="99">
        <f>SUMIFS('0113 4度C'!$AC:$AC,'0113 4度C'!$A:$A,"新豐10線",'0113 4度C'!$B:$B,"平均")</f>
        <v>2</v>
      </c>
      <c r="K20" s="100">
        <f>SUMIFS('0113 4度C'!$AC:$AC,'0113 4度C'!$A:$A,"新豐8線",'0113 4度C'!$B:$B,"平均")</f>
        <v>8</v>
      </c>
      <c r="L20" s="98">
        <f>SUMIFS('0113 4度C'!$AC:$AC,'0113 4度C'!$A:$A,"新豐9線",'0113 4度C'!$B:$B,"平均")</f>
        <v>10</v>
      </c>
      <c r="M20" s="99">
        <f>SUMIFS('0113 4度C'!$AC:$AC,'0113 4度C'!$A:$A,"新豐4線",'0113 4度C'!$B:$B,"平均")</f>
        <v>8</v>
      </c>
    </row>
    <row r="21" spans="2:13" ht="17.25" customHeight="1">
      <c r="B21" s="429"/>
      <c r="C21" s="96" t="s">
        <v>1162</v>
      </c>
      <c r="D21" s="97">
        <f>SUMIFS('0113 4度C'!$AD:$AD,'0113 4度C'!$A:$A,"新豐6線",'0113 4度C'!$B:$B,"平均")</f>
        <v>0</v>
      </c>
      <c r="E21" s="98">
        <f>SUMIFS('0113 4度C'!$AD:$AD,'0113 4度C'!$A:$A,"新豐2線",'0113 4度C'!$B:$B,"平均")</f>
        <v>0</v>
      </c>
      <c r="F21" s="98">
        <f>SUMIFS('0113 4度C'!$AD:$AD,'0113 4度C'!$A:$A,"新豐5線",'0113 4度C'!$B:$B,"平均")</f>
        <v>0</v>
      </c>
      <c r="G21" s="98">
        <f>SUMIFS('0113 4度C'!$AD:$AD,'0113 4度C'!$A:$A,"新豐7線",'0113 4度C'!$B:$B,"平均")</f>
        <v>0</v>
      </c>
      <c r="H21" s="98">
        <f>SUMIFS('0113 4度C'!$AD:$AD,'0113 4度C'!$A:$A,"新豐3線",'0113 4度C'!$B:$B,"平均")</f>
        <v>0</v>
      </c>
      <c r="I21" s="98">
        <f>SUMIFS('0113 4度C'!$AD:$AD,'0113 4度C'!$A:$A,"新豐1線",'0113 4度C'!$B:$B,"平均")</f>
        <v>0</v>
      </c>
      <c r="J21" s="99">
        <f>SUMIFS('0113 4度C'!$AD:$AD,'0113 4度C'!$A:$A,"新豐10線",'0113 4度C'!$B:$B,"平均")</f>
        <v>0</v>
      </c>
      <c r="K21" s="100">
        <f>SUMIFS('0113 4度C'!$AD:$AD,'0113 4度C'!$A:$A,"新豐8線",'0113 4度C'!$B:$B,"平均")</f>
        <v>0</v>
      </c>
      <c r="L21" s="98">
        <f>SUMIFS('0113 4度C'!$AD:$AD,'0113 4度C'!$A:$A,"新豐9線",'0113 4度C'!$B:$B,"平均")</f>
        <v>0</v>
      </c>
      <c r="M21" s="99">
        <f>SUMIFS('0113 4度C'!$AD:$AD,'0113 4度C'!$A:$A,"新豐4線",'0113 4度C'!$B:$B,"平均")</f>
        <v>0</v>
      </c>
    </row>
    <row r="22" spans="2:13" ht="17.25" customHeight="1">
      <c r="B22" s="430" t="s">
        <v>1163</v>
      </c>
      <c r="C22" s="431"/>
      <c r="D22" s="101">
        <f>SUMIFS('0113 4度C'!$I:$I,'0113 4度C'!$A:$A,"新豐6線",'0113 4度C'!$B:$B,"平均")</f>
        <v>18.25</v>
      </c>
      <c r="E22" s="102">
        <f>SUMIFS('0113 4度C'!$I:$I,'0113 4度C'!$A:$A,"新豐2線",'0113 4度C'!$B:$B,"平均")</f>
        <v>18</v>
      </c>
      <c r="F22" s="102">
        <f>SUMIFS('0113 4度C'!$I:$I,'0113 4度C'!$A:$A,"新豐5線",'0113 4度C'!$B:$B,"平均")</f>
        <v>16.666666666666668</v>
      </c>
      <c r="G22" s="102">
        <f>SUMIFS('0113 4度C'!$I:$I,'0113 4度C'!$A:$A,"新豐7線",'0113 4度C'!$B:$B,"平均")</f>
        <v>16.600000000000001</v>
      </c>
      <c r="H22" s="102">
        <f>SUMIFS('0113 4度C'!$I:$I,'0113 4度C'!$A:$A,"新豐3線",'0113 4度C'!$B:$B,"平均")</f>
        <v>10.375</v>
      </c>
      <c r="I22" s="102">
        <f>SUMIFS('0113 4度C'!$I:$I,'0113 4度C'!$A:$A,"新豐1線",'0113 4度C'!$B:$B,"平均")</f>
        <v>18.428571428571427</v>
      </c>
      <c r="J22" s="103">
        <f>SUMIFS('0113 4度C'!$I:$I,'0113 4度C'!$A:$A,"新豐10線",'0113 4度C'!$B:$B,"平均")</f>
        <v>10.4</v>
      </c>
      <c r="K22" s="101">
        <f>SUMIFS('0113 4度C'!$I:$I,'0113 4度C'!$A:$A,"新豐8線",'0113 4度C'!$B:$B,"平均")</f>
        <v>18.166666666666668</v>
      </c>
      <c r="L22" s="102">
        <f>SUMIFS('0113 4度C'!$I:$I,'0113 4度C'!$A:$A,"新豐9線",'0113 4度C'!$B:$B,"平均")</f>
        <v>17.333333333333332</v>
      </c>
      <c r="M22" s="103">
        <f>SUMIFS('0113 4度C'!$I:$I,'0113 4度C'!$A:$A,"新豐4線",'0113 4度C'!$B:$B,"平均")</f>
        <v>16.166666666666668</v>
      </c>
    </row>
    <row r="23" spans="2:13" ht="17.25" customHeight="1">
      <c r="B23" s="430" t="s">
        <v>1164</v>
      </c>
      <c r="C23" s="431"/>
      <c r="D23" s="104" t="s">
        <v>157</v>
      </c>
      <c r="E23" s="105" t="s">
        <v>158</v>
      </c>
      <c r="F23" s="105" t="s">
        <v>1165</v>
      </c>
      <c r="G23" s="105" t="s">
        <v>1165</v>
      </c>
      <c r="H23" s="105" t="s">
        <v>159</v>
      </c>
      <c r="I23" s="105" t="s">
        <v>157</v>
      </c>
      <c r="J23" s="106" t="s">
        <v>159</v>
      </c>
      <c r="K23" s="104" t="s">
        <v>1166</v>
      </c>
      <c r="L23" s="105" t="s">
        <v>1167</v>
      </c>
      <c r="M23" s="106" t="s">
        <v>1166</v>
      </c>
    </row>
    <row r="24" spans="2:13" ht="17.25" customHeight="1">
      <c r="B24" s="430" t="s">
        <v>1168</v>
      </c>
      <c r="C24" s="431"/>
      <c r="D24" s="104"/>
      <c r="E24" s="105"/>
      <c r="F24" s="105" t="s">
        <v>1169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1170</v>
      </c>
      <c r="C25" s="433"/>
      <c r="D25" s="107"/>
      <c r="E25" s="108" t="s">
        <v>1171</v>
      </c>
      <c r="F25" s="426" t="s">
        <v>1172</v>
      </c>
      <c r="G25" s="427"/>
      <c r="H25" s="108" t="s">
        <v>1173</v>
      </c>
      <c r="I25" s="108" t="s">
        <v>1174</v>
      </c>
      <c r="J25" s="109" t="s">
        <v>1175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" activePane="bottomLeft" state="frozen"/>
      <selection activeCell="K1" sqref="K1"/>
      <selection pane="bottomLeft" activeCell="K1" sqref="K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1176</v>
      </c>
      <c r="B1" s="1"/>
      <c r="C1" s="2" t="s">
        <v>1177</v>
      </c>
      <c r="D1" s="3">
        <f>SUM(F5:F80)</f>
        <v>179692</v>
      </c>
      <c r="E1" s="212" t="s">
        <v>1178</v>
      </c>
      <c r="F1" s="1">
        <f>SUM(G5:G80)</f>
        <v>6034847.1300000008</v>
      </c>
      <c r="G1" s="1" t="s">
        <v>1179</v>
      </c>
      <c r="H1" s="5">
        <f>L9+L12+L59+L67+L22+L73+L40+L50+L33+L80</f>
        <v>160.38690476190476</v>
      </c>
      <c r="I1" s="542" t="s">
        <v>1180</v>
      </c>
      <c r="J1" s="542"/>
      <c r="K1" s="542"/>
      <c r="L1" s="542" t="s">
        <v>1181</v>
      </c>
      <c r="M1" s="542"/>
      <c r="N1" s="542"/>
      <c r="O1" s="542" t="s">
        <v>1182</v>
      </c>
      <c r="P1" s="542"/>
      <c r="Q1" s="542"/>
      <c r="R1" s="542"/>
      <c r="S1" s="542" t="s">
        <v>1183</v>
      </c>
      <c r="T1" s="542"/>
      <c r="U1" s="542"/>
      <c r="V1" s="542"/>
      <c r="W1" s="542"/>
      <c r="X1" s="542"/>
      <c r="Y1" s="6" t="s">
        <v>1184</v>
      </c>
      <c r="Z1" s="7" t="s">
        <v>1185</v>
      </c>
      <c r="AA1" s="543" t="s">
        <v>1186</v>
      </c>
      <c r="AB1" s="543"/>
      <c r="AC1" s="8" t="s">
        <v>1184</v>
      </c>
      <c r="AD1" s="7" t="s">
        <v>1187</v>
      </c>
      <c r="AE1" s="542" t="s">
        <v>1188</v>
      </c>
      <c r="AF1" s="544"/>
      <c r="AG1" s="544"/>
    </row>
    <row r="2" spans="1:33" ht="26.25" customHeight="1">
      <c r="A2" s="49">
        <v>46035</v>
      </c>
      <c r="B2" s="50" t="s">
        <v>517</v>
      </c>
      <c r="C2" s="2" t="s">
        <v>1189</v>
      </c>
      <c r="D2" s="10">
        <f>AVERAGE(N9,N12,N59,N67,N22,N73,N33,N40,N50,N80)</f>
        <v>135.23397250716252</v>
      </c>
      <c r="E2" s="11" t="s">
        <v>14</v>
      </c>
      <c r="F2" s="12">
        <f>F1/D1</f>
        <v>33.584395131669751</v>
      </c>
      <c r="G2" s="1" t="s">
        <v>1190</v>
      </c>
      <c r="H2" s="223">
        <f>COUNT(H5:H80)</f>
        <v>10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SUM(Y9+Y12+Y22+Y33+Y40+Y50+Y59+Y67+Y73+Y80)</f>
        <v>0</v>
      </c>
      <c r="Z2" s="14">
        <f>SUM(Z9+Z12+Z22+Z33+Z40+Z50+Z59+Z67+Z73+Z80)</f>
        <v>0</v>
      </c>
      <c r="AA2" s="543"/>
      <c r="AB2" s="543"/>
      <c r="AC2" s="14">
        <v>46</v>
      </c>
      <c r="AD2" s="14">
        <f>SUM(AD9+AD12+AD22+AD33+AD40+AD50+AD59+AD67+AD73+AD80)</f>
        <v>0</v>
      </c>
      <c r="AE2" s="544"/>
      <c r="AF2" s="544"/>
      <c r="AG2" s="544"/>
    </row>
    <row r="3" spans="1:33" ht="40.5" customHeight="1">
      <c r="A3" s="491" t="s">
        <v>1191</v>
      </c>
      <c r="B3" s="491" t="s">
        <v>1192</v>
      </c>
      <c r="C3" s="491" t="s">
        <v>1193</v>
      </c>
      <c r="D3" s="491"/>
      <c r="E3" s="540" t="s">
        <v>1194</v>
      </c>
      <c r="F3" s="491" t="s">
        <v>1195</v>
      </c>
      <c r="G3" s="540" t="s">
        <v>1196</v>
      </c>
      <c r="H3" s="533" t="s">
        <v>1197</v>
      </c>
      <c r="I3" s="531" t="s">
        <v>1198</v>
      </c>
      <c r="J3" s="528" t="s">
        <v>1199</v>
      </c>
      <c r="K3" s="538" t="s">
        <v>1189</v>
      </c>
      <c r="L3" s="531" t="s">
        <v>1198</v>
      </c>
      <c r="M3" s="528" t="s">
        <v>1199</v>
      </c>
      <c r="N3" s="538" t="s">
        <v>1189</v>
      </c>
      <c r="O3" s="531" t="s">
        <v>1198</v>
      </c>
      <c r="P3" s="538" t="s">
        <v>1189</v>
      </c>
      <c r="Q3" s="529" t="s">
        <v>1200</v>
      </c>
      <c r="R3" s="507" t="s">
        <v>1201</v>
      </c>
      <c r="S3" s="539" t="s">
        <v>27</v>
      </c>
      <c r="T3" s="539"/>
      <c r="U3" s="533" t="s">
        <v>28</v>
      </c>
      <c r="V3" s="533" t="s">
        <v>1202</v>
      </c>
      <c r="W3" s="491" t="s">
        <v>1203</v>
      </c>
      <c r="X3" s="491"/>
      <c r="Y3" s="534" t="s">
        <v>1204</v>
      </c>
      <c r="Z3" s="495"/>
      <c r="AA3" s="535" t="s">
        <v>1205</v>
      </c>
      <c r="AB3" s="536"/>
      <c r="AC3" s="534" t="s">
        <v>1206</v>
      </c>
      <c r="AD3" s="495"/>
      <c r="AE3" s="528" t="s">
        <v>1207</v>
      </c>
      <c r="AF3" s="529" t="s">
        <v>1208</v>
      </c>
      <c r="AG3" s="507" t="s">
        <v>1209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22" t="s">
        <v>37</v>
      </c>
      <c r="T4" s="222" t="s">
        <v>38</v>
      </c>
      <c r="U4" s="533"/>
      <c r="V4" s="533"/>
      <c r="W4" s="212" t="s">
        <v>1210</v>
      </c>
      <c r="X4" s="212" t="s">
        <v>1211</v>
      </c>
      <c r="Y4" s="214" t="s">
        <v>1212</v>
      </c>
      <c r="Z4" s="214" t="s">
        <v>1213</v>
      </c>
      <c r="AA4" s="537"/>
      <c r="AB4" s="536"/>
      <c r="AC4" s="214" t="s">
        <v>1214</v>
      </c>
      <c r="AD4" s="214" t="s">
        <v>1215</v>
      </c>
      <c r="AE4" s="528"/>
      <c r="AF4" s="529"/>
      <c r="AG4" s="507"/>
    </row>
    <row r="5" spans="1:33">
      <c r="A5" s="530" t="s">
        <v>1216</v>
      </c>
      <c r="B5" s="42" t="s">
        <v>103</v>
      </c>
      <c r="C5" s="532" t="s">
        <v>120</v>
      </c>
      <c r="D5" s="532"/>
      <c r="E5" s="42">
        <v>50.67</v>
      </c>
      <c r="F5" s="222">
        <v>1396</v>
      </c>
      <c r="G5" s="212">
        <f t="shared" ref="G5:G8" si="0">E5*F5</f>
        <v>70735.320000000007</v>
      </c>
      <c r="H5" s="125" t="s">
        <v>79</v>
      </c>
      <c r="I5" s="220">
        <v>17</v>
      </c>
      <c r="J5" s="37">
        <v>2000</v>
      </c>
      <c r="K5" s="17">
        <f t="shared" ref="K5:K68" si="1">J5/I5</f>
        <v>117.64705882352941</v>
      </c>
      <c r="L5" s="220">
        <v>17</v>
      </c>
      <c r="M5" s="18">
        <f t="shared" ref="M5:M8" si="2">F5/V5*60</f>
        <v>1947.9069767441856</v>
      </c>
      <c r="N5" s="17">
        <f t="shared" ref="N5:N68" si="3">M5/L5</f>
        <v>114.58276333789327</v>
      </c>
      <c r="O5" s="19">
        <f t="shared" ref="O5:O68" si="4">L5-I5</f>
        <v>0</v>
      </c>
      <c r="P5" s="20">
        <f t="shared" ref="P5:P68" si="5">N5-K5</f>
        <v>-3.0642954856361371</v>
      </c>
      <c r="Q5" s="211">
        <f t="shared" ref="Q5:Q68" si="6">N5/K5</f>
        <v>0.97395348837209283</v>
      </c>
      <c r="R5" s="489">
        <f>Q9</f>
        <v>0.96878120426085546</v>
      </c>
      <c r="S5" s="40">
        <v>0.70833333333333337</v>
      </c>
      <c r="T5" s="40">
        <v>0.73819444444444449</v>
      </c>
      <c r="U5" s="212"/>
      <c r="V5" s="221">
        <f t="shared" ref="V5:V8" si="7">(T5-S5)*24*60</f>
        <v>43.000000000000007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-52.093023255814387</v>
      </c>
      <c r="AF5" s="211">
        <f t="shared" ref="AF5:AF68" si="9">M5/J5</f>
        <v>0.97395348837209283</v>
      </c>
      <c r="AG5" s="489">
        <f>AF9</f>
        <v>0.96878120426085546</v>
      </c>
    </row>
    <row r="6" spans="1:33">
      <c r="A6" s="531" t="s">
        <v>1217</v>
      </c>
      <c r="B6" s="42" t="s">
        <v>103</v>
      </c>
      <c r="C6" s="532" t="s">
        <v>121</v>
      </c>
      <c r="D6" s="532"/>
      <c r="E6" s="42">
        <v>54.09</v>
      </c>
      <c r="F6" s="222">
        <v>1421</v>
      </c>
      <c r="G6" s="212">
        <f t="shared" si="0"/>
        <v>76861.89</v>
      </c>
      <c r="H6" s="125" t="s">
        <v>79</v>
      </c>
      <c r="I6" s="220">
        <v>19</v>
      </c>
      <c r="J6" s="37">
        <v>2000</v>
      </c>
      <c r="K6" s="17">
        <f t="shared" si="1"/>
        <v>105.26315789473684</v>
      </c>
      <c r="L6" s="220">
        <v>19</v>
      </c>
      <c r="M6" s="18">
        <f t="shared" si="2"/>
        <v>1937.7272727272727</v>
      </c>
      <c r="N6" s="17">
        <f t="shared" si="3"/>
        <v>101.98564593301435</v>
      </c>
      <c r="O6" s="19">
        <f t="shared" si="4"/>
        <v>0</v>
      </c>
      <c r="P6" s="20">
        <f t="shared" si="5"/>
        <v>-3.2775119617224817</v>
      </c>
      <c r="Q6" s="211">
        <f t="shared" si="6"/>
        <v>0.96886363636363637</v>
      </c>
      <c r="R6" s="489"/>
      <c r="S6" s="40">
        <v>0.74236111111111114</v>
      </c>
      <c r="T6" s="40">
        <v>0.7729166666666667</v>
      </c>
      <c r="U6" s="212">
        <f t="shared" ref="U6:U8" si="10">IF(S6=TIME(17,0,0),"",(S6-T5)*24*60)</f>
        <v>5.9999999999999787</v>
      </c>
      <c r="V6" s="221">
        <f t="shared" si="7"/>
        <v>44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-62.272727272727252</v>
      </c>
      <c r="AF6" s="211">
        <f t="shared" si="9"/>
        <v>0.96886363636363637</v>
      </c>
      <c r="AG6" s="489"/>
    </row>
    <row r="7" spans="1:33">
      <c r="A7" s="531" t="s">
        <v>1217</v>
      </c>
      <c r="B7" s="42" t="s">
        <v>103</v>
      </c>
      <c r="C7" s="523" t="s">
        <v>515</v>
      </c>
      <c r="D7" s="524"/>
      <c r="E7" s="42">
        <v>50.67</v>
      </c>
      <c r="F7" s="222">
        <v>2016</v>
      </c>
      <c r="G7" s="212">
        <f t="shared" si="0"/>
        <v>102150.72</v>
      </c>
      <c r="H7" s="125" t="s">
        <v>79</v>
      </c>
      <c r="I7" s="220">
        <v>21</v>
      </c>
      <c r="J7" s="37">
        <v>2000</v>
      </c>
      <c r="K7" s="17">
        <f t="shared" si="1"/>
        <v>95.238095238095241</v>
      </c>
      <c r="L7" s="220">
        <v>21</v>
      </c>
      <c r="M7" s="18">
        <f t="shared" si="2"/>
        <v>1920.000000000002</v>
      </c>
      <c r="N7" s="17">
        <f t="shared" si="3"/>
        <v>91.42857142857153</v>
      </c>
      <c r="O7" s="19">
        <f t="shared" si="4"/>
        <v>0</v>
      </c>
      <c r="P7" s="20">
        <f t="shared" si="5"/>
        <v>-3.8095238095237107</v>
      </c>
      <c r="Q7" s="211">
        <f t="shared" si="6"/>
        <v>0.96000000000000107</v>
      </c>
      <c r="R7" s="489"/>
      <c r="S7" s="40">
        <v>0.77708333333333335</v>
      </c>
      <c r="T7" s="40">
        <v>0.8208333333333333</v>
      </c>
      <c r="U7" s="212">
        <f t="shared" si="10"/>
        <v>5.9999999999999787</v>
      </c>
      <c r="V7" s="221">
        <f t="shared" si="7"/>
        <v>62.999999999999936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-79.999999999997954</v>
      </c>
      <c r="AF7" s="211">
        <f t="shared" si="9"/>
        <v>0.96000000000000107</v>
      </c>
      <c r="AG7" s="489"/>
    </row>
    <row r="8" spans="1:33">
      <c r="A8" s="531" t="s">
        <v>1217</v>
      </c>
      <c r="B8" s="42" t="s">
        <v>103</v>
      </c>
      <c r="C8" s="523" t="s">
        <v>122</v>
      </c>
      <c r="D8" s="524"/>
      <c r="E8" s="42">
        <v>50.29</v>
      </c>
      <c r="F8" s="222">
        <v>1264</v>
      </c>
      <c r="G8" s="212">
        <f t="shared" si="0"/>
        <v>63566.559999999998</v>
      </c>
      <c r="H8" s="125" t="s">
        <v>79</v>
      </c>
      <c r="I8" s="220">
        <v>16</v>
      </c>
      <c r="J8" s="37">
        <v>2000</v>
      </c>
      <c r="K8" s="17">
        <f t="shared" si="1"/>
        <v>125</v>
      </c>
      <c r="L8" s="220">
        <v>16</v>
      </c>
      <c r="M8" s="18">
        <f t="shared" si="2"/>
        <v>1944.6153846153836</v>
      </c>
      <c r="N8" s="17">
        <f t="shared" si="3"/>
        <v>121.53846153846148</v>
      </c>
      <c r="O8" s="19">
        <f t="shared" si="4"/>
        <v>0</v>
      </c>
      <c r="P8" s="20">
        <f t="shared" si="5"/>
        <v>-3.4615384615385238</v>
      </c>
      <c r="Q8" s="211">
        <f t="shared" si="6"/>
        <v>0.97230769230769176</v>
      </c>
      <c r="R8" s="489"/>
      <c r="S8" s="40">
        <v>0.82499999999999996</v>
      </c>
      <c r="T8" s="40">
        <v>0.8520833333333333</v>
      </c>
      <c r="U8" s="212">
        <f t="shared" si="10"/>
        <v>5.9999999999999787</v>
      </c>
      <c r="V8" s="221">
        <f t="shared" si="7"/>
        <v>39.000000000000021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-55.384615384616382</v>
      </c>
      <c r="AF8" s="211">
        <f t="shared" si="9"/>
        <v>0.97230769230769176</v>
      </c>
      <c r="AG8" s="489"/>
    </row>
    <row r="9" spans="1:33">
      <c r="A9" s="531" t="s">
        <v>1217</v>
      </c>
      <c r="B9" s="42" t="s">
        <v>1218</v>
      </c>
      <c r="C9" s="494"/>
      <c r="D9" s="494"/>
      <c r="E9" s="213"/>
      <c r="F9" s="44"/>
      <c r="G9" s="17"/>
      <c r="H9" s="222"/>
      <c r="I9" s="30">
        <v>18.25</v>
      </c>
      <c r="J9" s="37">
        <v>2000</v>
      </c>
      <c r="K9" s="17">
        <f t="shared" si="1"/>
        <v>109.58904109589041</v>
      </c>
      <c r="L9" s="30">
        <v>18.25</v>
      </c>
      <c r="M9" s="18">
        <f>AVERAGE(M5:M8)</f>
        <v>1937.5624085217109</v>
      </c>
      <c r="N9" s="17">
        <f t="shared" si="3"/>
        <v>106.16780320666909</v>
      </c>
      <c r="O9" s="19">
        <f t="shared" si="4"/>
        <v>0</v>
      </c>
      <c r="P9" s="20">
        <f t="shared" si="5"/>
        <v>-3.4212378892213167</v>
      </c>
      <c r="Q9" s="211">
        <f t="shared" si="6"/>
        <v>0.96878120426085546</v>
      </c>
      <c r="R9" s="489"/>
      <c r="S9" s="40"/>
      <c r="T9" s="40"/>
      <c r="U9" s="212"/>
      <c r="V9" s="221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v>2</v>
      </c>
      <c r="AD9" s="31">
        <f>SUM(AD5:AD8)</f>
        <v>0</v>
      </c>
      <c r="AE9" s="19">
        <f t="shared" si="8"/>
        <v>-62.43759147828905</v>
      </c>
      <c r="AF9" s="211">
        <f t="shared" si="9"/>
        <v>0.96878120426085546</v>
      </c>
      <c r="AG9" s="489"/>
    </row>
    <row r="10" spans="1:33" ht="15.75" customHeight="1">
      <c r="A10" s="527" t="s">
        <v>1219</v>
      </c>
      <c r="B10" s="42" t="s">
        <v>100</v>
      </c>
      <c r="C10" s="523" t="s">
        <v>124</v>
      </c>
      <c r="D10" s="524"/>
      <c r="E10" s="42">
        <v>39.619999999999997</v>
      </c>
      <c r="F10" s="222">
        <v>3154</v>
      </c>
      <c r="G10" s="212">
        <f t="shared" ref="G10:G11" si="11">E10*F10</f>
        <v>124961.48</v>
      </c>
      <c r="H10" s="125" t="s">
        <v>79</v>
      </c>
      <c r="I10" s="220">
        <v>19</v>
      </c>
      <c r="J10" s="37">
        <v>1500</v>
      </c>
      <c r="K10" s="17">
        <f t="shared" si="1"/>
        <v>78.94736842105263</v>
      </c>
      <c r="L10" s="220">
        <v>19</v>
      </c>
      <c r="M10" s="18">
        <f t="shared" ref="M10:M11" si="12">F10/V10*60</f>
        <v>1433.6363636363644</v>
      </c>
      <c r="N10" s="17">
        <f t="shared" si="3"/>
        <v>75.454545454545496</v>
      </c>
      <c r="O10" s="19">
        <f t="shared" si="4"/>
        <v>0</v>
      </c>
      <c r="P10" s="20">
        <f t="shared" si="5"/>
        <v>-3.4928229665071342</v>
      </c>
      <c r="Q10" s="211">
        <f t="shared" si="6"/>
        <v>0.95575757575757625</v>
      </c>
      <c r="R10" s="489">
        <f>Q12</f>
        <v>0.95592529950669525</v>
      </c>
      <c r="S10" s="40">
        <v>0.16666666666666666</v>
      </c>
      <c r="T10" s="40">
        <v>0.2583333333333333</v>
      </c>
      <c r="U10" s="212"/>
      <c r="V10" s="221">
        <f t="shared" ref="V10:V11" si="13">(T10-S10)*24*60</f>
        <v>131.99999999999994</v>
      </c>
      <c r="W10" s="23">
        <f>T10</f>
        <v>0.2583333333333333</v>
      </c>
      <c r="X10" s="23">
        <f>S11</f>
        <v>0.27708333333333329</v>
      </c>
      <c r="Y10" s="23"/>
      <c r="Z10" s="23"/>
      <c r="AA10" s="491"/>
      <c r="AB10" s="491"/>
      <c r="AC10" s="154">
        <v>2</v>
      </c>
      <c r="AD10" s="25"/>
      <c r="AE10" s="19">
        <f t="shared" si="8"/>
        <v>-66.363636363635578</v>
      </c>
      <c r="AF10" s="211">
        <f t="shared" si="9"/>
        <v>0.95575757575757625</v>
      </c>
      <c r="AG10" s="489">
        <f>AF12</f>
        <v>0.95592529950669525</v>
      </c>
    </row>
    <row r="11" spans="1:33" ht="15.75" customHeight="1">
      <c r="A11" s="527" t="s">
        <v>1219</v>
      </c>
      <c r="B11" s="42" t="s">
        <v>100</v>
      </c>
      <c r="C11" s="523" t="s">
        <v>125</v>
      </c>
      <c r="D11" s="524"/>
      <c r="E11" s="42">
        <v>39.799999999999997</v>
      </c>
      <c r="F11" s="222">
        <v>5139</v>
      </c>
      <c r="G11" s="212">
        <f t="shared" si="11"/>
        <v>204532.19999999998</v>
      </c>
      <c r="H11" s="125" t="s">
        <v>79</v>
      </c>
      <c r="I11" s="220">
        <v>17</v>
      </c>
      <c r="J11" s="37">
        <v>1500</v>
      </c>
      <c r="K11" s="17">
        <f t="shared" si="1"/>
        <v>88.235294117647058</v>
      </c>
      <c r="L11" s="220">
        <v>17</v>
      </c>
      <c r="M11" s="18">
        <f t="shared" si="12"/>
        <v>1434.1395348837214</v>
      </c>
      <c r="N11" s="17">
        <f t="shared" si="3"/>
        <v>84.361149110807133</v>
      </c>
      <c r="O11" s="19">
        <f t="shared" si="4"/>
        <v>0</v>
      </c>
      <c r="P11" s="20">
        <f t="shared" si="5"/>
        <v>-3.8741450068399246</v>
      </c>
      <c r="Q11" s="211">
        <f t="shared" si="6"/>
        <v>0.95609302325581413</v>
      </c>
      <c r="R11" s="489"/>
      <c r="S11" s="40">
        <v>0.27708333333333329</v>
      </c>
      <c r="T11" s="40">
        <v>0.42638888888888882</v>
      </c>
      <c r="U11" s="212">
        <f t="shared" ref="U11" si="14">IF(S11=TIME(17,0,0),"",(S11-T10)*24*60)</f>
        <v>26.999999999999986</v>
      </c>
      <c r="V11" s="221">
        <f t="shared" si="13"/>
        <v>214.99999999999994</v>
      </c>
      <c r="W11" s="23"/>
      <c r="X11" s="23"/>
      <c r="Y11" s="23"/>
      <c r="Z11" s="23"/>
      <c r="AA11" s="491"/>
      <c r="AB11" s="491"/>
      <c r="AC11" s="154"/>
      <c r="AD11" s="25"/>
      <c r="AE11" s="19">
        <f t="shared" si="8"/>
        <v>-65.860465116278647</v>
      </c>
      <c r="AF11" s="211">
        <f t="shared" si="9"/>
        <v>0.95609302325581424</v>
      </c>
      <c r="AG11" s="489"/>
    </row>
    <row r="12" spans="1:33" ht="16.5" customHeight="1">
      <c r="A12" s="527" t="s">
        <v>1219</v>
      </c>
      <c r="B12" s="42" t="s">
        <v>1218</v>
      </c>
      <c r="C12" s="494"/>
      <c r="D12" s="494"/>
      <c r="E12" s="213"/>
      <c r="F12" s="37"/>
      <c r="G12" s="18"/>
      <c r="H12" s="222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1433.8879492600429</v>
      </c>
      <c r="N12" s="17">
        <f t="shared" si="3"/>
        <v>79.660441625557937</v>
      </c>
      <c r="O12" s="19">
        <f t="shared" si="4"/>
        <v>0</v>
      </c>
      <c r="P12" s="20">
        <f t="shared" si="5"/>
        <v>-3.672891707775392</v>
      </c>
      <c r="Q12" s="211">
        <f t="shared" si="6"/>
        <v>0.95592529950669525</v>
      </c>
      <c r="R12" s="489"/>
      <c r="S12" s="40"/>
      <c r="T12" s="40"/>
      <c r="U12" s="17"/>
      <c r="V12" s="221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v>2</v>
      </c>
      <c r="AD12" s="31">
        <f>SUM(AD10:AD11)</f>
        <v>0</v>
      </c>
      <c r="AE12" s="19">
        <f t="shared" si="8"/>
        <v>-66.112050739957112</v>
      </c>
      <c r="AF12" s="211">
        <f t="shared" si="9"/>
        <v>0.95592529950669525</v>
      </c>
      <c r="AG12" s="489"/>
    </row>
    <row r="13" spans="1:33" ht="16.5" customHeight="1">
      <c r="A13" s="525" t="s">
        <v>1220</v>
      </c>
      <c r="B13" s="222" t="s">
        <v>126</v>
      </c>
      <c r="C13" s="515" t="s">
        <v>127</v>
      </c>
      <c r="D13" s="515"/>
      <c r="E13" s="42">
        <v>41</v>
      </c>
      <c r="F13" s="222">
        <v>2498</v>
      </c>
      <c r="G13" s="212">
        <f t="shared" ref="G13:G21" si="15">E13*F13</f>
        <v>102418</v>
      </c>
      <c r="H13" s="125" t="s">
        <v>79</v>
      </c>
      <c r="I13" s="220">
        <v>26</v>
      </c>
      <c r="J13" s="37">
        <v>1500</v>
      </c>
      <c r="K13" s="17">
        <f t="shared" si="1"/>
        <v>57.692307692307693</v>
      </c>
      <c r="L13" s="220">
        <v>26</v>
      </c>
      <c r="M13" s="18">
        <f t="shared" ref="M13:M21" si="16">F13/V13*60</f>
        <v>1427.4285714285718</v>
      </c>
      <c r="N13" s="17">
        <f t="shared" si="3"/>
        <v>54.901098901098912</v>
      </c>
      <c r="O13" s="19">
        <f t="shared" si="4"/>
        <v>0</v>
      </c>
      <c r="P13" s="20">
        <f t="shared" si="5"/>
        <v>-2.7912087912087813</v>
      </c>
      <c r="Q13" s="211">
        <f t="shared" si="6"/>
        <v>0.95161904761904781</v>
      </c>
      <c r="R13" s="489">
        <f>Q22</f>
        <v>0.96101809419315132</v>
      </c>
      <c r="S13" s="40">
        <v>0.20833333333333334</v>
      </c>
      <c r="T13" s="40">
        <v>0.28125</v>
      </c>
      <c r="U13" s="212"/>
      <c r="V13" s="221">
        <f t="shared" ref="V13:V21" si="17">(T13-S13)*24*60</f>
        <v>104.99999999999999</v>
      </c>
      <c r="W13" s="28"/>
      <c r="X13" s="28"/>
      <c r="Y13" s="28"/>
      <c r="Z13" s="28"/>
      <c r="AA13" s="491"/>
      <c r="AB13" s="491"/>
      <c r="AC13" s="154">
        <v>4</v>
      </c>
      <c r="AD13" s="25"/>
      <c r="AE13" s="19">
        <f t="shared" si="8"/>
        <v>-72.571428571428214</v>
      </c>
      <c r="AF13" s="211">
        <f t="shared" si="9"/>
        <v>0.95161904761904781</v>
      </c>
      <c r="AG13" s="489">
        <f>AF22</f>
        <v>0.96101809419315143</v>
      </c>
    </row>
    <row r="14" spans="1:33" ht="16.5" customHeight="1">
      <c r="A14" s="526" t="s">
        <v>1220</v>
      </c>
      <c r="B14" s="222" t="s">
        <v>128</v>
      </c>
      <c r="C14" s="515" t="s">
        <v>129</v>
      </c>
      <c r="D14" s="515"/>
      <c r="E14" s="42">
        <v>72.400000000000006</v>
      </c>
      <c r="F14" s="222">
        <v>855</v>
      </c>
      <c r="G14" s="212">
        <f t="shared" si="15"/>
        <v>61902.000000000007</v>
      </c>
      <c r="H14" s="125" t="s">
        <v>79</v>
      </c>
      <c r="I14" s="220">
        <v>18</v>
      </c>
      <c r="J14" s="37">
        <v>1500</v>
      </c>
      <c r="K14" s="17">
        <f t="shared" si="1"/>
        <v>83.333333333333329</v>
      </c>
      <c r="L14" s="220">
        <v>18</v>
      </c>
      <c r="M14" s="18">
        <f t="shared" si="16"/>
        <v>1465.7142857142842</v>
      </c>
      <c r="N14" s="17">
        <f t="shared" si="3"/>
        <v>81.428571428571345</v>
      </c>
      <c r="O14" s="19">
        <f t="shared" si="4"/>
        <v>0</v>
      </c>
      <c r="P14" s="20">
        <f t="shared" si="5"/>
        <v>-1.9047619047619833</v>
      </c>
      <c r="Q14" s="211">
        <f t="shared" si="6"/>
        <v>0.9771428571428562</v>
      </c>
      <c r="R14" s="489"/>
      <c r="S14" s="40">
        <v>0.28472222222222221</v>
      </c>
      <c r="T14" s="40">
        <v>0.30902777777777779</v>
      </c>
      <c r="U14" s="212">
        <f t="shared" ref="U14:U21" si="18">IF(S14=TIME(17,0,0),"",(S14-T13)*24*60)</f>
        <v>4.9999999999999822</v>
      </c>
      <c r="V14" s="221">
        <f t="shared" si="17"/>
        <v>35.000000000000036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-34.285714285715812</v>
      </c>
      <c r="AF14" s="211">
        <f t="shared" si="9"/>
        <v>0.97714285714285609</v>
      </c>
      <c r="AG14" s="489"/>
    </row>
    <row r="15" spans="1:33" ht="16.5" customHeight="1">
      <c r="A15" s="526" t="s">
        <v>1220</v>
      </c>
      <c r="B15" s="222" t="s">
        <v>130</v>
      </c>
      <c r="C15" s="515" t="s">
        <v>131</v>
      </c>
      <c r="D15" s="515"/>
      <c r="E15" s="42">
        <v>50.67</v>
      </c>
      <c r="F15" s="222">
        <v>1231</v>
      </c>
      <c r="G15" s="212">
        <f t="shared" si="15"/>
        <v>62374.770000000004</v>
      </c>
      <c r="H15" s="125" t="s">
        <v>79</v>
      </c>
      <c r="I15" s="220">
        <v>16</v>
      </c>
      <c r="J15" s="37">
        <v>1500</v>
      </c>
      <c r="K15" s="17">
        <f t="shared" si="1"/>
        <v>93.75</v>
      </c>
      <c r="L15" s="220">
        <v>16</v>
      </c>
      <c r="M15" s="18">
        <f t="shared" si="16"/>
        <v>1448.2352941176478</v>
      </c>
      <c r="N15" s="17">
        <f t="shared" si="3"/>
        <v>90.514705882352985</v>
      </c>
      <c r="O15" s="19">
        <f t="shared" si="4"/>
        <v>0</v>
      </c>
      <c r="P15" s="20">
        <f t="shared" si="5"/>
        <v>-3.2352941176470154</v>
      </c>
      <c r="Q15" s="211">
        <f t="shared" si="6"/>
        <v>0.96549019607843178</v>
      </c>
      <c r="R15" s="489"/>
      <c r="S15" s="40">
        <v>0.31319444444444444</v>
      </c>
      <c r="T15" s="40">
        <v>0.34861111111111109</v>
      </c>
      <c r="U15" s="212">
        <f t="shared" si="18"/>
        <v>5.9999999999999787</v>
      </c>
      <c r="V15" s="221">
        <f t="shared" si="17"/>
        <v>50.999999999999979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-51.764705882352246</v>
      </c>
      <c r="AF15" s="211">
        <f t="shared" si="9"/>
        <v>0.96549019607843178</v>
      </c>
      <c r="AG15" s="489"/>
    </row>
    <row r="16" spans="1:33" ht="16.5" customHeight="1">
      <c r="A16" s="526" t="s">
        <v>1220</v>
      </c>
      <c r="B16" s="222" t="s">
        <v>103</v>
      </c>
      <c r="C16" s="515" t="s">
        <v>123</v>
      </c>
      <c r="D16" s="515"/>
      <c r="E16" s="42">
        <v>50.98</v>
      </c>
      <c r="F16" s="222">
        <v>800</v>
      </c>
      <c r="G16" s="212">
        <f t="shared" si="15"/>
        <v>40784</v>
      </c>
      <c r="H16" s="125">
        <v>2</v>
      </c>
      <c r="I16" s="220">
        <v>16</v>
      </c>
      <c r="J16" s="37">
        <v>2000</v>
      </c>
      <c r="K16" s="17">
        <f t="shared" si="1"/>
        <v>125</v>
      </c>
      <c r="L16" s="220">
        <v>16</v>
      </c>
      <c r="M16" s="18">
        <f t="shared" si="16"/>
        <v>1919.9999999999945</v>
      </c>
      <c r="N16" s="17">
        <f t="shared" si="3"/>
        <v>119.99999999999966</v>
      </c>
      <c r="O16" s="19">
        <f t="shared" si="4"/>
        <v>0</v>
      </c>
      <c r="P16" s="20">
        <f t="shared" si="5"/>
        <v>-5.0000000000003411</v>
      </c>
      <c r="Q16" s="211">
        <f t="shared" si="6"/>
        <v>0.9599999999999973</v>
      </c>
      <c r="R16" s="489"/>
      <c r="S16" s="40">
        <v>0.70833333333333337</v>
      </c>
      <c r="T16" s="40">
        <v>0.72569444444444453</v>
      </c>
      <c r="U16" s="212" t="str">
        <f t="shared" si="18"/>
        <v/>
      </c>
      <c r="V16" s="221">
        <f t="shared" si="17"/>
        <v>25.000000000000071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-80.000000000005457</v>
      </c>
      <c r="AF16" s="211">
        <f t="shared" si="9"/>
        <v>0.9599999999999973</v>
      </c>
      <c r="AG16" s="489"/>
    </row>
    <row r="17" spans="1:33" ht="16.5" customHeight="1">
      <c r="A17" s="526" t="s">
        <v>1220</v>
      </c>
      <c r="B17" s="222" t="s">
        <v>103</v>
      </c>
      <c r="C17" s="515" t="s">
        <v>132</v>
      </c>
      <c r="D17" s="515"/>
      <c r="E17" s="42">
        <v>50.92</v>
      </c>
      <c r="F17" s="222">
        <v>800</v>
      </c>
      <c r="G17" s="212">
        <f t="shared" si="15"/>
        <v>40736</v>
      </c>
      <c r="H17" s="125">
        <v>2</v>
      </c>
      <c r="I17" s="220">
        <v>15</v>
      </c>
      <c r="J17" s="37">
        <v>2000</v>
      </c>
      <c r="K17" s="17">
        <f t="shared" si="1"/>
        <v>133.33333333333334</v>
      </c>
      <c r="L17" s="220">
        <v>15</v>
      </c>
      <c r="M17" s="18">
        <f t="shared" si="16"/>
        <v>1919.9999999999945</v>
      </c>
      <c r="N17" s="17">
        <f t="shared" si="3"/>
        <v>127.99999999999963</v>
      </c>
      <c r="O17" s="19">
        <f t="shared" si="4"/>
        <v>0</v>
      </c>
      <c r="P17" s="20">
        <f t="shared" si="5"/>
        <v>-5.3333333333337123</v>
      </c>
      <c r="Q17" s="211">
        <f t="shared" si="6"/>
        <v>0.95999999999999719</v>
      </c>
      <c r="R17" s="489"/>
      <c r="S17" s="40">
        <v>0.73055555555555562</v>
      </c>
      <c r="T17" s="40">
        <v>0.74791666666666679</v>
      </c>
      <c r="U17" s="212">
        <f t="shared" si="18"/>
        <v>6.9999999999999751</v>
      </c>
      <c r="V17" s="221">
        <f t="shared" si="17"/>
        <v>25.000000000000071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-80.000000000005457</v>
      </c>
      <c r="AF17" s="211">
        <f t="shared" si="9"/>
        <v>0.9599999999999973</v>
      </c>
      <c r="AG17" s="489"/>
    </row>
    <row r="18" spans="1:33" ht="16.5" customHeight="1">
      <c r="A18" s="526" t="s">
        <v>1220</v>
      </c>
      <c r="B18" s="222" t="s">
        <v>103</v>
      </c>
      <c r="C18" s="521" t="s">
        <v>133</v>
      </c>
      <c r="D18" s="522"/>
      <c r="E18" s="42">
        <v>50.67</v>
      </c>
      <c r="F18" s="222">
        <v>1764</v>
      </c>
      <c r="G18" s="212">
        <f t="shared" si="15"/>
        <v>89381.88</v>
      </c>
      <c r="H18" s="125" t="s">
        <v>79</v>
      </c>
      <c r="I18" s="220">
        <v>15</v>
      </c>
      <c r="J18" s="37">
        <v>2000</v>
      </c>
      <c r="K18" s="17">
        <f t="shared" si="1"/>
        <v>133.33333333333334</v>
      </c>
      <c r="L18" s="220">
        <v>15</v>
      </c>
      <c r="M18" s="18">
        <f t="shared" si="16"/>
        <v>1924.3636363636374</v>
      </c>
      <c r="N18" s="17">
        <f t="shared" si="3"/>
        <v>128.29090909090917</v>
      </c>
      <c r="O18" s="19">
        <f t="shared" si="4"/>
        <v>0</v>
      </c>
      <c r="P18" s="20">
        <f t="shared" si="5"/>
        <v>-5.0424242424241754</v>
      </c>
      <c r="Q18" s="211">
        <f t="shared" si="6"/>
        <v>0.96218181818181869</v>
      </c>
      <c r="R18" s="489"/>
      <c r="S18" s="40">
        <v>0.75138888888888899</v>
      </c>
      <c r="T18" s="40">
        <v>0.78958333333333341</v>
      </c>
      <c r="U18" s="212">
        <f t="shared" si="18"/>
        <v>4.9999999999999822</v>
      </c>
      <c r="V18" s="221">
        <f t="shared" si="17"/>
        <v>54.999999999999964</v>
      </c>
      <c r="W18" s="23"/>
      <c r="X18" s="23"/>
      <c r="Y18" s="26"/>
      <c r="Z18" s="26"/>
      <c r="AA18" s="503"/>
      <c r="AB18" s="504"/>
      <c r="AC18" s="154"/>
      <c r="AD18" s="25"/>
      <c r="AE18" s="19">
        <f t="shared" si="8"/>
        <v>-75.636363636362603</v>
      </c>
      <c r="AF18" s="211">
        <f t="shared" si="9"/>
        <v>0.96218181818181869</v>
      </c>
      <c r="AG18" s="489"/>
    </row>
    <row r="19" spans="1:33" ht="16.5" customHeight="1">
      <c r="A19" s="526" t="s">
        <v>1220</v>
      </c>
      <c r="B19" s="222" t="s">
        <v>103</v>
      </c>
      <c r="C19" s="218" t="s">
        <v>134</v>
      </c>
      <c r="D19" s="219"/>
      <c r="E19" s="42">
        <v>57.3</v>
      </c>
      <c r="F19" s="222">
        <v>2251</v>
      </c>
      <c r="G19" s="212">
        <f t="shared" si="15"/>
        <v>128982.29999999999</v>
      </c>
      <c r="H19" s="125" t="s">
        <v>79</v>
      </c>
      <c r="I19" s="220">
        <v>13</v>
      </c>
      <c r="J19" s="37">
        <v>2000</v>
      </c>
      <c r="K19" s="17">
        <f t="shared" si="1"/>
        <v>153.84615384615384</v>
      </c>
      <c r="L19" s="220">
        <v>13</v>
      </c>
      <c r="M19" s="18">
        <f t="shared" si="16"/>
        <v>1902.2535211267586</v>
      </c>
      <c r="N19" s="17">
        <f t="shared" si="3"/>
        <v>146.32719393282758</v>
      </c>
      <c r="O19" s="19">
        <f t="shared" si="4"/>
        <v>0</v>
      </c>
      <c r="P19" s="20">
        <f t="shared" si="5"/>
        <v>-7.5189599133262561</v>
      </c>
      <c r="Q19" s="211">
        <f t="shared" si="6"/>
        <v>0.9511267605633793</v>
      </c>
      <c r="R19" s="489"/>
      <c r="S19" s="40">
        <v>0.79305555555555562</v>
      </c>
      <c r="T19" s="40">
        <v>0.84236111111111123</v>
      </c>
      <c r="U19" s="212">
        <f t="shared" si="18"/>
        <v>4.9999999999999822</v>
      </c>
      <c r="V19" s="221">
        <f t="shared" si="17"/>
        <v>71.000000000000071</v>
      </c>
      <c r="W19" s="23">
        <f>T19</f>
        <v>0.84236111111111123</v>
      </c>
      <c r="X19" s="23">
        <f>S20</f>
        <v>0.88402777777777786</v>
      </c>
      <c r="Y19" s="26"/>
      <c r="Z19" s="26"/>
      <c r="AA19" s="503"/>
      <c r="AB19" s="504"/>
      <c r="AC19" s="154"/>
      <c r="AD19" s="25"/>
      <c r="AE19" s="19">
        <f t="shared" si="8"/>
        <v>-97.746478873241358</v>
      </c>
      <c r="AF19" s="211">
        <f t="shared" si="9"/>
        <v>0.9511267605633793</v>
      </c>
      <c r="AG19" s="489"/>
    </row>
    <row r="20" spans="1:33" ht="16.5" customHeight="1">
      <c r="A20" s="526" t="s">
        <v>1220</v>
      </c>
      <c r="B20" s="222" t="s">
        <v>103</v>
      </c>
      <c r="C20" s="218" t="s">
        <v>123</v>
      </c>
      <c r="D20" s="219"/>
      <c r="E20" s="42">
        <v>50.98</v>
      </c>
      <c r="F20" s="222">
        <v>1852</v>
      </c>
      <c r="G20" s="212">
        <f t="shared" si="15"/>
        <v>94414.959999999992</v>
      </c>
      <c r="H20" s="125" t="s">
        <v>79</v>
      </c>
      <c r="I20" s="220">
        <v>16</v>
      </c>
      <c r="J20" s="37">
        <v>2000</v>
      </c>
      <c r="K20" s="17">
        <f t="shared" si="1"/>
        <v>125</v>
      </c>
      <c r="L20" s="220">
        <v>16</v>
      </c>
      <c r="M20" s="18">
        <f t="shared" si="16"/>
        <v>1915.8620689655186</v>
      </c>
      <c r="N20" s="17">
        <f t="shared" si="3"/>
        <v>119.74137931034491</v>
      </c>
      <c r="O20" s="19">
        <f t="shared" si="4"/>
        <v>0</v>
      </c>
      <c r="P20" s="20">
        <f t="shared" si="5"/>
        <v>-5.2586206896550891</v>
      </c>
      <c r="Q20" s="211">
        <f t="shared" si="6"/>
        <v>0.95793103448275929</v>
      </c>
      <c r="R20" s="489"/>
      <c r="S20" s="40">
        <v>0.88402777777777786</v>
      </c>
      <c r="T20" s="40">
        <v>0.9243055555555556</v>
      </c>
      <c r="U20" s="212">
        <f t="shared" si="18"/>
        <v>59.999999999999943</v>
      </c>
      <c r="V20" s="221">
        <f t="shared" si="17"/>
        <v>57.999999999999957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-84.137931034481426</v>
      </c>
      <c r="AF20" s="211">
        <f t="shared" si="9"/>
        <v>0.95793103448275929</v>
      </c>
      <c r="AG20" s="489"/>
    </row>
    <row r="21" spans="1:33" ht="16.5" customHeight="1">
      <c r="A21" s="526" t="s">
        <v>1220</v>
      </c>
      <c r="B21" s="222" t="s">
        <v>103</v>
      </c>
      <c r="C21" s="521" t="s">
        <v>132</v>
      </c>
      <c r="D21" s="522"/>
      <c r="E21" s="42">
        <v>50.92</v>
      </c>
      <c r="F21" s="222">
        <v>1643</v>
      </c>
      <c r="G21" s="212">
        <f t="shared" si="15"/>
        <v>83661.56</v>
      </c>
      <c r="H21" s="125" t="s">
        <v>79</v>
      </c>
      <c r="I21" s="220">
        <v>15</v>
      </c>
      <c r="J21" s="37">
        <v>2000</v>
      </c>
      <c r="K21" s="17">
        <f t="shared" si="1"/>
        <v>133.33333333333334</v>
      </c>
      <c r="L21" s="220">
        <v>15</v>
      </c>
      <c r="M21" s="18">
        <f t="shared" si="16"/>
        <v>1932.9411764705892</v>
      </c>
      <c r="N21" s="17">
        <f t="shared" si="3"/>
        <v>128.86274509803928</v>
      </c>
      <c r="O21" s="19">
        <f t="shared" si="4"/>
        <v>0</v>
      </c>
      <c r="P21" s="20">
        <f t="shared" si="5"/>
        <v>-4.4705882352940591</v>
      </c>
      <c r="Q21" s="211">
        <f t="shared" si="6"/>
        <v>0.96647058823529453</v>
      </c>
      <c r="R21" s="489"/>
      <c r="S21" s="40">
        <v>0.9291666666666667</v>
      </c>
      <c r="T21" s="40">
        <v>0.96458333333333335</v>
      </c>
      <c r="U21" s="212">
        <f t="shared" si="18"/>
        <v>6.9999999999999751</v>
      </c>
      <c r="V21" s="221">
        <f t="shared" si="17"/>
        <v>50.999999999999979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-67.058823529410802</v>
      </c>
      <c r="AF21" s="211">
        <f t="shared" si="9"/>
        <v>0.96647058823529464</v>
      </c>
      <c r="AG21" s="489"/>
    </row>
    <row r="22" spans="1:33" ht="16.5" customHeight="1">
      <c r="A22" s="526" t="s">
        <v>1220</v>
      </c>
      <c r="B22" s="42" t="s">
        <v>1218</v>
      </c>
      <c r="C22" s="494"/>
      <c r="D22" s="494"/>
      <c r="E22" s="213"/>
      <c r="F22" s="44"/>
      <c r="G22" s="17"/>
      <c r="H22" s="222"/>
      <c r="I22" s="30">
        <v>16.666666666666668</v>
      </c>
      <c r="J22" s="37">
        <v>1833.3333333333333</v>
      </c>
      <c r="K22" s="17">
        <f t="shared" si="1"/>
        <v>109.99999999999999</v>
      </c>
      <c r="L22" s="30">
        <v>16.666666666666668</v>
      </c>
      <c r="M22" s="18">
        <f>AVERAGE(M13:M21)</f>
        <v>1761.8665060207775</v>
      </c>
      <c r="N22" s="17">
        <f t="shared" si="3"/>
        <v>105.71199036124663</v>
      </c>
      <c r="O22" s="19">
        <f t="shared" si="4"/>
        <v>0</v>
      </c>
      <c r="P22" s="20">
        <f t="shared" si="5"/>
        <v>-4.2880096387533513</v>
      </c>
      <c r="Q22" s="211">
        <f t="shared" si="6"/>
        <v>0.96101809419315132</v>
      </c>
      <c r="R22" s="489"/>
      <c r="S22" s="40"/>
      <c r="T22" s="40"/>
      <c r="U22" s="212"/>
      <c r="V22" s="221"/>
      <c r="W22" s="17"/>
      <c r="X22" s="17"/>
      <c r="Y22" s="31">
        <f>SUM(Y13:Y21)</f>
        <v>0</v>
      </c>
      <c r="Z22" s="31">
        <f>SUM(Z13:Z21)</f>
        <v>0</v>
      </c>
      <c r="AA22" s="495"/>
      <c r="AB22" s="495"/>
      <c r="AC22" s="31">
        <v>4</v>
      </c>
      <c r="AD22" s="31">
        <f>SUM(AD13:AD21)</f>
        <v>0</v>
      </c>
      <c r="AE22" s="19">
        <f t="shared" si="8"/>
        <v>-71.466827312555779</v>
      </c>
      <c r="AF22" s="211">
        <f t="shared" si="9"/>
        <v>0.96101809419315143</v>
      </c>
      <c r="AG22" s="489"/>
    </row>
    <row r="23" spans="1:33" ht="15.75" customHeight="1">
      <c r="A23" s="519" t="s">
        <v>1221</v>
      </c>
      <c r="B23" s="42" t="s">
        <v>126</v>
      </c>
      <c r="C23" s="515" t="s">
        <v>135</v>
      </c>
      <c r="D23" s="515"/>
      <c r="E23" s="42">
        <v>43.14</v>
      </c>
      <c r="F23" s="222">
        <v>1001</v>
      </c>
      <c r="G23" s="212">
        <f t="shared" ref="G23:G32" si="19">E23*F23</f>
        <v>43183.14</v>
      </c>
      <c r="H23" s="125" t="s">
        <v>79</v>
      </c>
      <c r="I23" s="220">
        <v>17</v>
      </c>
      <c r="J23" s="37">
        <v>2000</v>
      </c>
      <c r="K23" s="17">
        <f t="shared" si="1"/>
        <v>117.64705882352941</v>
      </c>
      <c r="L23" s="220">
        <v>17</v>
      </c>
      <c r="M23" s="18">
        <f t="shared" ref="M23:M32" si="20">F23/V23*60</f>
        <v>1937.4193548387093</v>
      </c>
      <c r="N23" s="17">
        <f t="shared" si="3"/>
        <v>113.96584440227701</v>
      </c>
      <c r="O23" s="19">
        <f t="shared" si="4"/>
        <v>0</v>
      </c>
      <c r="P23" s="20">
        <f t="shared" si="5"/>
        <v>-3.6812144212523918</v>
      </c>
      <c r="Q23" s="211">
        <f t="shared" si="6"/>
        <v>0.96870967741935465</v>
      </c>
      <c r="R23" s="489">
        <f>Q33</f>
        <v>0.96714998896141657</v>
      </c>
      <c r="S23" s="40">
        <v>0.20833333333333334</v>
      </c>
      <c r="T23" s="40">
        <v>0.22986111111111113</v>
      </c>
      <c r="U23" s="212"/>
      <c r="V23" s="221">
        <f t="shared" ref="V23:V32" si="21">(T23-S23)*24*60</f>
        <v>31.000000000000011</v>
      </c>
      <c r="W23" s="28"/>
      <c r="X23" s="28"/>
      <c r="Y23" s="28"/>
      <c r="Z23" s="28"/>
      <c r="AA23" s="491"/>
      <c r="AB23" s="491"/>
      <c r="AC23" s="154">
        <v>4</v>
      </c>
      <c r="AD23" s="25"/>
      <c r="AE23" s="19">
        <f t="shared" si="8"/>
        <v>-62.580645161290704</v>
      </c>
      <c r="AF23" s="211">
        <f t="shared" si="9"/>
        <v>0.96870967741935465</v>
      </c>
      <c r="AG23" s="489">
        <f>AF33</f>
        <v>0.96714998896141668</v>
      </c>
    </row>
    <row r="24" spans="1:33" ht="15.75" customHeight="1">
      <c r="A24" s="520" t="s">
        <v>1221</v>
      </c>
      <c r="B24" s="42" t="s">
        <v>103</v>
      </c>
      <c r="C24" s="515" t="s">
        <v>137</v>
      </c>
      <c r="D24" s="515"/>
      <c r="E24" s="42">
        <v>57.73</v>
      </c>
      <c r="F24" s="222">
        <v>2506</v>
      </c>
      <c r="G24" s="212">
        <f t="shared" si="19"/>
        <v>144671.38</v>
      </c>
      <c r="H24" s="125" t="s">
        <v>79</v>
      </c>
      <c r="I24" s="220">
        <v>14</v>
      </c>
      <c r="J24" s="37">
        <v>2000</v>
      </c>
      <c r="K24" s="17">
        <f t="shared" si="1"/>
        <v>142.85714285714286</v>
      </c>
      <c r="L24" s="220">
        <v>14</v>
      </c>
      <c r="M24" s="18">
        <f t="shared" si="20"/>
        <v>1903.2911392405063</v>
      </c>
      <c r="N24" s="17">
        <f t="shared" si="3"/>
        <v>135.9493670886076</v>
      </c>
      <c r="O24" s="19">
        <f t="shared" si="4"/>
        <v>0</v>
      </c>
      <c r="P24" s="20">
        <f t="shared" si="5"/>
        <v>-6.9077757685352594</v>
      </c>
      <c r="Q24" s="211">
        <f t="shared" si="6"/>
        <v>0.95164556962025315</v>
      </c>
      <c r="R24" s="489"/>
      <c r="S24" s="40">
        <v>0.23541666666666669</v>
      </c>
      <c r="T24" s="40">
        <v>0.2902777777777778</v>
      </c>
      <c r="U24" s="212">
        <f t="shared" ref="U24:U32" si="22">IF(S24=TIME(17,0,0),"",(S24-T23)*24*60)</f>
        <v>8.0000000000000107</v>
      </c>
      <c r="V24" s="221">
        <f t="shared" si="21"/>
        <v>79</v>
      </c>
      <c r="W24" s="23"/>
      <c r="X24" s="212"/>
      <c r="Y24" s="212"/>
      <c r="Z24" s="212"/>
      <c r="AA24" s="491"/>
      <c r="AB24" s="491"/>
      <c r="AC24" s="154"/>
      <c r="AD24" s="25"/>
      <c r="AE24" s="19">
        <f t="shared" si="8"/>
        <v>-96.708860759493746</v>
      </c>
      <c r="AF24" s="211">
        <f t="shared" si="9"/>
        <v>0.95164556962025315</v>
      </c>
      <c r="AG24" s="489"/>
    </row>
    <row r="25" spans="1:33" ht="15.75" customHeight="1">
      <c r="A25" s="520" t="s">
        <v>1221</v>
      </c>
      <c r="B25" s="42" t="s">
        <v>103</v>
      </c>
      <c r="C25" s="515" t="s">
        <v>138</v>
      </c>
      <c r="D25" s="515"/>
      <c r="E25" s="42">
        <v>53.68</v>
      </c>
      <c r="F25" s="222">
        <v>1540</v>
      </c>
      <c r="G25" s="212">
        <f t="shared" si="19"/>
        <v>82667.199999999997</v>
      </c>
      <c r="H25" s="125" t="s">
        <v>79</v>
      </c>
      <c r="I25" s="220">
        <v>16</v>
      </c>
      <c r="J25" s="37">
        <v>2000</v>
      </c>
      <c r="K25" s="17">
        <f t="shared" si="1"/>
        <v>125</v>
      </c>
      <c r="L25" s="220">
        <v>16</v>
      </c>
      <c r="M25" s="18">
        <f t="shared" si="20"/>
        <v>1925.0000000000005</v>
      </c>
      <c r="N25" s="17">
        <f t="shared" si="3"/>
        <v>120.31250000000003</v>
      </c>
      <c r="O25" s="19">
        <f t="shared" si="4"/>
        <v>0</v>
      </c>
      <c r="P25" s="20">
        <f t="shared" si="5"/>
        <v>-4.6874999999999716</v>
      </c>
      <c r="Q25" s="211">
        <f t="shared" si="6"/>
        <v>0.96250000000000024</v>
      </c>
      <c r="R25" s="489"/>
      <c r="S25" s="40">
        <v>0.2951388888888889</v>
      </c>
      <c r="T25" s="40">
        <v>0.32847222222222222</v>
      </c>
      <c r="U25" s="212">
        <f t="shared" si="22"/>
        <v>6.9999999999999751</v>
      </c>
      <c r="V25" s="221">
        <f t="shared" si="21"/>
        <v>47.999999999999986</v>
      </c>
      <c r="W25" s="23"/>
      <c r="X25" s="212"/>
      <c r="Y25" s="212"/>
      <c r="Z25" s="212"/>
      <c r="AA25" s="491"/>
      <c r="AB25" s="491"/>
      <c r="AC25" s="154"/>
      <c r="AD25" s="25"/>
      <c r="AE25" s="19">
        <f t="shared" si="8"/>
        <v>-74.999999999999545</v>
      </c>
      <c r="AF25" s="211">
        <f t="shared" si="9"/>
        <v>0.96250000000000024</v>
      </c>
      <c r="AG25" s="489"/>
    </row>
    <row r="26" spans="1:33" ht="15.75" customHeight="1">
      <c r="A26" s="520" t="s">
        <v>1221</v>
      </c>
      <c r="B26" s="42" t="s">
        <v>103</v>
      </c>
      <c r="C26" s="515" t="s">
        <v>139</v>
      </c>
      <c r="D26" s="515"/>
      <c r="E26" s="42">
        <v>49.91</v>
      </c>
      <c r="F26" s="222">
        <v>728</v>
      </c>
      <c r="G26" s="212">
        <f t="shared" si="19"/>
        <v>36334.479999999996</v>
      </c>
      <c r="H26" s="125" t="s">
        <v>79</v>
      </c>
      <c r="I26" s="220">
        <v>17</v>
      </c>
      <c r="J26" s="37">
        <v>2000</v>
      </c>
      <c r="K26" s="17">
        <f t="shared" si="1"/>
        <v>117.64705882352941</v>
      </c>
      <c r="L26" s="220">
        <v>17</v>
      </c>
      <c r="M26" s="18">
        <f t="shared" si="20"/>
        <v>1985.4545454545455</v>
      </c>
      <c r="N26" s="17">
        <f t="shared" si="3"/>
        <v>116.79144385026738</v>
      </c>
      <c r="O26" s="19">
        <f t="shared" si="4"/>
        <v>0</v>
      </c>
      <c r="P26" s="20">
        <f t="shared" si="5"/>
        <v>-0.85561497326202129</v>
      </c>
      <c r="Q26" s="211">
        <f t="shared" si="6"/>
        <v>0.99272727272727279</v>
      </c>
      <c r="R26" s="489"/>
      <c r="S26" s="40">
        <v>0.33194444444444443</v>
      </c>
      <c r="T26" s="40">
        <v>0.34722222222222221</v>
      </c>
      <c r="U26" s="212">
        <f t="shared" si="22"/>
        <v>4.9999999999999822</v>
      </c>
      <c r="V26" s="221">
        <f t="shared" si="21"/>
        <v>22</v>
      </c>
      <c r="W26" s="23"/>
      <c r="X26" s="212"/>
      <c r="Y26" s="212"/>
      <c r="Z26" s="212"/>
      <c r="AA26" s="491"/>
      <c r="AB26" s="491"/>
      <c r="AC26" s="154"/>
      <c r="AD26" s="25"/>
      <c r="AE26" s="19">
        <f t="shared" si="8"/>
        <v>-14.545454545454504</v>
      </c>
      <c r="AF26" s="211">
        <f t="shared" si="9"/>
        <v>0.99272727272727279</v>
      </c>
      <c r="AG26" s="489"/>
    </row>
    <row r="27" spans="1:33" ht="15.75" customHeight="1">
      <c r="A27" s="520" t="s">
        <v>1221</v>
      </c>
      <c r="B27" s="42" t="s">
        <v>103</v>
      </c>
      <c r="C27" s="515" t="s">
        <v>140</v>
      </c>
      <c r="D27" s="515"/>
      <c r="E27" s="42">
        <v>50.49</v>
      </c>
      <c r="F27" s="222">
        <v>600</v>
      </c>
      <c r="G27" s="212">
        <f t="shared" si="19"/>
        <v>30294</v>
      </c>
      <c r="H27" s="125">
        <v>2</v>
      </c>
      <c r="I27" s="220">
        <v>15</v>
      </c>
      <c r="J27" s="37">
        <v>2000</v>
      </c>
      <c r="K27" s="17">
        <f t="shared" si="1"/>
        <v>133.33333333333334</v>
      </c>
      <c r="L27" s="220">
        <v>15</v>
      </c>
      <c r="M27" s="18">
        <f t="shared" si="20"/>
        <v>2000.000000000007</v>
      </c>
      <c r="N27" s="17">
        <f t="shared" si="3"/>
        <v>133.3333333333338</v>
      </c>
      <c r="O27" s="19">
        <f t="shared" si="4"/>
        <v>0</v>
      </c>
      <c r="P27" s="20">
        <f t="shared" si="5"/>
        <v>4.5474735088646412E-13</v>
      </c>
      <c r="Q27" s="211">
        <f t="shared" si="6"/>
        <v>1.0000000000000033</v>
      </c>
      <c r="R27" s="489"/>
      <c r="S27" s="40">
        <v>0.70833333333333337</v>
      </c>
      <c r="T27" s="40">
        <v>0.72083333333333333</v>
      </c>
      <c r="U27" s="212" t="str">
        <f t="shared" si="22"/>
        <v/>
      </c>
      <c r="V27" s="221">
        <f t="shared" si="21"/>
        <v>17.999999999999936</v>
      </c>
      <c r="W27" s="23"/>
      <c r="X27" s="212"/>
      <c r="Y27" s="212"/>
      <c r="Z27" s="212"/>
      <c r="AA27" s="491"/>
      <c r="AB27" s="491"/>
      <c r="AC27" s="154"/>
      <c r="AD27" s="25"/>
      <c r="AE27" s="19">
        <f t="shared" si="8"/>
        <v>7.0485839387401938E-12</v>
      </c>
      <c r="AF27" s="211">
        <f t="shared" si="9"/>
        <v>1.0000000000000036</v>
      </c>
      <c r="AG27" s="489"/>
    </row>
    <row r="28" spans="1:33" ht="15.75" customHeight="1">
      <c r="A28" s="520" t="s">
        <v>1221</v>
      </c>
      <c r="B28" s="42" t="s">
        <v>103</v>
      </c>
      <c r="C28" s="515" t="s">
        <v>141</v>
      </c>
      <c r="D28" s="515"/>
      <c r="E28" s="42">
        <v>57.73</v>
      </c>
      <c r="F28" s="222">
        <v>1327</v>
      </c>
      <c r="G28" s="212">
        <f t="shared" si="19"/>
        <v>76607.709999999992</v>
      </c>
      <c r="H28" s="125" t="s">
        <v>79</v>
      </c>
      <c r="I28" s="220">
        <v>16</v>
      </c>
      <c r="J28" s="37">
        <v>1500</v>
      </c>
      <c r="K28" s="17">
        <f t="shared" si="1"/>
        <v>93.75</v>
      </c>
      <c r="L28" s="220">
        <v>16</v>
      </c>
      <c r="M28" s="18">
        <f t="shared" si="20"/>
        <v>1447.6363636363646</v>
      </c>
      <c r="N28" s="17">
        <f t="shared" si="3"/>
        <v>90.477272727272791</v>
      </c>
      <c r="O28" s="19">
        <f t="shared" si="4"/>
        <v>0</v>
      </c>
      <c r="P28" s="20">
        <f t="shared" si="5"/>
        <v>-3.2727272727272094</v>
      </c>
      <c r="Q28" s="211">
        <f t="shared" si="6"/>
        <v>0.96509090909090978</v>
      </c>
      <c r="R28" s="489"/>
      <c r="S28" s="40">
        <v>0.72499999999999998</v>
      </c>
      <c r="T28" s="40">
        <v>0.7631944444444444</v>
      </c>
      <c r="U28" s="212">
        <f t="shared" si="22"/>
        <v>5.9999999999999787</v>
      </c>
      <c r="V28" s="221">
        <f t="shared" si="21"/>
        <v>54.999999999999964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-52.363636363635351</v>
      </c>
      <c r="AF28" s="211">
        <f t="shared" si="9"/>
        <v>0.96509090909090978</v>
      </c>
      <c r="AG28" s="489"/>
    </row>
    <row r="29" spans="1:33" ht="15.75" customHeight="1">
      <c r="A29" s="520" t="s">
        <v>1221</v>
      </c>
      <c r="B29" s="42" t="s">
        <v>103</v>
      </c>
      <c r="C29" s="515" t="s">
        <v>108</v>
      </c>
      <c r="D29" s="515"/>
      <c r="E29" s="42">
        <v>54.29</v>
      </c>
      <c r="F29" s="222">
        <v>700</v>
      </c>
      <c r="G29" s="212">
        <f t="shared" si="19"/>
        <v>38003</v>
      </c>
      <c r="H29" s="125">
        <v>2</v>
      </c>
      <c r="I29" s="220">
        <v>20</v>
      </c>
      <c r="J29" s="37">
        <v>2000</v>
      </c>
      <c r="K29" s="17">
        <f t="shared" si="1"/>
        <v>100</v>
      </c>
      <c r="L29" s="220">
        <v>20</v>
      </c>
      <c r="M29" s="18">
        <f t="shared" si="20"/>
        <v>1909.0909090909158</v>
      </c>
      <c r="N29" s="17">
        <f t="shared" si="3"/>
        <v>95.454545454545794</v>
      </c>
      <c r="O29" s="19">
        <f t="shared" si="4"/>
        <v>0</v>
      </c>
      <c r="P29" s="20">
        <f t="shared" si="5"/>
        <v>-4.5454545454542057</v>
      </c>
      <c r="Q29" s="211">
        <f t="shared" si="6"/>
        <v>0.95454545454545792</v>
      </c>
      <c r="R29" s="489"/>
      <c r="S29" s="40">
        <v>0.76874999999999993</v>
      </c>
      <c r="T29" s="40">
        <v>0.78402777777777766</v>
      </c>
      <c r="U29" s="212">
        <f t="shared" si="22"/>
        <v>7.9999999999999716</v>
      </c>
      <c r="V29" s="221">
        <f t="shared" si="21"/>
        <v>21.999999999999922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-90.909090909084171</v>
      </c>
      <c r="AF29" s="211">
        <f t="shared" si="9"/>
        <v>0.95454545454545792</v>
      </c>
      <c r="AG29" s="489"/>
    </row>
    <row r="30" spans="1:33" ht="15.75" customHeight="1">
      <c r="A30" s="520" t="s">
        <v>1221</v>
      </c>
      <c r="B30" s="42" t="s">
        <v>103</v>
      </c>
      <c r="C30" s="521" t="s">
        <v>142</v>
      </c>
      <c r="D30" s="522"/>
      <c r="E30" s="42">
        <v>53.68</v>
      </c>
      <c r="F30" s="222">
        <v>2222</v>
      </c>
      <c r="G30" s="212">
        <f t="shared" si="19"/>
        <v>119276.96</v>
      </c>
      <c r="H30" s="125" t="s">
        <v>79</v>
      </c>
      <c r="I30" s="220">
        <v>16</v>
      </c>
      <c r="J30" s="37">
        <v>1500</v>
      </c>
      <c r="K30" s="17">
        <f t="shared" si="1"/>
        <v>93.75</v>
      </c>
      <c r="L30" s="220">
        <v>16</v>
      </c>
      <c r="M30" s="18">
        <f t="shared" si="20"/>
        <v>1433.5483870967746</v>
      </c>
      <c r="N30" s="17">
        <f t="shared" si="3"/>
        <v>89.596774193548413</v>
      </c>
      <c r="O30" s="19">
        <f t="shared" si="4"/>
        <v>0</v>
      </c>
      <c r="P30" s="20">
        <f t="shared" si="5"/>
        <v>-4.1532258064515872</v>
      </c>
      <c r="Q30" s="211">
        <f t="shared" si="6"/>
        <v>0.95569892473118312</v>
      </c>
      <c r="R30" s="489"/>
      <c r="S30" s="40">
        <v>0.78749999999999987</v>
      </c>
      <c r="T30" s="40">
        <v>0.85208333333333319</v>
      </c>
      <c r="U30" s="212">
        <f t="shared" si="22"/>
        <v>4.9999999999999822</v>
      </c>
      <c r="V30" s="221">
        <f t="shared" si="21"/>
        <v>92.999999999999986</v>
      </c>
      <c r="W30" s="23">
        <f>T30</f>
        <v>0.85208333333333319</v>
      </c>
      <c r="X30" s="23">
        <f>S31</f>
        <v>0.89027777777777761</v>
      </c>
      <c r="Y30" s="26"/>
      <c r="Z30" s="26"/>
      <c r="AA30" s="503"/>
      <c r="AB30" s="504"/>
      <c r="AC30" s="154"/>
      <c r="AD30" s="25"/>
      <c r="AE30" s="19">
        <f t="shared" si="8"/>
        <v>-66.451612903225396</v>
      </c>
      <c r="AF30" s="211">
        <f t="shared" si="9"/>
        <v>0.95569892473118312</v>
      </c>
      <c r="AG30" s="489"/>
    </row>
    <row r="31" spans="1:33" ht="15.75" customHeight="1">
      <c r="A31" s="520" t="s">
        <v>1221</v>
      </c>
      <c r="B31" s="42" t="s">
        <v>103</v>
      </c>
      <c r="C31" s="521" t="s">
        <v>140</v>
      </c>
      <c r="D31" s="522"/>
      <c r="E31" s="42">
        <v>50.49</v>
      </c>
      <c r="F31" s="222">
        <v>1542</v>
      </c>
      <c r="G31" s="212">
        <f t="shared" si="19"/>
        <v>77855.58</v>
      </c>
      <c r="H31" s="125" t="s">
        <v>79</v>
      </c>
      <c r="I31" s="220">
        <v>15</v>
      </c>
      <c r="J31" s="37">
        <v>2000</v>
      </c>
      <c r="K31" s="17">
        <f t="shared" si="1"/>
        <v>133.33333333333334</v>
      </c>
      <c r="L31" s="220">
        <v>15</v>
      </c>
      <c r="M31" s="18">
        <f t="shared" si="20"/>
        <v>1927.5000000000005</v>
      </c>
      <c r="N31" s="17">
        <f t="shared" si="3"/>
        <v>128.50000000000003</v>
      </c>
      <c r="O31" s="19">
        <f t="shared" si="4"/>
        <v>0</v>
      </c>
      <c r="P31" s="20">
        <f t="shared" si="5"/>
        <v>-4.8333333333333144</v>
      </c>
      <c r="Q31" s="211">
        <f t="shared" si="6"/>
        <v>0.96375000000000011</v>
      </c>
      <c r="R31" s="489"/>
      <c r="S31" s="40">
        <v>0.89027777777777761</v>
      </c>
      <c r="T31" s="40">
        <v>0.92361111111111094</v>
      </c>
      <c r="U31" s="212">
        <f t="shared" si="22"/>
        <v>54.999999999999964</v>
      </c>
      <c r="V31" s="221">
        <f t="shared" si="21"/>
        <v>47.999999999999986</v>
      </c>
      <c r="W31" s="23"/>
      <c r="X31" s="23"/>
      <c r="Y31" s="26"/>
      <c r="Z31" s="26"/>
      <c r="AA31" s="503"/>
      <c r="AB31" s="504"/>
      <c r="AC31" s="154"/>
      <c r="AD31" s="25"/>
      <c r="AE31" s="19">
        <f t="shared" si="8"/>
        <v>-72.499999999999545</v>
      </c>
      <c r="AF31" s="211">
        <f t="shared" si="9"/>
        <v>0.96375000000000022</v>
      </c>
      <c r="AG31" s="489"/>
    </row>
    <row r="32" spans="1:33" ht="15.75" customHeight="1">
      <c r="A32" s="520" t="s">
        <v>1221</v>
      </c>
      <c r="B32" s="42" t="s">
        <v>103</v>
      </c>
      <c r="C32" s="521" t="s">
        <v>108</v>
      </c>
      <c r="D32" s="522"/>
      <c r="E32" s="42">
        <v>54.29</v>
      </c>
      <c r="F32" s="222">
        <v>1748</v>
      </c>
      <c r="G32" s="212">
        <f t="shared" si="19"/>
        <v>94898.92</v>
      </c>
      <c r="H32" s="125" t="s">
        <v>79</v>
      </c>
      <c r="I32" s="220">
        <v>20</v>
      </c>
      <c r="J32" s="37">
        <v>2000</v>
      </c>
      <c r="K32" s="17">
        <f t="shared" si="1"/>
        <v>100</v>
      </c>
      <c r="L32" s="220">
        <v>20</v>
      </c>
      <c r="M32" s="18">
        <f t="shared" si="20"/>
        <v>1906.9090909090921</v>
      </c>
      <c r="N32" s="17">
        <f t="shared" si="3"/>
        <v>95.345454545454601</v>
      </c>
      <c r="O32" s="19">
        <f t="shared" si="4"/>
        <v>0</v>
      </c>
      <c r="P32" s="20">
        <f t="shared" si="5"/>
        <v>-4.6545454545453993</v>
      </c>
      <c r="Q32" s="211">
        <f t="shared" si="6"/>
        <v>0.953454545454546</v>
      </c>
      <c r="R32" s="489"/>
      <c r="S32" s="40">
        <v>0.92777777777777759</v>
      </c>
      <c r="T32" s="40">
        <v>0.96597222222222201</v>
      </c>
      <c r="U32" s="212">
        <f t="shared" si="22"/>
        <v>5.9999999999999787</v>
      </c>
      <c r="V32" s="221">
        <f t="shared" si="21"/>
        <v>54.999999999999964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-93.090909090907871</v>
      </c>
      <c r="AF32" s="211">
        <f t="shared" si="9"/>
        <v>0.95345454545454611</v>
      </c>
      <c r="AG32" s="489"/>
    </row>
    <row r="33" spans="1:33" ht="15.75" customHeight="1">
      <c r="A33" s="520" t="s">
        <v>1221</v>
      </c>
      <c r="B33" s="42" t="s">
        <v>1218</v>
      </c>
      <c r="C33" s="494"/>
      <c r="D33" s="494"/>
      <c r="E33" s="213"/>
      <c r="F33" s="222"/>
      <c r="G33" s="212"/>
      <c r="H33" s="222"/>
      <c r="I33" s="30">
        <v>16.600000000000001</v>
      </c>
      <c r="J33" s="37">
        <v>1900</v>
      </c>
      <c r="K33" s="17">
        <f t="shared" si="1"/>
        <v>114.4578313253012</v>
      </c>
      <c r="L33" s="30">
        <v>16.600000000000001</v>
      </c>
      <c r="M33" s="18">
        <f>AVERAGE(M23:M32)</f>
        <v>1837.5849790266916</v>
      </c>
      <c r="N33" s="17">
        <f t="shared" si="3"/>
        <v>110.69789030281274</v>
      </c>
      <c r="O33" s="19">
        <f t="shared" si="4"/>
        <v>0</v>
      </c>
      <c r="P33" s="20">
        <f t="shared" si="5"/>
        <v>-3.7599410224884622</v>
      </c>
      <c r="Q33" s="211">
        <f t="shared" si="6"/>
        <v>0.96714998896141657</v>
      </c>
      <c r="R33" s="489"/>
      <c r="S33" s="40"/>
      <c r="T33" s="40"/>
      <c r="U33" s="17"/>
      <c r="V33" s="221"/>
      <c r="W33" s="17"/>
      <c r="X33" s="17"/>
      <c r="Y33" s="31">
        <f>SUM(Y23:Y32)</f>
        <v>0</v>
      </c>
      <c r="Z33" s="31">
        <f>SUM(Z23:Z32)</f>
        <v>0</v>
      </c>
      <c r="AA33" s="495"/>
      <c r="AB33" s="495"/>
      <c r="AC33" s="31">
        <v>4</v>
      </c>
      <c r="AD33" s="31">
        <f>SUM(AD23:AD32)</f>
        <v>0</v>
      </c>
      <c r="AE33" s="19">
        <f t="shared" si="8"/>
        <v>-62.415020973308401</v>
      </c>
      <c r="AF33" s="211">
        <f t="shared" si="9"/>
        <v>0.96714998896141668</v>
      </c>
      <c r="AG33" s="489"/>
    </row>
    <row r="34" spans="1:33" ht="15.75" customHeight="1">
      <c r="A34" s="518" t="s">
        <v>1222</v>
      </c>
      <c r="B34" s="42" t="s">
        <v>80</v>
      </c>
      <c r="C34" s="515" t="s">
        <v>81</v>
      </c>
      <c r="D34" s="515"/>
      <c r="E34" s="42">
        <v>31.29</v>
      </c>
      <c r="F34" s="222">
        <v>4000</v>
      </c>
      <c r="G34" s="212">
        <f t="shared" ref="G34:G39" si="23">E34*F34</f>
        <v>125160</v>
      </c>
      <c r="H34" s="125">
        <v>2</v>
      </c>
      <c r="I34" s="220">
        <v>18</v>
      </c>
      <c r="J34" s="37">
        <v>2400</v>
      </c>
      <c r="K34" s="17">
        <f t="shared" si="1"/>
        <v>133.33333333333334</v>
      </c>
      <c r="L34" s="220">
        <v>18</v>
      </c>
      <c r="M34" s="18">
        <f t="shared" ref="M34:M39" si="24">F34/V34*60</f>
        <v>2285.7142857142858</v>
      </c>
      <c r="N34" s="17">
        <f t="shared" si="3"/>
        <v>126.98412698412699</v>
      </c>
      <c r="O34" s="19">
        <f t="shared" si="4"/>
        <v>0</v>
      </c>
      <c r="P34" s="20">
        <f t="shared" si="5"/>
        <v>-6.3492063492063551</v>
      </c>
      <c r="Q34" s="211">
        <f t="shared" si="6"/>
        <v>0.95238095238095233</v>
      </c>
      <c r="R34" s="489">
        <f>Q40</f>
        <v>0.95570468490777349</v>
      </c>
      <c r="S34" s="40">
        <v>8.3333333333333329E-2</v>
      </c>
      <c r="T34" s="40">
        <v>0.15625</v>
      </c>
      <c r="U34" s="212"/>
      <c r="V34" s="221">
        <f t="shared" ref="V34:V39" si="25">(T34-S34)*24*60</f>
        <v>105</v>
      </c>
      <c r="W34" s="23">
        <f>T34</f>
        <v>0.15625</v>
      </c>
      <c r="X34" s="23">
        <f>S35</f>
        <v>0.17708333333333334</v>
      </c>
      <c r="Y34" s="23"/>
      <c r="Z34" s="23"/>
      <c r="AA34" s="491"/>
      <c r="AB34" s="491"/>
      <c r="AC34" s="154">
        <v>8</v>
      </c>
      <c r="AD34" s="25"/>
      <c r="AE34" s="19">
        <f t="shared" si="8"/>
        <v>-114.28571428571422</v>
      </c>
      <c r="AF34" s="211">
        <f t="shared" si="9"/>
        <v>0.95238095238095244</v>
      </c>
      <c r="AG34" s="489">
        <f>AF40</f>
        <v>0.95570468490777349</v>
      </c>
    </row>
    <row r="35" spans="1:33" ht="15.75" customHeight="1">
      <c r="A35" s="518" t="s">
        <v>1222</v>
      </c>
      <c r="B35" s="42" t="s">
        <v>80</v>
      </c>
      <c r="C35" s="515" t="s">
        <v>82</v>
      </c>
      <c r="D35" s="515"/>
      <c r="E35" s="42">
        <v>26.2</v>
      </c>
      <c r="F35" s="222">
        <v>4586</v>
      </c>
      <c r="G35" s="212">
        <f t="shared" si="23"/>
        <v>120153.2</v>
      </c>
      <c r="H35" s="125" t="s">
        <v>79</v>
      </c>
      <c r="I35" s="220">
        <v>20</v>
      </c>
      <c r="J35" s="37">
        <v>2400</v>
      </c>
      <c r="K35" s="17">
        <f t="shared" si="1"/>
        <v>120</v>
      </c>
      <c r="L35" s="220">
        <v>20</v>
      </c>
      <c r="M35" s="18">
        <f t="shared" si="24"/>
        <v>2293</v>
      </c>
      <c r="N35" s="17">
        <f t="shared" si="3"/>
        <v>114.65</v>
      </c>
      <c r="O35" s="19">
        <f t="shared" si="4"/>
        <v>0</v>
      </c>
      <c r="P35" s="20">
        <f t="shared" si="5"/>
        <v>-5.3499999999999943</v>
      </c>
      <c r="Q35" s="211">
        <f t="shared" si="6"/>
        <v>0.95541666666666669</v>
      </c>
      <c r="R35" s="489"/>
      <c r="S35" s="40">
        <v>0.17708333333333334</v>
      </c>
      <c r="T35" s="40">
        <v>0.26041666666666669</v>
      </c>
      <c r="U35" s="212">
        <f t="shared" ref="U35:U39" si="26">(S35-T34)*24*60</f>
        <v>30.000000000000014</v>
      </c>
      <c r="V35" s="221">
        <f t="shared" si="25"/>
        <v>120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-107</v>
      </c>
      <c r="AF35" s="211">
        <f t="shared" si="9"/>
        <v>0.95541666666666669</v>
      </c>
      <c r="AG35" s="489"/>
    </row>
    <row r="36" spans="1:33" ht="15.75" customHeight="1">
      <c r="A36" s="518" t="s">
        <v>1222</v>
      </c>
      <c r="B36" s="42" t="s">
        <v>80</v>
      </c>
      <c r="C36" s="515" t="s">
        <v>83</v>
      </c>
      <c r="D36" s="515"/>
      <c r="E36" s="42">
        <v>25.99</v>
      </c>
      <c r="F36" s="222">
        <v>4096</v>
      </c>
      <c r="G36" s="212">
        <f t="shared" si="23"/>
        <v>106455.03999999999</v>
      </c>
      <c r="H36" s="125" t="s">
        <v>79</v>
      </c>
      <c r="I36" s="220">
        <v>14</v>
      </c>
      <c r="J36" s="37">
        <v>2400</v>
      </c>
      <c r="K36" s="17">
        <f t="shared" si="1"/>
        <v>171.42857142857142</v>
      </c>
      <c r="L36" s="220">
        <v>14</v>
      </c>
      <c r="M36" s="18">
        <f t="shared" si="24"/>
        <v>2296.8224299065419</v>
      </c>
      <c r="N36" s="17">
        <f t="shared" si="3"/>
        <v>164.05874499332441</v>
      </c>
      <c r="O36" s="19">
        <f t="shared" si="4"/>
        <v>0</v>
      </c>
      <c r="P36" s="20">
        <f t="shared" si="5"/>
        <v>-7.3698264352470062</v>
      </c>
      <c r="Q36" s="211">
        <f t="shared" si="6"/>
        <v>0.95700934579439245</v>
      </c>
      <c r="R36" s="489"/>
      <c r="S36" s="40">
        <v>0.2638888888888889</v>
      </c>
      <c r="T36" s="40">
        <v>0.33819444444444446</v>
      </c>
      <c r="U36" s="212">
        <f t="shared" si="26"/>
        <v>4.9999999999999822</v>
      </c>
      <c r="V36" s="221">
        <f t="shared" si="25"/>
        <v>107.00000000000001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-103.17757009345814</v>
      </c>
      <c r="AF36" s="211">
        <f t="shared" si="9"/>
        <v>0.95700934579439245</v>
      </c>
      <c r="AG36" s="489"/>
    </row>
    <row r="37" spans="1:33" ht="15.75" customHeight="1">
      <c r="A37" s="518" t="s">
        <v>1222</v>
      </c>
      <c r="B37" s="42" t="s">
        <v>80</v>
      </c>
      <c r="C37" s="515" t="s">
        <v>84</v>
      </c>
      <c r="D37" s="515"/>
      <c r="E37" s="42">
        <v>20.52</v>
      </c>
      <c r="F37" s="222">
        <v>4181</v>
      </c>
      <c r="G37" s="212">
        <f t="shared" si="23"/>
        <v>85794.12</v>
      </c>
      <c r="H37" s="125" t="s">
        <v>79</v>
      </c>
      <c r="I37" s="220">
        <v>18</v>
      </c>
      <c r="J37" s="37">
        <v>2400</v>
      </c>
      <c r="K37" s="17">
        <f t="shared" si="1"/>
        <v>133.33333333333334</v>
      </c>
      <c r="L37" s="220">
        <v>18</v>
      </c>
      <c r="M37" s="18">
        <f t="shared" si="24"/>
        <v>2301.4678899082564</v>
      </c>
      <c r="N37" s="17">
        <f t="shared" si="3"/>
        <v>127.85932721712535</v>
      </c>
      <c r="O37" s="19">
        <f t="shared" si="4"/>
        <v>0</v>
      </c>
      <c r="P37" s="20">
        <f t="shared" si="5"/>
        <v>-5.4740061162079883</v>
      </c>
      <c r="Q37" s="211">
        <f t="shared" si="6"/>
        <v>0.95894495412844005</v>
      </c>
      <c r="R37" s="489"/>
      <c r="S37" s="40">
        <v>0.34305555555555556</v>
      </c>
      <c r="T37" s="40">
        <v>0.41875000000000001</v>
      </c>
      <c r="U37" s="212">
        <f t="shared" si="26"/>
        <v>6.9999999999999751</v>
      </c>
      <c r="V37" s="221">
        <f t="shared" si="25"/>
        <v>109.00000000000001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-98.532110091743561</v>
      </c>
      <c r="AF37" s="211">
        <f t="shared" si="9"/>
        <v>0.95894495412844016</v>
      </c>
      <c r="AG37" s="489"/>
    </row>
    <row r="38" spans="1:33" ht="15.75" customHeight="1">
      <c r="A38" s="518" t="s">
        <v>1222</v>
      </c>
      <c r="B38" s="42" t="s">
        <v>80</v>
      </c>
      <c r="C38" s="515" t="s">
        <v>85</v>
      </c>
      <c r="D38" s="515"/>
      <c r="E38" s="42">
        <v>25.98</v>
      </c>
      <c r="F38" s="222">
        <v>3223</v>
      </c>
      <c r="G38" s="212">
        <f t="shared" si="23"/>
        <v>83733.540000000008</v>
      </c>
      <c r="H38" s="125" t="s">
        <v>79</v>
      </c>
      <c r="I38" s="220">
        <v>21</v>
      </c>
      <c r="J38" s="37">
        <v>2400</v>
      </c>
      <c r="K38" s="17">
        <f t="shared" si="1"/>
        <v>114.28571428571429</v>
      </c>
      <c r="L38" s="220">
        <v>21</v>
      </c>
      <c r="M38" s="18">
        <f t="shared" si="24"/>
        <v>2302.1428571428564</v>
      </c>
      <c r="N38" s="17">
        <f t="shared" si="3"/>
        <v>109.62585034013603</v>
      </c>
      <c r="O38" s="19">
        <f t="shared" si="4"/>
        <v>0</v>
      </c>
      <c r="P38" s="20">
        <f t="shared" si="5"/>
        <v>-4.659863945578266</v>
      </c>
      <c r="Q38" s="211">
        <f t="shared" si="6"/>
        <v>0.95922619047619018</v>
      </c>
      <c r="R38" s="489"/>
      <c r="S38" s="40">
        <v>0.42430555555555555</v>
      </c>
      <c r="T38" s="40">
        <v>0.4826388888888889</v>
      </c>
      <c r="U38" s="212">
        <f t="shared" si="26"/>
        <v>7.9999999999999716</v>
      </c>
      <c r="V38" s="221">
        <f t="shared" si="25"/>
        <v>84.000000000000028</v>
      </c>
      <c r="W38" s="23">
        <f>T38</f>
        <v>0.4826388888888889</v>
      </c>
      <c r="X38" s="23">
        <f>S39</f>
        <v>0.52430555555555547</v>
      </c>
      <c r="Y38" s="23"/>
      <c r="Z38" s="23"/>
      <c r="AA38" s="491"/>
      <c r="AB38" s="491"/>
      <c r="AC38" s="154"/>
      <c r="AD38" s="25"/>
      <c r="AE38" s="19">
        <f t="shared" si="8"/>
        <v>-97.857142857143572</v>
      </c>
      <c r="AF38" s="211">
        <f t="shared" si="9"/>
        <v>0.95922619047619018</v>
      </c>
      <c r="AG38" s="489"/>
    </row>
    <row r="39" spans="1:33" ht="15.75" customHeight="1">
      <c r="A39" s="518" t="s">
        <v>1222</v>
      </c>
      <c r="B39" s="42" t="s">
        <v>80</v>
      </c>
      <c r="C39" s="515" t="s">
        <v>81</v>
      </c>
      <c r="D39" s="515"/>
      <c r="E39" s="42">
        <v>31.29</v>
      </c>
      <c r="F39" s="222">
        <v>4566</v>
      </c>
      <c r="G39" s="212">
        <f t="shared" si="23"/>
        <v>142870.13999999998</v>
      </c>
      <c r="H39" s="125" t="s">
        <v>79</v>
      </c>
      <c r="I39" s="220">
        <v>18</v>
      </c>
      <c r="J39" s="37">
        <v>2400</v>
      </c>
      <c r="K39" s="17">
        <f t="shared" si="1"/>
        <v>133.33333333333334</v>
      </c>
      <c r="L39" s="220">
        <v>18</v>
      </c>
      <c r="M39" s="18">
        <f t="shared" si="24"/>
        <v>2282.9999999999991</v>
      </c>
      <c r="N39" s="17">
        <f t="shared" si="3"/>
        <v>126.83333333333329</v>
      </c>
      <c r="O39" s="19">
        <f t="shared" si="4"/>
        <v>0</v>
      </c>
      <c r="P39" s="20">
        <f t="shared" si="5"/>
        <v>-6.5000000000000568</v>
      </c>
      <c r="Q39" s="211">
        <f t="shared" si="6"/>
        <v>0.9512499999999996</v>
      </c>
      <c r="R39" s="489"/>
      <c r="S39" s="40">
        <v>0.52430555555555547</v>
      </c>
      <c r="T39" s="40">
        <v>0.60763888888888884</v>
      </c>
      <c r="U39" s="212">
        <f t="shared" si="26"/>
        <v>59.999999999999865</v>
      </c>
      <c r="V39" s="221">
        <f t="shared" si="25"/>
        <v>120.00000000000006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-117.00000000000091</v>
      </c>
      <c r="AF39" s="211">
        <f t="shared" si="9"/>
        <v>0.9512499999999996</v>
      </c>
      <c r="AG39" s="489"/>
    </row>
    <row r="40" spans="1:33" ht="15.75" customHeight="1">
      <c r="A40" s="518" t="s">
        <v>1222</v>
      </c>
      <c r="B40" s="42" t="s">
        <v>1218</v>
      </c>
      <c r="C40" s="494"/>
      <c r="D40" s="494"/>
      <c r="E40" s="213"/>
      <c r="F40" s="222"/>
      <c r="G40" s="212"/>
      <c r="H40" s="222"/>
      <c r="I40" s="30">
        <v>18.166666666666668</v>
      </c>
      <c r="J40" s="37">
        <v>2400</v>
      </c>
      <c r="K40" s="17">
        <f t="shared" si="1"/>
        <v>132.11009174311926</v>
      </c>
      <c r="L40" s="30">
        <v>18.166666666666668</v>
      </c>
      <c r="M40" s="18">
        <f>AVERAGE(M34:M39)</f>
        <v>2293.6912437786564</v>
      </c>
      <c r="N40" s="17">
        <f t="shared" si="3"/>
        <v>126.25823360249484</v>
      </c>
      <c r="O40" s="19">
        <f t="shared" si="4"/>
        <v>0</v>
      </c>
      <c r="P40" s="20">
        <f t="shared" si="5"/>
        <v>-5.8518581406244152</v>
      </c>
      <c r="Q40" s="211">
        <f t="shared" si="6"/>
        <v>0.95570468490777349</v>
      </c>
      <c r="R40" s="489"/>
      <c r="S40" s="40"/>
      <c r="T40" s="40"/>
      <c r="U40" s="212"/>
      <c r="V40" s="221"/>
      <c r="W40" s="212"/>
      <c r="X40" s="212"/>
      <c r="Y40" s="31">
        <f>SUM(Y34:Y39)</f>
        <v>0</v>
      </c>
      <c r="Z40" s="31">
        <f>SUM(Z34:Z39)</f>
        <v>0</v>
      </c>
      <c r="AA40" s="495"/>
      <c r="AB40" s="495"/>
      <c r="AC40" s="31">
        <v>8</v>
      </c>
      <c r="AD40" s="31">
        <f>SUM(AD34:AD39)</f>
        <v>0</v>
      </c>
      <c r="AE40" s="19">
        <f t="shared" si="8"/>
        <v>-106.30875622134363</v>
      </c>
      <c r="AF40" s="211">
        <f t="shared" si="9"/>
        <v>0.95570468490777349</v>
      </c>
      <c r="AG40" s="489"/>
    </row>
    <row r="41" spans="1:33" ht="15.75" customHeight="1">
      <c r="A41" s="516" t="s">
        <v>1223</v>
      </c>
      <c r="B41" s="42" t="s">
        <v>80</v>
      </c>
      <c r="C41" s="490" t="s">
        <v>86</v>
      </c>
      <c r="D41" s="490"/>
      <c r="E41" s="42">
        <v>22.69</v>
      </c>
      <c r="F41" s="222">
        <v>521</v>
      </c>
      <c r="G41" s="212">
        <f t="shared" ref="G41:G49" si="27">E41*F41</f>
        <v>11821.49</v>
      </c>
      <c r="H41" s="125" t="s">
        <v>79</v>
      </c>
      <c r="I41" s="220">
        <v>15</v>
      </c>
      <c r="J41" s="37">
        <v>2400</v>
      </c>
      <c r="K41" s="17">
        <f t="shared" si="1"/>
        <v>160</v>
      </c>
      <c r="L41" s="220">
        <v>15</v>
      </c>
      <c r="M41" s="18">
        <f t="shared" ref="M41:M49" si="28">F41/V41*60</f>
        <v>2232.8571428571413</v>
      </c>
      <c r="N41" s="17">
        <f t="shared" si="3"/>
        <v>148.85714285714275</v>
      </c>
      <c r="O41" s="19">
        <f t="shared" si="4"/>
        <v>0</v>
      </c>
      <c r="P41" s="20">
        <f t="shared" si="5"/>
        <v>-11.142857142857252</v>
      </c>
      <c r="Q41" s="211">
        <f t="shared" si="6"/>
        <v>0.93035714285714222</v>
      </c>
      <c r="R41" s="489">
        <f>Q50</f>
        <v>0.95384409856948693</v>
      </c>
      <c r="S41" s="40">
        <v>8.3333333333333329E-2</v>
      </c>
      <c r="T41" s="40">
        <v>9.3055555555555558E-2</v>
      </c>
      <c r="U41" s="212"/>
      <c r="V41" s="221">
        <f t="shared" ref="V41:V49" si="29">(T41-S41)*24*60</f>
        <v>14.000000000000011</v>
      </c>
      <c r="W41" s="28">
        <f>T41</f>
        <v>9.3055555555555558E-2</v>
      </c>
      <c r="X41" s="28">
        <f>S42</f>
        <v>0.11041666666666666</v>
      </c>
      <c r="Y41" s="28"/>
      <c r="Z41" s="28"/>
      <c r="AA41" s="491"/>
      <c r="AB41" s="491"/>
      <c r="AC41" s="154">
        <v>10</v>
      </c>
      <c r="AD41" s="25"/>
      <c r="AE41" s="19">
        <f t="shared" si="8"/>
        <v>-167.1428571428587</v>
      </c>
      <c r="AF41" s="211">
        <f t="shared" si="9"/>
        <v>0.93035714285714222</v>
      </c>
      <c r="AG41" s="489">
        <f>AF50</f>
        <v>0.95384409856948704</v>
      </c>
    </row>
    <row r="42" spans="1:33" ht="15.75" customHeight="1">
      <c r="A42" s="516" t="s">
        <v>1223</v>
      </c>
      <c r="B42" s="42" t="s">
        <v>80</v>
      </c>
      <c r="C42" s="490" t="s">
        <v>87</v>
      </c>
      <c r="D42" s="490"/>
      <c r="E42" s="42">
        <v>26.2</v>
      </c>
      <c r="F42" s="222">
        <v>3500</v>
      </c>
      <c r="G42" s="212">
        <f t="shared" si="27"/>
        <v>91700</v>
      </c>
      <c r="H42" s="125">
        <v>2</v>
      </c>
      <c r="I42" s="220">
        <v>18</v>
      </c>
      <c r="J42" s="37">
        <v>2400</v>
      </c>
      <c r="K42" s="17">
        <f t="shared" si="1"/>
        <v>133.33333333333334</v>
      </c>
      <c r="L42" s="220">
        <v>18</v>
      </c>
      <c r="M42" s="18">
        <f t="shared" si="28"/>
        <v>2282.608695652174</v>
      </c>
      <c r="N42" s="17">
        <f t="shared" si="3"/>
        <v>126.81159420289856</v>
      </c>
      <c r="O42" s="19">
        <f t="shared" si="4"/>
        <v>0</v>
      </c>
      <c r="P42" s="20">
        <f t="shared" si="5"/>
        <v>-6.5217391304347814</v>
      </c>
      <c r="Q42" s="211">
        <f t="shared" si="6"/>
        <v>0.95108695652173914</v>
      </c>
      <c r="R42" s="489"/>
      <c r="S42" s="40">
        <v>0.11041666666666666</v>
      </c>
      <c r="T42" s="40">
        <v>0.17430555555555555</v>
      </c>
      <c r="U42" s="212">
        <f t="shared" ref="U42:U49" si="30">(S42-T41)*24*60</f>
        <v>24.999999999999993</v>
      </c>
      <c r="V42" s="221">
        <f t="shared" si="29"/>
        <v>92</v>
      </c>
      <c r="W42" s="212"/>
      <c r="X42" s="212"/>
      <c r="Y42" s="212"/>
      <c r="Z42" s="212"/>
      <c r="AA42" s="491"/>
      <c r="AB42" s="491"/>
      <c r="AC42" s="154"/>
      <c r="AD42" s="25"/>
      <c r="AE42" s="19">
        <f t="shared" si="8"/>
        <v>-117.39130434782601</v>
      </c>
      <c r="AF42" s="211">
        <f t="shared" si="9"/>
        <v>0.95108695652173914</v>
      </c>
      <c r="AG42" s="489"/>
    </row>
    <row r="43" spans="1:33">
      <c r="A43" s="517" t="s">
        <v>1223</v>
      </c>
      <c r="B43" s="42" t="s">
        <v>80</v>
      </c>
      <c r="C43" s="490" t="s">
        <v>88</v>
      </c>
      <c r="D43" s="490"/>
      <c r="E43" s="42">
        <v>26.18</v>
      </c>
      <c r="F43" s="222">
        <v>2220</v>
      </c>
      <c r="G43" s="212">
        <f t="shared" si="27"/>
        <v>58119.6</v>
      </c>
      <c r="H43" s="125" t="s">
        <v>79</v>
      </c>
      <c r="I43" s="220">
        <v>19</v>
      </c>
      <c r="J43" s="37">
        <v>2400</v>
      </c>
      <c r="K43" s="17">
        <f t="shared" si="1"/>
        <v>126.31578947368421</v>
      </c>
      <c r="L43" s="220">
        <v>19</v>
      </c>
      <c r="M43" s="18">
        <f t="shared" si="28"/>
        <v>2296.5517241379312</v>
      </c>
      <c r="N43" s="17">
        <f t="shared" si="3"/>
        <v>120.87114337568059</v>
      </c>
      <c r="O43" s="19">
        <f t="shared" si="4"/>
        <v>0</v>
      </c>
      <c r="P43" s="20">
        <f t="shared" si="5"/>
        <v>-5.4446460980036164</v>
      </c>
      <c r="Q43" s="211">
        <f t="shared" si="6"/>
        <v>0.95689655172413801</v>
      </c>
      <c r="R43" s="489"/>
      <c r="S43" s="40">
        <v>0.17986111111111111</v>
      </c>
      <c r="T43" s="40">
        <v>0.22013888888888888</v>
      </c>
      <c r="U43" s="212">
        <f t="shared" si="30"/>
        <v>8.0000000000000107</v>
      </c>
      <c r="V43" s="221">
        <f t="shared" si="29"/>
        <v>57.999999999999993</v>
      </c>
      <c r="W43" s="212"/>
      <c r="X43" s="212"/>
      <c r="Y43" s="212"/>
      <c r="Z43" s="212"/>
      <c r="AA43" s="491"/>
      <c r="AB43" s="491"/>
      <c r="AC43" s="154"/>
      <c r="AD43" s="25"/>
      <c r="AE43" s="19">
        <f t="shared" si="8"/>
        <v>-103.44827586206884</v>
      </c>
      <c r="AF43" s="211">
        <f t="shared" si="9"/>
        <v>0.95689655172413801</v>
      </c>
      <c r="AG43" s="489"/>
    </row>
    <row r="44" spans="1:33">
      <c r="A44" s="517" t="s">
        <v>1223</v>
      </c>
      <c r="B44" s="42" t="s">
        <v>80</v>
      </c>
      <c r="C44" s="490" t="s">
        <v>89</v>
      </c>
      <c r="D44" s="490"/>
      <c r="E44" s="42">
        <v>26.39</v>
      </c>
      <c r="F44" s="222">
        <v>5804</v>
      </c>
      <c r="G44" s="212">
        <f t="shared" si="27"/>
        <v>153167.56</v>
      </c>
      <c r="H44" s="125" t="s">
        <v>79</v>
      </c>
      <c r="I44" s="220">
        <v>19</v>
      </c>
      <c r="J44" s="37">
        <v>2400</v>
      </c>
      <c r="K44" s="17">
        <f t="shared" si="1"/>
        <v>126.31578947368421</v>
      </c>
      <c r="L44" s="220">
        <v>19</v>
      </c>
      <c r="M44" s="18">
        <f t="shared" si="28"/>
        <v>2291.0526315789471</v>
      </c>
      <c r="N44" s="17">
        <f t="shared" si="3"/>
        <v>120.58171745152353</v>
      </c>
      <c r="O44" s="19">
        <f t="shared" si="4"/>
        <v>0</v>
      </c>
      <c r="P44" s="20">
        <f t="shared" si="5"/>
        <v>-5.7340720221606745</v>
      </c>
      <c r="Q44" s="211">
        <f t="shared" si="6"/>
        <v>0.95460526315789462</v>
      </c>
      <c r="R44" s="489"/>
      <c r="S44" s="40">
        <v>0.22430555555555556</v>
      </c>
      <c r="T44" s="40">
        <v>0.3298611111111111</v>
      </c>
      <c r="U44" s="212">
        <f t="shared" si="30"/>
        <v>6.0000000000000187</v>
      </c>
      <c r="V44" s="221">
        <f t="shared" si="29"/>
        <v>152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-108.94736842105294</v>
      </c>
      <c r="AF44" s="211">
        <f t="shared" si="9"/>
        <v>0.95460526315789462</v>
      </c>
      <c r="AG44" s="489"/>
    </row>
    <row r="45" spans="1:33">
      <c r="A45" s="517" t="s">
        <v>1223</v>
      </c>
      <c r="B45" s="42" t="s">
        <v>80</v>
      </c>
      <c r="C45" s="490" t="s">
        <v>90</v>
      </c>
      <c r="D45" s="490"/>
      <c r="E45" s="42">
        <v>22.69</v>
      </c>
      <c r="F45" s="222">
        <v>2005</v>
      </c>
      <c r="G45" s="212">
        <f t="shared" si="27"/>
        <v>45493.450000000004</v>
      </c>
      <c r="H45" s="125" t="s">
        <v>79</v>
      </c>
      <c r="I45" s="220">
        <v>15</v>
      </c>
      <c r="J45" s="37">
        <v>2400</v>
      </c>
      <c r="K45" s="17">
        <f t="shared" si="1"/>
        <v>160</v>
      </c>
      <c r="L45" s="220">
        <v>15</v>
      </c>
      <c r="M45" s="18">
        <f t="shared" si="28"/>
        <v>2313.4615384615395</v>
      </c>
      <c r="N45" s="17">
        <f t="shared" si="3"/>
        <v>154.23076923076931</v>
      </c>
      <c r="O45" s="19">
        <f t="shared" si="4"/>
        <v>0</v>
      </c>
      <c r="P45" s="20">
        <f t="shared" si="5"/>
        <v>-5.7692307692306883</v>
      </c>
      <c r="Q45" s="211">
        <f t="shared" si="6"/>
        <v>0.96394230769230815</v>
      </c>
      <c r="R45" s="489"/>
      <c r="S45" s="40">
        <v>0.33333333333333331</v>
      </c>
      <c r="T45" s="40">
        <v>0.36944444444444441</v>
      </c>
      <c r="U45" s="212">
        <f t="shared" si="30"/>
        <v>4.9999999999999822</v>
      </c>
      <c r="V45" s="221">
        <f t="shared" si="29"/>
        <v>51.999999999999972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-86.538461538460524</v>
      </c>
      <c r="AF45" s="211">
        <f t="shared" si="9"/>
        <v>0.96394230769230815</v>
      </c>
      <c r="AG45" s="489"/>
    </row>
    <row r="46" spans="1:33">
      <c r="A46" s="517" t="s">
        <v>1223</v>
      </c>
      <c r="B46" s="42" t="s">
        <v>80</v>
      </c>
      <c r="C46" s="490" t="s">
        <v>91</v>
      </c>
      <c r="D46" s="490"/>
      <c r="E46" s="42">
        <v>24.45</v>
      </c>
      <c r="F46" s="222">
        <v>2549</v>
      </c>
      <c r="G46" s="212">
        <f t="shared" si="27"/>
        <v>62323.049999999996</v>
      </c>
      <c r="H46" s="125" t="s">
        <v>79</v>
      </c>
      <c r="I46" s="220">
        <v>20</v>
      </c>
      <c r="J46" s="37">
        <v>2400</v>
      </c>
      <c r="K46" s="17">
        <f t="shared" si="1"/>
        <v>120</v>
      </c>
      <c r="L46" s="220">
        <v>20</v>
      </c>
      <c r="M46" s="18">
        <f t="shared" si="28"/>
        <v>2282.686567164179</v>
      </c>
      <c r="N46" s="17">
        <f t="shared" si="3"/>
        <v>114.13432835820895</v>
      </c>
      <c r="O46" s="19">
        <f t="shared" si="4"/>
        <v>0</v>
      </c>
      <c r="P46" s="20">
        <f t="shared" si="5"/>
        <v>-5.865671641791053</v>
      </c>
      <c r="Q46" s="211">
        <f t="shared" si="6"/>
        <v>0.95111940298507458</v>
      </c>
      <c r="R46" s="489"/>
      <c r="S46" s="40">
        <v>0.37499999999999994</v>
      </c>
      <c r="T46" s="40">
        <v>0.42152777777777772</v>
      </c>
      <c r="U46" s="212">
        <f t="shared" si="30"/>
        <v>7.9999999999999716</v>
      </c>
      <c r="V46" s="221">
        <f t="shared" si="29"/>
        <v>67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-117.313432835821</v>
      </c>
      <c r="AF46" s="211">
        <f t="shared" si="9"/>
        <v>0.95111940298507458</v>
      </c>
      <c r="AG46" s="489"/>
    </row>
    <row r="47" spans="1:33">
      <c r="A47" s="517" t="s">
        <v>1223</v>
      </c>
      <c r="B47" s="42" t="s">
        <v>80</v>
      </c>
      <c r="C47" s="490" t="s">
        <v>1224</v>
      </c>
      <c r="D47" s="490"/>
      <c r="E47" s="42">
        <v>21.68</v>
      </c>
      <c r="F47" s="222">
        <v>4600</v>
      </c>
      <c r="G47" s="212">
        <f t="shared" si="27"/>
        <v>99728</v>
      </c>
      <c r="H47" s="125">
        <v>2</v>
      </c>
      <c r="I47" s="220">
        <v>16</v>
      </c>
      <c r="J47" s="37">
        <v>2400</v>
      </c>
      <c r="K47" s="17">
        <f t="shared" si="1"/>
        <v>150</v>
      </c>
      <c r="L47" s="220">
        <v>16</v>
      </c>
      <c r="M47" s="18">
        <f t="shared" si="28"/>
        <v>2299.9999999999991</v>
      </c>
      <c r="N47" s="17">
        <f t="shared" si="3"/>
        <v>143.74999999999994</v>
      </c>
      <c r="O47" s="19">
        <f t="shared" si="4"/>
        <v>0</v>
      </c>
      <c r="P47" s="20">
        <f t="shared" si="5"/>
        <v>-6.2500000000000568</v>
      </c>
      <c r="Q47" s="211">
        <f t="shared" si="6"/>
        <v>0.95833333333333293</v>
      </c>
      <c r="R47" s="489"/>
      <c r="S47" s="40">
        <v>0.42638888888888882</v>
      </c>
      <c r="T47" s="40">
        <v>0.50972222222222219</v>
      </c>
      <c r="U47" s="212">
        <f t="shared" si="30"/>
        <v>6.9999999999999751</v>
      </c>
      <c r="V47" s="221">
        <f t="shared" si="29"/>
        <v>120.00000000000006</v>
      </c>
      <c r="W47" s="23">
        <f>T47</f>
        <v>0.50972222222222219</v>
      </c>
      <c r="X47" s="23">
        <f>S48</f>
        <v>0.54791666666666661</v>
      </c>
      <c r="Y47" s="26"/>
      <c r="Z47" s="26"/>
      <c r="AA47" s="503"/>
      <c r="AB47" s="504"/>
      <c r="AC47" s="154"/>
      <c r="AD47" s="25"/>
      <c r="AE47" s="19">
        <f t="shared" si="8"/>
        <v>-100.00000000000091</v>
      </c>
      <c r="AF47" s="211">
        <f t="shared" si="9"/>
        <v>0.95833333333333293</v>
      </c>
      <c r="AG47" s="489"/>
    </row>
    <row r="48" spans="1:33">
      <c r="A48" s="517" t="s">
        <v>1223</v>
      </c>
      <c r="B48" s="42" t="s">
        <v>80</v>
      </c>
      <c r="C48" s="490" t="s">
        <v>1224</v>
      </c>
      <c r="D48" s="490"/>
      <c r="E48" s="42">
        <v>21.68</v>
      </c>
      <c r="F48" s="222">
        <v>6740</v>
      </c>
      <c r="G48" s="212">
        <f t="shared" si="27"/>
        <v>146123.20000000001</v>
      </c>
      <c r="H48" s="125" t="s">
        <v>79</v>
      </c>
      <c r="I48" s="220">
        <v>16</v>
      </c>
      <c r="J48" s="37">
        <v>2400</v>
      </c>
      <c r="K48" s="17">
        <f t="shared" si="1"/>
        <v>150</v>
      </c>
      <c r="L48" s="220">
        <v>16</v>
      </c>
      <c r="M48" s="18">
        <f t="shared" si="28"/>
        <v>2297.727272727273</v>
      </c>
      <c r="N48" s="17">
        <f t="shared" si="3"/>
        <v>143.60795454545456</v>
      </c>
      <c r="O48" s="19">
        <f t="shared" si="4"/>
        <v>0</v>
      </c>
      <c r="P48" s="20">
        <f t="shared" si="5"/>
        <v>-6.392045454545439</v>
      </c>
      <c r="Q48" s="211">
        <f t="shared" si="6"/>
        <v>0.95738636363636376</v>
      </c>
      <c r="R48" s="489"/>
      <c r="S48" s="40">
        <v>0.54791666666666661</v>
      </c>
      <c r="T48" s="40">
        <v>0.67013888888888884</v>
      </c>
      <c r="U48" s="212">
        <f t="shared" si="30"/>
        <v>54.999999999999964</v>
      </c>
      <c r="V48" s="221">
        <f t="shared" si="29"/>
        <v>176</v>
      </c>
      <c r="W48" s="23"/>
      <c r="X48" s="23"/>
      <c r="Y48" s="26"/>
      <c r="Z48" s="26"/>
      <c r="AA48" s="503"/>
      <c r="AB48" s="504"/>
      <c r="AC48" s="154"/>
      <c r="AD48" s="25"/>
      <c r="AE48" s="19">
        <f t="shared" si="8"/>
        <v>-102.27272727272702</v>
      </c>
      <c r="AF48" s="211">
        <f t="shared" si="9"/>
        <v>0.95738636363636376</v>
      </c>
      <c r="AG48" s="489"/>
    </row>
    <row r="49" spans="1:33">
      <c r="A49" s="517" t="s">
        <v>1223</v>
      </c>
      <c r="B49" s="42" t="s">
        <v>80</v>
      </c>
      <c r="C49" s="490" t="s">
        <v>87</v>
      </c>
      <c r="D49" s="490"/>
      <c r="E49" s="42">
        <v>26.2</v>
      </c>
      <c r="F49" s="222">
        <v>2652</v>
      </c>
      <c r="G49" s="212">
        <f t="shared" si="27"/>
        <v>69482.399999999994</v>
      </c>
      <c r="H49" s="125" t="s">
        <v>79</v>
      </c>
      <c r="I49" s="220">
        <v>18</v>
      </c>
      <c r="J49" s="37">
        <v>2400</v>
      </c>
      <c r="K49" s="17">
        <f t="shared" si="1"/>
        <v>133.33333333333334</v>
      </c>
      <c r="L49" s="220">
        <v>18</v>
      </c>
      <c r="M49" s="18">
        <f t="shared" si="28"/>
        <v>2306.0869565217417</v>
      </c>
      <c r="N49" s="17">
        <f t="shared" si="3"/>
        <v>128.11594202898564</v>
      </c>
      <c r="O49" s="19">
        <f t="shared" si="4"/>
        <v>0</v>
      </c>
      <c r="P49" s="20">
        <f t="shared" si="5"/>
        <v>-5.2173913043477</v>
      </c>
      <c r="Q49" s="211">
        <f t="shared" si="6"/>
        <v>0.96086956521739231</v>
      </c>
      <c r="R49" s="489"/>
      <c r="S49" s="40">
        <v>0.67569444444444438</v>
      </c>
      <c r="T49" s="40">
        <v>0.72361111111111098</v>
      </c>
      <c r="U49" s="212">
        <f t="shared" si="30"/>
        <v>7.9999999999999716</v>
      </c>
      <c r="V49" s="221">
        <f t="shared" si="29"/>
        <v>68.999999999999915</v>
      </c>
      <c r="W49" s="23"/>
      <c r="X49" s="23"/>
      <c r="Y49" s="26"/>
      <c r="Z49" s="26"/>
      <c r="AA49" s="503"/>
      <c r="AB49" s="504"/>
      <c r="AC49" s="154"/>
      <c r="AD49" s="25"/>
      <c r="AE49" s="19">
        <f t="shared" si="8"/>
        <v>-93.91304347825826</v>
      </c>
      <c r="AF49" s="211">
        <f t="shared" si="9"/>
        <v>0.96086956521739242</v>
      </c>
      <c r="AG49" s="489"/>
    </row>
    <row r="50" spans="1:33">
      <c r="A50" s="517" t="s">
        <v>1223</v>
      </c>
      <c r="B50" s="44" t="s">
        <v>1218</v>
      </c>
      <c r="C50" s="494"/>
      <c r="D50" s="494"/>
      <c r="E50" s="213"/>
      <c r="F50" s="44"/>
      <c r="G50" s="17"/>
      <c r="H50" s="222"/>
      <c r="I50" s="30">
        <v>17.333333333333332</v>
      </c>
      <c r="J50" s="37">
        <v>2400</v>
      </c>
      <c r="K50" s="17">
        <f t="shared" si="1"/>
        <v>138.46153846153848</v>
      </c>
      <c r="L50" s="30">
        <v>17.333333333333332</v>
      </c>
      <c r="M50" s="18">
        <f>AVERAGE(M41:M49)</f>
        <v>2289.225836566769</v>
      </c>
      <c r="N50" s="17">
        <f t="shared" si="3"/>
        <v>132.07072134039052</v>
      </c>
      <c r="O50" s="19">
        <f t="shared" si="4"/>
        <v>0</v>
      </c>
      <c r="P50" s="20">
        <f t="shared" si="5"/>
        <v>-6.3908171211479612</v>
      </c>
      <c r="Q50" s="211">
        <f t="shared" si="6"/>
        <v>0.95384409856948693</v>
      </c>
      <c r="R50" s="489"/>
      <c r="S50" s="40"/>
      <c r="T50" s="40"/>
      <c r="U50" s="17"/>
      <c r="V50" s="221"/>
      <c r="W50" s="17"/>
      <c r="X50" s="17"/>
      <c r="Y50" s="31">
        <f>SUM(Y41:Y49)</f>
        <v>0</v>
      </c>
      <c r="Z50" s="31">
        <f>SUM(Z41:Z49)</f>
        <v>0</v>
      </c>
      <c r="AA50" s="495"/>
      <c r="AB50" s="495"/>
      <c r="AC50" s="31">
        <v>10</v>
      </c>
      <c r="AD50" s="31">
        <f>SUM(AD41:AD49)</f>
        <v>0</v>
      </c>
      <c r="AE50" s="19">
        <f t="shared" si="8"/>
        <v>-110.77416343323102</v>
      </c>
      <c r="AF50" s="211">
        <f t="shared" si="9"/>
        <v>0.95384409856948704</v>
      </c>
      <c r="AG50" s="489"/>
    </row>
    <row r="51" spans="1:33" ht="15.75" customHeight="1">
      <c r="A51" s="512" t="s">
        <v>1225</v>
      </c>
      <c r="B51" s="42" t="s">
        <v>93</v>
      </c>
      <c r="C51" s="501" t="s">
        <v>94</v>
      </c>
      <c r="D51" s="502"/>
      <c r="E51" s="42">
        <v>21.13</v>
      </c>
      <c r="F51" s="222">
        <v>5546</v>
      </c>
      <c r="G51" s="212">
        <f t="shared" ref="G51:G58" si="31">E51*F51</f>
        <v>117186.98</v>
      </c>
      <c r="H51" s="125" t="s">
        <v>79</v>
      </c>
      <c r="I51" s="220">
        <v>10</v>
      </c>
      <c r="J51" s="37">
        <v>3000</v>
      </c>
      <c r="K51" s="17">
        <f t="shared" si="1"/>
        <v>300</v>
      </c>
      <c r="L51" s="220">
        <v>10</v>
      </c>
      <c r="M51" s="18">
        <f t="shared" ref="M51:M58" si="32">F51/V51*60</f>
        <v>2868.6206896551721</v>
      </c>
      <c r="N51" s="18">
        <f t="shared" si="3"/>
        <v>286.86206896551721</v>
      </c>
      <c r="O51" s="19">
        <f t="shared" si="4"/>
        <v>0</v>
      </c>
      <c r="P51" s="20">
        <f t="shared" si="5"/>
        <v>-13.13793103448279</v>
      </c>
      <c r="Q51" s="211">
        <f t="shared" si="6"/>
        <v>0.95620689655172408</v>
      </c>
      <c r="R51" s="509">
        <f>Q59</f>
        <v>0.95698775722685103</v>
      </c>
      <c r="S51" s="40">
        <v>8.3333333333333329E-2</v>
      </c>
      <c r="T51" s="40">
        <v>0.16388888888888889</v>
      </c>
      <c r="U51" s="28"/>
      <c r="V51" s="221">
        <f t="shared" ref="V51:V58" si="33">(T51-S51)*24*60</f>
        <v>116.00000000000001</v>
      </c>
      <c r="W51" s="23">
        <f>T51</f>
        <v>0.16388888888888889</v>
      </c>
      <c r="X51" s="23">
        <f>S52</f>
        <v>0.18263888888888888</v>
      </c>
      <c r="Y51" s="26"/>
      <c r="Z51" s="26"/>
      <c r="AA51" s="503"/>
      <c r="AB51" s="504"/>
      <c r="AC51" s="154">
        <v>1</v>
      </c>
      <c r="AD51" s="25"/>
      <c r="AE51" s="19">
        <f t="shared" si="8"/>
        <v>-131.3793103448279</v>
      </c>
      <c r="AF51" s="211">
        <f t="shared" si="9"/>
        <v>0.95620689655172408</v>
      </c>
      <c r="AG51" s="509">
        <f>AF59</f>
        <v>0.95698775722685103</v>
      </c>
    </row>
    <row r="52" spans="1:33" ht="15.75" customHeight="1">
      <c r="A52" s="513" t="s">
        <v>1226</v>
      </c>
      <c r="B52" s="42" t="s">
        <v>93</v>
      </c>
      <c r="C52" s="501" t="s">
        <v>95</v>
      </c>
      <c r="D52" s="502"/>
      <c r="E52" s="42">
        <v>27.17</v>
      </c>
      <c r="F52" s="222">
        <v>4500</v>
      </c>
      <c r="G52" s="212">
        <f t="shared" si="31"/>
        <v>122265.00000000001</v>
      </c>
      <c r="H52" s="125">
        <v>2</v>
      </c>
      <c r="I52" s="220">
        <v>10</v>
      </c>
      <c r="J52" s="37">
        <v>3000</v>
      </c>
      <c r="K52" s="17">
        <f t="shared" si="1"/>
        <v>300</v>
      </c>
      <c r="L52" s="220">
        <v>10</v>
      </c>
      <c r="M52" s="18">
        <f t="shared" si="32"/>
        <v>2872.3404255319142</v>
      </c>
      <c r="N52" s="18">
        <f t="shared" si="3"/>
        <v>287.23404255319144</v>
      </c>
      <c r="O52" s="19">
        <f t="shared" si="4"/>
        <v>0</v>
      </c>
      <c r="P52" s="20">
        <f t="shared" si="5"/>
        <v>-12.765957446808557</v>
      </c>
      <c r="Q52" s="211">
        <f t="shared" si="6"/>
        <v>0.95744680851063813</v>
      </c>
      <c r="R52" s="510"/>
      <c r="S52" s="40">
        <v>0.18263888888888888</v>
      </c>
      <c r="T52" s="40">
        <v>0.24791666666666667</v>
      </c>
      <c r="U52" s="212">
        <f t="shared" ref="U52:U58" si="34">(S52-T51)*24*60</f>
        <v>26.999999999999986</v>
      </c>
      <c r="V52" s="221">
        <f t="shared" si="33"/>
        <v>94.000000000000028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-127.65957446808579</v>
      </c>
      <c r="AF52" s="211">
        <f t="shared" si="9"/>
        <v>0.95744680851063801</v>
      </c>
      <c r="AG52" s="510"/>
    </row>
    <row r="53" spans="1:33" ht="15.75" customHeight="1">
      <c r="A53" s="513" t="s">
        <v>1227</v>
      </c>
      <c r="B53" s="42" t="s">
        <v>93</v>
      </c>
      <c r="C53" s="501" t="s">
        <v>96</v>
      </c>
      <c r="D53" s="502"/>
      <c r="E53" s="42">
        <v>35.119999999999997</v>
      </c>
      <c r="F53" s="222">
        <v>5969</v>
      </c>
      <c r="G53" s="212">
        <f t="shared" si="31"/>
        <v>209631.28</v>
      </c>
      <c r="H53" s="125" t="s">
        <v>79</v>
      </c>
      <c r="I53" s="220">
        <v>10</v>
      </c>
      <c r="J53" s="37">
        <v>3000</v>
      </c>
      <c r="K53" s="17">
        <f t="shared" si="1"/>
        <v>300</v>
      </c>
      <c r="L53" s="220">
        <v>10</v>
      </c>
      <c r="M53" s="18">
        <f t="shared" si="32"/>
        <v>2865.1199999999994</v>
      </c>
      <c r="N53" s="18">
        <f t="shared" si="3"/>
        <v>286.51199999999994</v>
      </c>
      <c r="O53" s="19">
        <f t="shared" si="4"/>
        <v>0</v>
      </c>
      <c r="P53" s="20">
        <f t="shared" si="5"/>
        <v>-13.488000000000056</v>
      </c>
      <c r="Q53" s="211">
        <f t="shared" si="6"/>
        <v>0.95503999999999978</v>
      </c>
      <c r="R53" s="510"/>
      <c r="S53" s="40">
        <v>0.25347222222222221</v>
      </c>
      <c r="T53" s="40">
        <v>0.34027777777777779</v>
      </c>
      <c r="U53" s="212">
        <f t="shared" si="34"/>
        <v>7.9999999999999716</v>
      </c>
      <c r="V53" s="221">
        <f t="shared" si="33"/>
        <v>125.00000000000003</v>
      </c>
      <c r="W53" s="23"/>
      <c r="X53" s="23"/>
      <c r="Y53" s="26"/>
      <c r="Z53" s="26"/>
      <c r="AA53" s="503"/>
      <c r="AB53" s="504"/>
      <c r="AC53" s="154">
        <v>1</v>
      </c>
      <c r="AD53" s="25"/>
      <c r="AE53" s="19">
        <f t="shared" si="8"/>
        <v>-134.88000000000056</v>
      </c>
      <c r="AF53" s="211">
        <f t="shared" si="9"/>
        <v>0.95503999999999978</v>
      </c>
      <c r="AG53" s="510"/>
    </row>
    <row r="54" spans="1:33" ht="15.75" customHeight="1">
      <c r="A54" s="513" t="s">
        <v>1226</v>
      </c>
      <c r="B54" s="42" t="s">
        <v>93</v>
      </c>
      <c r="C54" s="501" t="s">
        <v>97</v>
      </c>
      <c r="D54" s="502"/>
      <c r="E54" s="42">
        <v>31</v>
      </c>
      <c r="F54" s="222">
        <v>1244</v>
      </c>
      <c r="G54" s="212">
        <f t="shared" si="31"/>
        <v>38564</v>
      </c>
      <c r="H54" s="125" t="s">
        <v>79</v>
      </c>
      <c r="I54" s="220">
        <v>13</v>
      </c>
      <c r="J54" s="37">
        <v>2000</v>
      </c>
      <c r="K54" s="17">
        <f t="shared" si="1"/>
        <v>153.84615384615384</v>
      </c>
      <c r="L54" s="220">
        <v>13</v>
      </c>
      <c r="M54" s="18">
        <f t="shared" si="32"/>
        <v>1913.8461538461529</v>
      </c>
      <c r="N54" s="18">
        <f t="shared" si="3"/>
        <v>147.21893491124254</v>
      </c>
      <c r="O54" s="19">
        <f t="shared" si="4"/>
        <v>0</v>
      </c>
      <c r="P54" s="20">
        <f t="shared" si="5"/>
        <v>-6.6272189349112978</v>
      </c>
      <c r="Q54" s="211">
        <f t="shared" si="6"/>
        <v>0.95692307692307654</v>
      </c>
      <c r="R54" s="510"/>
      <c r="S54" s="40">
        <v>0.34513888888888888</v>
      </c>
      <c r="T54" s="40">
        <v>0.37222222222222223</v>
      </c>
      <c r="U54" s="212">
        <f t="shared" si="34"/>
        <v>6.9999999999999751</v>
      </c>
      <c r="V54" s="221">
        <f t="shared" si="33"/>
        <v>39.000000000000021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-86.153846153847098</v>
      </c>
      <c r="AF54" s="211">
        <f t="shared" si="9"/>
        <v>0.95692307692307643</v>
      </c>
      <c r="AG54" s="510"/>
    </row>
    <row r="55" spans="1:33" ht="15.75" customHeight="1">
      <c r="A55" s="513" t="s">
        <v>1226</v>
      </c>
      <c r="B55" s="42" t="s">
        <v>93</v>
      </c>
      <c r="C55" s="501" t="s">
        <v>99</v>
      </c>
      <c r="D55" s="502"/>
      <c r="E55" s="42">
        <v>32.020000000000003</v>
      </c>
      <c r="F55" s="222">
        <v>2443</v>
      </c>
      <c r="G55" s="212">
        <f t="shared" si="31"/>
        <v>78224.86</v>
      </c>
      <c r="H55" s="125" t="s">
        <v>79</v>
      </c>
      <c r="I55" s="220">
        <v>11</v>
      </c>
      <c r="J55" s="37">
        <v>3000</v>
      </c>
      <c r="K55" s="17">
        <f t="shared" si="1"/>
        <v>272.72727272727275</v>
      </c>
      <c r="L55" s="220">
        <v>11</v>
      </c>
      <c r="M55" s="18">
        <f t="shared" si="32"/>
        <v>2874.1176470588248</v>
      </c>
      <c r="N55" s="18">
        <f t="shared" si="3"/>
        <v>261.28342245989319</v>
      </c>
      <c r="O55" s="19">
        <f t="shared" si="4"/>
        <v>0</v>
      </c>
      <c r="P55" s="20">
        <f t="shared" si="5"/>
        <v>-11.44385026737956</v>
      </c>
      <c r="Q55" s="211">
        <f t="shared" si="6"/>
        <v>0.95803921568627493</v>
      </c>
      <c r="R55" s="510"/>
      <c r="S55" s="40">
        <v>0.37708333333333333</v>
      </c>
      <c r="T55" s="40">
        <v>0.41249999999999998</v>
      </c>
      <c r="U55" s="212">
        <f t="shared" si="34"/>
        <v>6.9999999999999751</v>
      </c>
      <c r="V55" s="221">
        <f t="shared" si="33"/>
        <v>50.999999999999979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-125.88235294117521</v>
      </c>
      <c r="AF55" s="211">
        <f t="shared" si="9"/>
        <v>0.95803921568627493</v>
      </c>
      <c r="AG55" s="510"/>
    </row>
    <row r="56" spans="1:33" ht="15.75" customHeight="1">
      <c r="A56" s="513" t="s">
        <v>1226</v>
      </c>
      <c r="B56" s="42" t="s">
        <v>93</v>
      </c>
      <c r="C56" s="501" t="s">
        <v>112</v>
      </c>
      <c r="D56" s="502"/>
      <c r="E56" s="42">
        <v>35.869999999999997</v>
      </c>
      <c r="F56" s="222">
        <v>3235</v>
      </c>
      <c r="G56" s="212">
        <f t="shared" si="31"/>
        <v>116039.45</v>
      </c>
      <c r="H56" s="125" t="s">
        <v>79</v>
      </c>
      <c r="I56" s="220">
        <v>9</v>
      </c>
      <c r="J56" s="37">
        <v>3000</v>
      </c>
      <c r="K56" s="17">
        <f t="shared" si="1"/>
        <v>333.33333333333331</v>
      </c>
      <c r="L56" s="220">
        <v>9</v>
      </c>
      <c r="M56" s="18">
        <f t="shared" si="32"/>
        <v>2854.411764705882</v>
      </c>
      <c r="N56" s="18">
        <f t="shared" si="3"/>
        <v>317.15686274509801</v>
      </c>
      <c r="O56" s="19">
        <f t="shared" si="4"/>
        <v>0</v>
      </c>
      <c r="P56" s="20">
        <f t="shared" si="5"/>
        <v>-16.176470588235304</v>
      </c>
      <c r="Q56" s="211">
        <f t="shared" si="6"/>
        <v>0.95147058823529407</v>
      </c>
      <c r="R56" s="510"/>
      <c r="S56" s="40">
        <v>0.41736111111111107</v>
      </c>
      <c r="T56" s="40">
        <v>0.46458333333333329</v>
      </c>
      <c r="U56" s="212">
        <f t="shared" si="34"/>
        <v>6.9999999999999751</v>
      </c>
      <c r="V56" s="221">
        <f t="shared" si="33"/>
        <v>68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-145.58823529411802</v>
      </c>
      <c r="AF56" s="211">
        <f t="shared" si="9"/>
        <v>0.95147058823529396</v>
      </c>
      <c r="AG56" s="510"/>
    </row>
    <row r="57" spans="1:33" ht="15.75" customHeight="1">
      <c r="A57" s="513" t="s">
        <v>65</v>
      </c>
      <c r="B57" s="42" t="s">
        <v>93</v>
      </c>
      <c r="C57" s="501" t="s">
        <v>113</v>
      </c>
      <c r="D57" s="502"/>
      <c r="E57" s="42">
        <v>34.36</v>
      </c>
      <c r="F57" s="222">
        <v>1828</v>
      </c>
      <c r="G57" s="212">
        <f t="shared" si="31"/>
        <v>62810.080000000002</v>
      </c>
      <c r="H57" s="125" t="s">
        <v>79</v>
      </c>
      <c r="I57" s="220">
        <v>10</v>
      </c>
      <c r="J57" s="37">
        <v>3000</v>
      </c>
      <c r="K57" s="17">
        <f t="shared" si="1"/>
        <v>300</v>
      </c>
      <c r="L57" s="220">
        <v>10</v>
      </c>
      <c r="M57" s="18">
        <f t="shared" si="32"/>
        <v>2886.3157894736823</v>
      </c>
      <c r="N57" s="18">
        <f t="shared" si="3"/>
        <v>288.63157894736821</v>
      </c>
      <c r="O57" s="19">
        <f t="shared" si="4"/>
        <v>0</v>
      </c>
      <c r="P57" s="20">
        <f t="shared" si="5"/>
        <v>-11.368421052631788</v>
      </c>
      <c r="Q57" s="211">
        <f t="shared" si="6"/>
        <v>0.96210526315789402</v>
      </c>
      <c r="R57" s="510"/>
      <c r="S57" s="40">
        <v>0.4680555555555555</v>
      </c>
      <c r="T57" s="40">
        <v>0.49444444444444441</v>
      </c>
      <c r="U57" s="212">
        <f t="shared" si="34"/>
        <v>4.9999999999999822</v>
      </c>
      <c r="V57" s="221">
        <f t="shared" si="33"/>
        <v>38.000000000000028</v>
      </c>
      <c r="W57" s="23">
        <f>T57</f>
        <v>0.49444444444444441</v>
      </c>
      <c r="X57" s="23">
        <f>S58</f>
        <v>0.53611111111111109</v>
      </c>
      <c r="Y57" s="26"/>
      <c r="Z57" s="26"/>
      <c r="AA57" s="503"/>
      <c r="AB57" s="504"/>
      <c r="AC57" s="154" t="s">
        <v>79</v>
      </c>
      <c r="AD57" s="25"/>
      <c r="AE57" s="19">
        <f t="shared" si="8"/>
        <v>-113.68421052631766</v>
      </c>
      <c r="AF57" s="211">
        <f t="shared" si="9"/>
        <v>0.96210526315789413</v>
      </c>
      <c r="AG57" s="510"/>
    </row>
    <row r="58" spans="1:33" ht="15.75" customHeight="1">
      <c r="A58" s="513" t="s">
        <v>1226</v>
      </c>
      <c r="B58" s="42" t="s">
        <v>93</v>
      </c>
      <c r="C58" s="501" t="s">
        <v>95</v>
      </c>
      <c r="D58" s="502"/>
      <c r="E58" s="42">
        <v>27.17</v>
      </c>
      <c r="F58" s="222">
        <v>3547</v>
      </c>
      <c r="G58" s="212">
        <f t="shared" si="31"/>
        <v>96371.99</v>
      </c>
      <c r="H58" s="125" t="s">
        <v>79</v>
      </c>
      <c r="I58" s="220">
        <v>10</v>
      </c>
      <c r="J58" s="37">
        <v>3000</v>
      </c>
      <c r="K58" s="17">
        <f t="shared" si="1"/>
        <v>300</v>
      </c>
      <c r="L58" s="220">
        <v>10</v>
      </c>
      <c r="M58" s="18">
        <f t="shared" si="32"/>
        <v>2875.9459459459435</v>
      </c>
      <c r="N58" s="18">
        <f t="shared" si="3"/>
        <v>287.59459459459435</v>
      </c>
      <c r="O58" s="19">
        <f t="shared" si="4"/>
        <v>0</v>
      </c>
      <c r="P58" s="20">
        <f t="shared" si="5"/>
        <v>-12.405405405405645</v>
      </c>
      <c r="Q58" s="211">
        <f t="shared" si="6"/>
        <v>0.95864864864864785</v>
      </c>
      <c r="R58" s="510"/>
      <c r="S58" s="40">
        <v>0.53611111111111109</v>
      </c>
      <c r="T58" s="40">
        <v>0.58750000000000002</v>
      </c>
      <c r="U58" s="212">
        <f t="shared" si="34"/>
        <v>60.000000000000028</v>
      </c>
      <c r="V58" s="221">
        <f t="shared" si="33"/>
        <v>74.000000000000057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-124.05405405405645</v>
      </c>
      <c r="AF58" s="211">
        <f t="shared" si="9"/>
        <v>0.95864864864864785</v>
      </c>
      <c r="AG58" s="510"/>
    </row>
    <row r="59" spans="1:33" ht="15.75" customHeight="1">
      <c r="A59" s="514" t="s">
        <v>1226</v>
      </c>
      <c r="B59" s="42" t="s">
        <v>1228</v>
      </c>
      <c r="C59" s="492"/>
      <c r="D59" s="493"/>
      <c r="E59" s="215"/>
      <c r="F59" s="222"/>
      <c r="G59" s="212"/>
      <c r="H59" s="222"/>
      <c r="I59" s="30">
        <v>10.375</v>
      </c>
      <c r="J59" s="37">
        <v>2875</v>
      </c>
      <c r="K59" s="17">
        <f t="shared" si="1"/>
        <v>277.10843373493975</v>
      </c>
      <c r="L59" s="30">
        <v>10.375</v>
      </c>
      <c r="M59" s="18">
        <f>AVERAGE(M51:M58)</f>
        <v>2751.3398020271966</v>
      </c>
      <c r="N59" s="17">
        <f t="shared" si="3"/>
        <v>265.18937850864546</v>
      </c>
      <c r="O59" s="19">
        <f t="shared" si="4"/>
        <v>0</v>
      </c>
      <c r="P59" s="20">
        <f t="shared" si="5"/>
        <v>-11.91905522629429</v>
      </c>
      <c r="Q59" s="211">
        <f t="shared" si="6"/>
        <v>0.95698775722685103</v>
      </c>
      <c r="R59" s="511"/>
      <c r="S59" s="40"/>
      <c r="T59" s="40"/>
      <c r="U59" s="212"/>
      <c r="V59" s="221"/>
      <c r="W59" s="23"/>
      <c r="X59" s="23"/>
      <c r="Y59" s="31">
        <f>SUM(Y51:Y58)</f>
        <v>0</v>
      </c>
      <c r="Z59" s="31">
        <f>SUM(Z51:Z58)</f>
        <v>0</v>
      </c>
      <c r="AA59" s="505"/>
      <c r="AB59" s="506"/>
      <c r="AC59" s="31">
        <v>2</v>
      </c>
      <c r="AD59" s="31">
        <f>SUM(AD51:AD58)</f>
        <v>0</v>
      </c>
      <c r="AE59" s="19">
        <f t="shared" si="8"/>
        <v>-123.66019797280342</v>
      </c>
      <c r="AF59" s="211">
        <f t="shared" si="9"/>
        <v>0.95698775722685103</v>
      </c>
      <c r="AG59" s="511"/>
    </row>
    <row r="60" spans="1:33" ht="15.75" customHeight="1">
      <c r="A60" s="507" t="s">
        <v>67</v>
      </c>
      <c r="B60" s="42" t="s">
        <v>100</v>
      </c>
      <c r="C60" s="490" t="s">
        <v>101</v>
      </c>
      <c r="D60" s="490"/>
      <c r="E60" s="42">
        <v>46</v>
      </c>
      <c r="F60" s="46">
        <v>1510</v>
      </c>
      <c r="G60" s="212">
        <f t="shared" ref="G60:G66" si="35">E60*F60</f>
        <v>69460</v>
      </c>
      <c r="H60" s="125" t="s">
        <v>79</v>
      </c>
      <c r="I60" s="220">
        <v>17</v>
      </c>
      <c r="J60" s="37">
        <v>2000</v>
      </c>
      <c r="K60" s="17">
        <f t="shared" si="1"/>
        <v>117.64705882352941</v>
      </c>
      <c r="L60" s="220">
        <v>17</v>
      </c>
      <c r="M60" s="18">
        <f t="shared" ref="M60:M66" si="36">F60/V60*60</f>
        <v>1927.6595744680853</v>
      </c>
      <c r="N60" s="18">
        <f t="shared" si="3"/>
        <v>113.39173967459325</v>
      </c>
      <c r="O60" s="19">
        <f t="shared" si="4"/>
        <v>0</v>
      </c>
      <c r="P60" s="20">
        <f t="shared" si="5"/>
        <v>-4.2553191489361524</v>
      </c>
      <c r="Q60" s="211">
        <f t="shared" si="6"/>
        <v>0.96382978723404267</v>
      </c>
      <c r="R60" s="489">
        <f>Q67</f>
        <v>0.93063605638193614</v>
      </c>
      <c r="S60" s="40">
        <v>0.20833333333333334</v>
      </c>
      <c r="T60" s="40">
        <v>0.24097222222222223</v>
      </c>
      <c r="U60" s="28"/>
      <c r="V60" s="221">
        <f t="shared" ref="V60:V66" si="37">(T60-S60)*24*60</f>
        <v>46.999999999999993</v>
      </c>
      <c r="W60" s="28"/>
      <c r="X60" s="28"/>
      <c r="Y60" s="28"/>
      <c r="Z60" s="28"/>
      <c r="AA60" s="491"/>
      <c r="AB60" s="491"/>
      <c r="AC60" s="154">
        <v>4</v>
      </c>
      <c r="AD60" s="25"/>
      <c r="AE60" s="19">
        <f t="shared" si="8"/>
        <v>-72.340425531914661</v>
      </c>
      <c r="AF60" s="211">
        <f t="shared" si="9"/>
        <v>0.96382978723404267</v>
      </c>
      <c r="AG60" s="489">
        <f>AF67</f>
        <v>0.93063605638193614</v>
      </c>
    </row>
    <row r="61" spans="1:33" ht="15.75" customHeight="1">
      <c r="A61" s="507" t="s">
        <v>67</v>
      </c>
      <c r="B61" s="42" t="s">
        <v>100</v>
      </c>
      <c r="C61" s="490" t="s">
        <v>102</v>
      </c>
      <c r="D61" s="490"/>
      <c r="E61" s="42">
        <v>46</v>
      </c>
      <c r="F61" s="46">
        <v>1617</v>
      </c>
      <c r="G61" s="212">
        <f t="shared" si="35"/>
        <v>74382</v>
      </c>
      <c r="H61" s="125" t="s">
        <v>79</v>
      </c>
      <c r="I61" s="220">
        <v>17</v>
      </c>
      <c r="J61" s="37">
        <v>2000</v>
      </c>
      <c r="K61" s="17">
        <f t="shared" si="1"/>
        <v>117.64705882352941</v>
      </c>
      <c r="L61" s="220">
        <v>17</v>
      </c>
      <c r="M61" s="18">
        <f t="shared" si="36"/>
        <v>1940.3999999999994</v>
      </c>
      <c r="N61" s="18">
        <f t="shared" si="3"/>
        <v>114.14117647058821</v>
      </c>
      <c r="O61" s="19">
        <f t="shared" si="4"/>
        <v>0</v>
      </c>
      <c r="P61" s="20">
        <f t="shared" si="5"/>
        <v>-3.5058823529411995</v>
      </c>
      <c r="Q61" s="211">
        <f t="shared" si="6"/>
        <v>0.97019999999999984</v>
      </c>
      <c r="R61" s="489"/>
      <c r="S61" s="40">
        <v>0.24444444444444444</v>
      </c>
      <c r="T61" s="40">
        <v>0.27916666666666667</v>
      </c>
      <c r="U61" s="212">
        <f t="shared" ref="U61:U66" si="38">IF(S61=TIME(17,0,0),"",(S61-T60)*24*60)</f>
        <v>4.9999999999999822</v>
      </c>
      <c r="V61" s="221">
        <f t="shared" si="37"/>
        <v>50.000000000000021</v>
      </c>
      <c r="W61" s="23"/>
      <c r="X61" s="23"/>
      <c r="Y61" s="23"/>
      <c r="Z61" s="23"/>
      <c r="AA61" s="491"/>
      <c r="AB61" s="491"/>
      <c r="AC61" s="154"/>
      <c r="AD61" s="25"/>
      <c r="AE61" s="19">
        <f t="shared" si="8"/>
        <v>-59.600000000000591</v>
      </c>
      <c r="AF61" s="211">
        <f t="shared" si="9"/>
        <v>0.97019999999999973</v>
      </c>
      <c r="AG61" s="489"/>
    </row>
    <row r="62" spans="1:33" ht="15.75" customHeight="1">
      <c r="A62" s="507" t="s">
        <v>1229</v>
      </c>
      <c r="B62" s="42" t="s">
        <v>103</v>
      </c>
      <c r="C62" s="501" t="s">
        <v>105</v>
      </c>
      <c r="D62" s="502"/>
      <c r="E62" s="42">
        <v>56.43</v>
      </c>
      <c r="F62" s="46">
        <v>2022</v>
      </c>
      <c r="G62" s="212">
        <f t="shared" si="35"/>
        <v>114101.46</v>
      </c>
      <c r="H62" s="125" t="s">
        <v>79</v>
      </c>
      <c r="I62" s="220">
        <v>22</v>
      </c>
      <c r="J62" s="37">
        <v>2000</v>
      </c>
      <c r="K62" s="17">
        <f t="shared" si="1"/>
        <v>90.909090909090907</v>
      </c>
      <c r="L62" s="220">
        <v>22</v>
      </c>
      <c r="M62" s="18">
        <f t="shared" si="36"/>
        <v>1708.7323943661977</v>
      </c>
      <c r="N62" s="18">
        <f t="shared" si="3"/>
        <v>77.669654289372616</v>
      </c>
      <c r="O62" s="19">
        <f t="shared" si="4"/>
        <v>0</v>
      </c>
      <c r="P62" s="20">
        <f t="shared" si="5"/>
        <v>-13.23943661971829</v>
      </c>
      <c r="Q62" s="211">
        <f t="shared" si="6"/>
        <v>0.85436619718309881</v>
      </c>
      <c r="R62" s="489"/>
      <c r="S62" s="40">
        <v>0.28402777777777777</v>
      </c>
      <c r="T62" s="40">
        <v>0.33333333333333331</v>
      </c>
      <c r="U62" s="212">
        <f t="shared" si="38"/>
        <v>6.9999999999999751</v>
      </c>
      <c r="V62" s="221">
        <f t="shared" si="37"/>
        <v>70.999999999999986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-291.2676056338023</v>
      </c>
      <c r="AF62" s="211">
        <f t="shared" si="9"/>
        <v>0.85436619718309881</v>
      </c>
      <c r="AG62" s="489"/>
    </row>
    <row r="63" spans="1:33" ht="15.75" customHeight="1">
      <c r="A63" s="507" t="s">
        <v>1230</v>
      </c>
      <c r="B63" s="42" t="s">
        <v>103</v>
      </c>
      <c r="C63" s="216" t="s">
        <v>518</v>
      </c>
      <c r="D63" s="217"/>
      <c r="E63" s="42">
        <v>51.75</v>
      </c>
      <c r="F63" s="46">
        <v>1413</v>
      </c>
      <c r="G63" s="212">
        <f t="shared" si="35"/>
        <v>73122.75</v>
      </c>
      <c r="H63" s="125" t="s">
        <v>79</v>
      </c>
      <c r="I63" s="220">
        <v>25</v>
      </c>
      <c r="J63" s="37">
        <v>2000</v>
      </c>
      <c r="K63" s="17">
        <f t="shared" si="1"/>
        <v>80</v>
      </c>
      <c r="L63" s="220">
        <v>25</v>
      </c>
      <c r="M63" s="18">
        <f t="shared" si="36"/>
        <v>1695.5999999999976</v>
      </c>
      <c r="N63" s="18">
        <f t="shared" si="3"/>
        <v>67.823999999999899</v>
      </c>
      <c r="O63" s="19">
        <f t="shared" si="4"/>
        <v>0</v>
      </c>
      <c r="P63" s="20">
        <f t="shared" si="5"/>
        <v>-12.176000000000101</v>
      </c>
      <c r="Q63" s="211">
        <f t="shared" si="6"/>
        <v>0.84779999999999878</v>
      </c>
      <c r="R63" s="489"/>
      <c r="S63" s="40">
        <v>0.33749999999999997</v>
      </c>
      <c r="T63" s="40">
        <v>0.37222222222222223</v>
      </c>
      <c r="U63" s="212">
        <f t="shared" si="38"/>
        <v>5.9999999999999787</v>
      </c>
      <c r="V63" s="221">
        <f t="shared" si="37"/>
        <v>50.000000000000064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-304.40000000000236</v>
      </c>
      <c r="AF63" s="211">
        <f t="shared" si="9"/>
        <v>0.84779999999999878</v>
      </c>
      <c r="AG63" s="489"/>
    </row>
    <row r="64" spans="1:33" ht="15.75" customHeight="1">
      <c r="A64" s="507" t="s">
        <v>67</v>
      </c>
      <c r="B64" s="42" t="s">
        <v>103</v>
      </c>
      <c r="C64" s="216" t="s">
        <v>106</v>
      </c>
      <c r="D64" s="217"/>
      <c r="E64" s="42">
        <v>55.56</v>
      </c>
      <c r="F64" s="46">
        <v>2023</v>
      </c>
      <c r="G64" s="212">
        <f t="shared" si="35"/>
        <v>112397.88</v>
      </c>
      <c r="H64" s="125" t="s">
        <v>79</v>
      </c>
      <c r="I64" s="220">
        <v>17</v>
      </c>
      <c r="J64" s="37">
        <v>2000</v>
      </c>
      <c r="K64" s="17">
        <f t="shared" si="1"/>
        <v>117.64705882352941</v>
      </c>
      <c r="L64" s="220">
        <v>17</v>
      </c>
      <c r="M64" s="18">
        <f t="shared" si="36"/>
        <v>1926.6666666666686</v>
      </c>
      <c r="N64" s="18">
        <f t="shared" si="3"/>
        <v>113.33333333333344</v>
      </c>
      <c r="O64" s="19">
        <f t="shared" si="4"/>
        <v>0</v>
      </c>
      <c r="P64" s="20">
        <f t="shared" si="5"/>
        <v>-4.3137254901959636</v>
      </c>
      <c r="Q64" s="211">
        <f t="shared" si="6"/>
        <v>0.96333333333333426</v>
      </c>
      <c r="R64" s="489"/>
      <c r="S64" s="40">
        <v>0.70833333333333337</v>
      </c>
      <c r="T64" s="40">
        <v>0.75208333333333333</v>
      </c>
      <c r="U64" s="212" t="str">
        <f t="shared" si="38"/>
        <v/>
      </c>
      <c r="V64" s="221">
        <f t="shared" si="37"/>
        <v>62.999999999999936</v>
      </c>
      <c r="W64" s="23"/>
      <c r="X64" s="23"/>
      <c r="Y64" s="26"/>
      <c r="Z64" s="26"/>
      <c r="AA64" s="491"/>
      <c r="AB64" s="491"/>
      <c r="AC64" s="154"/>
      <c r="AD64" s="25"/>
      <c r="AE64" s="19">
        <f t="shared" si="8"/>
        <v>-73.333333333331439</v>
      </c>
      <c r="AF64" s="211">
        <f t="shared" si="9"/>
        <v>0.96333333333333426</v>
      </c>
      <c r="AG64" s="489"/>
    </row>
    <row r="65" spans="1:33" ht="15.75" customHeight="1">
      <c r="A65" s="507" t="s">
        <v>1231</v>
      </c>
      <c r="B65" s="42" t="s">
        <v>103</v>
      </c>
      <c r="C65" s="501" t="s">
        <v>107</v>
      </c>
      <c r="D65" s="502"/>
      <c r="E65" s="42">
        <v>55.32</v>
      </c>
      <c r="F65" s="46">
        <v>1440</v>
      </c>
      <c r="G65" s="212">
        <f t="shared" si="35"/>
        <v>79660.800000000003</v>
      </c>
      <c r="H65" s="125" t="s">
        <v>79</v>
      </c>
      <c r="I65" s="220">
        <v>15</v>
      </c>
      <c r="J65" s="37">
        <v>2000</v>
      </c>
      <c r="K65" s="17">
        <f t="shared" si="1"/>
        <v>133.33333333333334</v>
      </c>
      <c r="L65" s="220">
        <v>15</v>
      </c>
      <c r="M65" s="18">
        <f t="shared" si="36"/>
        <v>1920</v>
      </c>
      <c r="N65" s="18">
        <f t="shared" si="3"/>
        <v>128</v>
      </c>
      <c r="O65" s="19">
        <f t="shared" si="4"/>
        <v>0</v>
      </c>
      <c r="P65" s="20">
        <f t="shared" si="5"/>
        <v>-5.3333333333333428</v>
      </c>
      <c r="Q65" s="211">
        <f t="shared" si="6"/>
        <v>0.96</v>
      </c>
      <c r="R65" s="489"/>
      <c r="S65" s="40">
        <v>0.75763888888888886</v>
      </c>
      <c r="T65" s="40">
        <v>0.78888888888888886</v>
      </c>
      <c r="U65" s="212">
        <f t="shared" si="38"/>
        <v>7.9999999999999716</v>
      </c>
      <c r="V65" s="221">
        <f t="shared" si="37"/>
        <v>45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-80</v>
      </c>
      <c r="AF65" s="211">
        <f t="shared" si="9"/>
        <v>0.96</v>
      </c>
      <c r="AG65" s="489"/>
    </row>
    <row r="66" spans="1:33" ht="15.75" customHeight="1">
      <c r="A66" s="507" t="s">
        <v>1230</v>
      </c>
      <c r="B66" s="42" t="s">
        <v>103</v>
      </c>
      <c r="C66" s="501" t="s">
        <v>516</v>
      </c>
      <c r="D66" s="502"/>
      <c r="E66" s="42">
        <v>50.67</v>
      </c>
      <c r="F66" s="46">
        <v>2069</v>
      </c>
      <c r="G66" s="212">
        <f t="shared" si="35"/>
        <v>104836.23000000001</v>
      </c>
      <c r="H66" s="125" t="s">
        <v>79</v>
      </c>
      <c r="I66" s="220">
        <v>16</v>
      </c>
      <c r="J66" s="37">
        <v>2000</v>
      </c>
      <c r="K66" s="17">
        <f t="shared" si="1"/>
        <v>125</v>
      </c>
      <c r="L66" s="220">
        <v>16</v>
      </c>
      <c r="M66" s="18">
        <f t="shared" si="36"/>
        <v>1909.8461538461561</v>
      </c>
      <c r="N66" s="18">
        <f t="shared" si="3"/>
        <v>119.36538461538476</v>
      </c>
      <c r="O66" s="19">
        <f t="shared" si="4"/>
        <v>0</v>
      </c>
      <c r="P66" s="20">
        <f t="shared" si="5"/>
        <v>-5.6346153846152447</v>
      </c>
      <c r="Q66" s="211">
        <f t="shared" si="6"/>
        <v>0.9549230769230781</v>
      </c>
      <c r="R66" s="489"/>
      <c r="S66" s="40">
        <v>0.79305555555555551</v>
      </c>
      <c r="T66" s="40">
        <v>0.83819444444444435</v>
      </c>
      <c r="U66" s="212">
        <f t="shared" si="38"/>
        <v>5.9999999999999787</v>
      </c>
      <c r="V66" s="221">
        <f t="shared" si="37"/>
        <v>64.999999999999929</v>
      </c>
      <c r="W66" s="23"/>
      <c r="X66" s="23"/>
      <c r="Y66" s="26"/>
      <c r="Z66" s="26"/>
      <c r="AA66" s="503"/>
      <c r="AB66" s="504"/>
      <c r="AC66" s="154"/>
      <c r="AD66" s="25"/>
      <c r="AE66" s="19">
        <f t="shared" si="8"/>
        <v>-90.153846153843915</v>
      </c>
      <c r="AF66" s="211">
        <f t="shared" si="9"/>
        <v>0.9549230769230781</v>
      </c>
      <c r="AG66" s="489"/>
    </row>
    <row r="67" spans="1:33">
      <c r="A67" s="508" t="s">
        <v>67</v>
      </c>
      <c r="B67" s="42" t="s">
        <v>1232</v>
      </c>
      <c r="C67" s="494"/>
      <c r="D67" s="494"/>
      <c r="E67" s="213"/>
      <c r="F67" s="44"/>
      <c r="G67" s="17"/>
      <c r="H67" s="222"/>
      <c r="I67" s="30">
        <v>18.428571428571427</v>
      </c>
      <c r="J67" s="37">
        <v>2000</v>
      </c>
      <c r="K67" s="17">
        <f t="shared" si="1"/>
        <v>108.52713178294574</v>
      </c>
      <c r="L67" s="30">
        <v>18.428571428571427</v>
      </c>
      <c r="M67" s="18">
        <f>AVERAGE(M60:M66)</f>
        <v>1861.2721127638722</v>
      </c>
      <c r="N67" s="17">
        <f t="shared" si="3"/>
        <v>100.9992619329233</v>
      </c>
      <c r="O67" s="19">
        <f t="shared" si="4"/>
        <v>0</v>
      </c>
      <c r="P67" s="20">
        <f t="shared" si="5"/>
        <v>-7.5278698500224408</v>
      </c>
      <c r="Q67" s="211">
        <f t="shared" si="6"/>
        <v>0.93063605638193614</v>
      </c>
      <c r="R67" s="489"/>
      <c r="S67" s="41"/>
      <c r="T67" s="40"/>
      <c r="U67" s="17"/>
      <c r="V67" s="221"/>
      <c r="W67" s="17"/>
      <c r="X67" s="17"/>
      <c r="Y67" s="31">
        <f>SUM(Y60:Y66)</f>
        <v>0</v>
      </c>
      <c r="Z67" s="31">
        <f>SUM(Z60:Z66)</f>
        <v>0</v>
      </c>
      <c r="AA67" s="495"/>
      <c r="AB67" s="495"/>
      <c r="AC67" s="31">
        <v>4</v>
      </c>
      <c r="AD67" s="31">
        <f>SUM(AD60:AD66)</f>
        <v>0</v>
      </c>
      <c r="AE67" s="19">
        <f t="shared" si="8"/>
        <v>-138.7278872361278</v>
      </c>
      <c r="AF67" s="211">
        <f t="shared" si="9"/>
        <v>0.93063605638193614</v>
      </c>
      <c r="AG67" s="489"/>
    </row>
    <row r="68" spans="1:33" ht="15.75" customHeight="1">
      <c r="A68" s="499" t="s">
        <v>72</v>
      </c>
      <c r="B68" s="222" t="s">
        <v>100</v>
      </c>
      <c r="C68" s="490" t="s">
        <v>109</v>
      </c>
      <c r="D68" s="490"/>
      <c r="E68" s="42">
        <v>26.97</v>
      </c>
      <c r="F68" s="46">
        <v>2385</v>
      </c>
      <c r="G68" s="212">
        <f t="shared" ref="G68:G72" si="39">E68*F68</f>
        <v>64323.45</v>
      </c>
      <c r="H68" s="125" t="s">
        <v>79</v>
      </c>
      <c r="I68" s="220">
        <v>8</v>
      </c>
      <c r="J68" s="37">
        <v>1500</v>
      </c>
      <c r="K68" s="17">
        <f t="shared" si="1"/>
        <v>187.5</v>
      </c>
      <c r="L68" s="220">
        <v>8</v>
      </c>
      <c r="M68" s="18">
        <f t="shared" ref="M68:M72" si="40">F68/V68*60</f>
        <v>1431</v>
      </c>
      <c r="N68" s="17">
        <f t="shared" si="3"/>
        <v>178.875</v>
      </c>
      <c r="O68" s="19">
        <f t="shared" si="4"/>
        <v>0</v>
      </c>
      <c r="P68" s="20">
        <f t="shared" si="5"/>
        <v>-8.625</v>
      </c>
      <c r="Q68" s="211">
        <f t="shared" si="6"/>
        <v>0.95399999999999996</v>
      </c>
      <c r="R68" s="489">
        <f>Q73</f>
        <v>0.95571628969065237</v>
      </c>
      <c r="S68" s="40">
        <v>0.20833333333333334</v>
      </c>
      <c r="T68" s="40">
        <v>0.27777777777777779</v>
      </c>
      <c r="U68" s="212"/>
      <c r="V68" s="221">
        <f t="shared" ref="V68:V72" si="41">(T68-S68)*24*60</f>
        <v>100</v>
      </c>
      <c r="W68" s="28"/>
      <c r="X68" s="28"/>
      <c r="Y68" s="28"/>
      <c r="Z68" s="28"/>
      <c r="AA68" s="491"/>
      <c r="AB68" s="491"/>
      <c r="AC68" s="154" t="s">
        <v>79</v>
      </c>
      <c r="AD68" s="25"/>
      <c r="AE68" s="19">
        <f t="shared" si="8"/>
        <v>-69</v>
      </c>
      <c r="AF68" s="211">
        <f t="shared" si="9"/>
        <v>0.95399999999999996</v>
      </c>
      <c r="AG68" s="489">
        <f>AF73</f>
        <v>0.95571628969065237</v>
      </c>
    </row>
    <row r="69" spans="1:33" ht="15.75" customHeight="1">
      <c r="A69" s="499" t="s">
        <v>1233</v>
      </c>
      <c r="B69" s="222" t="s">
        <v>93</v>
      </c>
      <c r="C69" s="490" t="s">
        <v>110</v>
      </c>
      <c r="D69" s="490"/>
      <c r="E69" s="42">
        <v>26.78</v>
      </c>
      <c r="F69" s="46">
        <v>2775</v>
      </c>
      <c r="G69" s="212">
        <f t="shared" si="39"/>
        <v>74314.5</v>
      </c>
      <c r="H69" s="125" t="s">
        <v>79</v>
      </c>
      <c r="I69" s="220">
        <v>10</v>
      </c>
      <c r="J69" s="37">
        <v>3000</v>
      </c>
      <c r="K69" s="17">
        <f t="shared" ref="K69:K80" si="42">J69/I69</f>
        <v>300</v>
      </c>
      <c r="L69" s="220">
        <v>10</v>
      </c>
      <c r="M69" s="18">
        <f t="shared" si="40"/>
        <v>2870.6896551724121</v>
      </c>
      <c r="N69" s="17">
        <f t="shared" ref="N69:N80" si="43">M69/L69</f>
        <v>287.06896551724122</v>
      </c>
      <c r="O69" s="19">
        <f t="shared" ref="O69:O80" si="44">L69-I69</f>
        <v>0</v>
      </c>
      <c r="P69" s="20">
        <f t="shared" ref="P69:P80" si="45">N69-K69</f>
        <v>-12.931034482758776</v>
      </c>
      <c r="Q69" s="211">
        <f t="shared" ref="Q69:Q80" si="46">N69/K69</f>
        <v>0.95689655172413746</v>
      </c>
      <c r="R69" s="489"/>
      <c r="S69" s="40">
        <v>0.28333333333333333</v>
      </c>
      <c r="T69" s="40">
        <v>0.32361111111111113</v>
      </c>
      <c r="U69" s="212">
        <f t="shared" ref="U69:U72" si="47">(S69-T68)*24*60</f>
        <v>7.9999999999999716</v>
      </c>
      <c r="V69" s="221">
        <f t="shared" si="41"/>
        <v>58.000000000000036</v>
      </c>
      <c r="W69" s="212"/>
      <c r="X69" s="212"/>
      <c r="Y69" s="212"/>
      <c r="Z69" s="212"/>
      <c r="AA69" s="491"/>
      <c r="AB69" s="491"/>
      <c r="AC69" s="154" t="s">
        <v>79</v>
      </c>
      <c r="AD69" s="25"/>
      <c r="AE69" s="19">
        <f t="shared" ref="AE69:AE80" si="48">M69-J69</f>
        <v>-129.31034482758787</v>
      </c>
      <c r="AF69" s="211">
        <f t="shared" ref="AF69:AF80" si="49">M69/J69</f>
        <v>0.95689655172413735</v>
      </c>
      <c r="AG69" s="489"/>
    </row>
    <row r="70" spans="1:33" ht="15.75" customHeight="1">
      <c r="A70" s="499" t="s">
        <v>1233</v>
      </c>
      <c r="B70" s="222" t="s">
        <v>100</v>
      </c>
      <c r="C70" s="490" t="s">
        <v>519</v>
      </c>
      <c r="D70" s="490"/>
      <c r="E70" s="42">
        <v>27.4</v>
      </c>
      <c r="F70" s="46">
        <v>3232</v>
      </c>
      <c r="G70" s="212">
        <f t="shared" si="39"/>
        <v>88556.799999999988</v>
      </c>
      <c r="H70" s="125" t="s">
        <v>79</v>
      </c>
      <c r="I70" s="220">
        <v>10</v>
      </c>
      <c r="J70" s="37">
        <v>1500</v>
      </c>
      <c r="K70" s="17">
        <f t="shared" si="42"/>
        <v>150</v>
      </c>
      <c r="L70" s="220">
        <v>10</v>
      </c>
      <c r="M70" s="18">
        <f t="shared" si="40"/>
        <v>1436.4444444444443</v>
      </c>
      <c r="N70" s="17">
        <f t="shared" si="43"/>
        <v>143.64444444444445</v>
      </c>
      <c r="O70" s="19">
        <f t="shared" si="44"/>
        <v>0</v>
      </c>
      <c r="P70" s="20">
        <f t="shared" si="45"/>
        <v>-6.3555555555555543</v>
      </c>
      <c r="Q70" s="211">
        <f t="shared" si="46"/>
        <v>0.95762962962962961</v>
      </c>
      <c r="R70" s="489"/>
      <c r="S70" s="40">
        <v>0.32916666666666666</v>
      </c>
      <c r="T70" s="40">
        <v>0.42291666666666666</v>
      </c>
      <c r="U70" s="212">
        <f t="shared" si="47"/>
        <v>7.9999999999999716</v>
      </c>
      <c r="V70" s="221">
        <f t="shared" si="41"/>
        <v>135</v>
      </c>
      <c r="W70" s="212"/>
      <c r="X70" s="212"/>
      <c r="Y70" s="212"/>
      <c r="Z70" s="212"/>
      <c r="AA70" s="491"/>
      <c r="AB70" s="491"/>
      <c r="AC70" s="154" t="s">
        <v>79</v>
      </c>
      <c r="AD70" s="25"/>
      <c r="AE70" s="19">
        <f t="shared" si="48"/>
        <v>-63.555555555555657</v>
      </c>
      <c r="AF70" s="211">
        <f t="shared" si="49"/>
        <v>0.95762962962962961</v>
      </c>
      <c r="AG70" s="489"/>
    </row>
    <row r="71" spans="1:33" ht="15.75" customHeight="1">
      <c r="A71" s="499" t="s">
        <v>1234</v>
      </c>
      <c r="B71" s="222" t="s">
        <v>93</v>
      </c>
      <c r="C71" s="490" t="s">
        <v>1235</v>
      </c>
      <c r="D71" s="490"/>
      <c r="E71" s="42">
        <v>36.17</v>
      </c>
      <c r="F71" s="46">
        <v>4200</v>
      </c>
      <c r="G71" s="212">
        <f t="shared" si="39"/>
        <v>151914</v>
      </c>
      <c r="H71" s="125">
        <v>2</v>
      </c>
      <c r="I71" s="220">
        <v>12</v>
      </c>
      <c r="J71" s="37">
        <v>2000</v>
      </c>
      <c r="K71" s="17">
        <f t="shared" si="42"/>
        <v>166.66666666666666</v>
      </c>
      <c r="L71" s="220">
        <v>12</v>
      </c>
      <c r="M71" s="18">
        <f t="shared" si="40"/>
        <v>1909.0909090909079</v>
      </c>
      <c r="N71" s="17">
        <f t="shared" si="43"/>
        <v>159.09090909090898</v>
      </c>
      <c r="O71" s="19">
        <f t="shared" si="44"/>
        <v>0</v>
      </c>
      <c r="P71" s="20">
        <f t="shared" si="45"/>
        <v>-7.5757575757576774</v>
      </c>
      <c r="Q71" s="211">
        <f t="shared" si="46"/>
        <v>0.95454545454545392</v>
      </c>
      <c r="R71" s="489"/>
      <c r="S71" s="40">
        <v>0.4284722222222222</v>
      </c>
      <c r="T71" s="40">
        <v>0.52013888888888893</v>
      </c>
      <c r="U71" s="212">
        <f t="shared" si="47"/>
        <v>7.9999999999999716</v>
      </c>
      <c r="V71" s="221">
        <f t="shared" si="41"/>
        <v>132.00000000000009</v>
      </c>
      <c r="W71" s="23">
        <f>T71</f>
        <v>0.52013888888888893</v>
      </c>
      <c r="X71" s="23">
        <f>S72</f>
        <v>0.55972222222222223</v>
      </c>
      <c r="Y71" s="212"/>
      <c r="Z71" s="212"/>
      <c r="AA71" s="491"/>
      <c r="AB71" s="491"/>
      <c r="AC71" s="154">
        <v>1</v>
      </c>
      <c r="AD71" s="25"/>
      <c r="AE71" s="19">
        <f t="shared" si="48"/>
        <v>-90.909090909092129</v>
      </c>
      <c r="AF71" s="211">
        <f t="shared" si="49"/>
        <v>0.95454545454545392</v>
      </c>
      <c r="AG71" s="489"/>
    </row>
    <row r="72" spans="1:33">
      <c r="A72" s="500" t="s">
        <v>1236</v>
      </c>
      <c r="B72" s="222" t="s">
        <v>93</v>
      </c>
      <c r="C72" s="490" t="s">
        <v>1235</v>
      </c>
      <c r="D72" s="490"/>
      <c r="E72" s="42">
        <v>36.17</v>
      </c>
      <c r="F72" s="46">
        <v>5125</v>
      </c>
      <c r="G72" s="212">
        <f t="shared" si="39"/>
        <v>185371.25</v>
      </c>
      <c r="H72" s="125" t="s">
        <v>79</v>
      </c>
      <c r="I72" s="220">
        <v>12</v>
      </c>
      <c r="J72" s="37">
        <v>2000</v>
      </c>
      <c r="K72" s="17">
        <f t="shared" si="42"/>
        <v>166.66666666666666</v>
      </c>
      <c r="L72" s="220">
        <v>12</v>
      </c>
      <c r="M72" s="18">
        <f t="shared" si="40"/>
        <v>1909.9378881987586</v>
      </c>
      <c r="N72" s="17">
        <f t="shared" si="43"/>
        <v>159.16149068322989</v>
      </c>
      <c r="O72" s="19">
        <f t="shared" si="44"/>
        <v>0</v>
      </c>
      <c r="P72" s="20">
        <f t="shared" si="45"/>
        <v>-7.5051759834367715</v>
      </c>
      <c r="Q72" s="211">
        <f t="shared" si="46"/>
        <v>0.95496894409937938</v>
      </c>
      <c r="R72" s="489"/>
      <c r="S72" s="40">
        <v>0.55972222222222223</v>
      </c>
      <c r="T72" s="40">
        <v>0.67152777777777772</v>
      </c>
      <c r="U72" s="212">
        <f t="shared" si="47"/>
        <v>56.999999999999957</v>
      </c>
      <c r="V72" s="221">
        <f t="shared" si="41"/>
        <v>160.99999999999991</v>
      </c>
      <c r="W72" s="23"/>
      <c r="X72" s="23"/>
      <c r="Y72" s="23"/>
      <c r="Z72" s="23"/>
      <c r="AA72" s="491"/>
      <c r="AB72" s="491"/>
      <c r="AC72" s="154">
        <v>1</v>
      </c>
      <c r="AD72" s="25"/>
      <c r="AE72" s="19">
        <f t="shared" si="48"/>
        <v>-90.062111801241372</v>
      </c>
      <c r="AF72" s="211">
        <f t="shared" si="49"/>
        <v>0.95496894409937927</v>
      </c>
      <c r="AG72" s="489"/>
    </row>
    <row r="73" spans="1:33">
      <c r="A73" s="500" t="s">
        <v>72</v>
      </c>
      <c r="B73" s="42" t="s">
        <v>1228</v>
      </c>
      <c r="C73" s="494"/>
      <c r="D73" s="494"/>
      <c r="E73" s="213"/>
      <c r="F73" s="44"/>
      <c r="G73" s="17"/>
      <c r="H73" s="222"/>
      <c r="I73" s="30">
        <v>10.4</v>
      </c>
      <c r="J73" s="37">
        <v>2000</v>
      </c>
      <c r="K73" s="17">
        <f t="shared" si="42"/>
        <v>192.30769230769229</v>
      </c>
      <c r="L73" s="30">
        <v>10.4</v>
      </c>
      <c r="M73" s="18">
        <f>AVERAGE(M68:M72)</f>
        <v>1911.4325793813048</v>
      </c>
      <c r="N73" s="17">
        <f t="shared" si="43"/>
        <v>183.79159417127929</v>
      </c>
      <c r="O73" s="19">
        <f t="shared" si="44"/>
        <v>0</v>
      </c>
      <c r="P73" s="20">
        <f t="shared" si="45"/>
        <v>-8.5160981364130066</v>
      </c>
      <c r="Q73" s="211">
        <f t="shared" si="46"/>
        <v>0.95571628969065237</v>
      </c>
      <c r="R73" s="489"/>
      <c r="S73" s="40"/>
      <c r="T73" s="40"/>
      <c r="U73" s="17"/>
      <c r="V73" s="221"/>
      <c r="W73" s="17"/>
      <c r="X73" s="17"/>
      <c r="Y73" s="31">
        <f>SUM(Y68:Y72)</f>
        <v>0</v>
      </c>
      <c r="Z73" s="31">
        <f>SUM(Z68:Z72)</f>
        <v>0</v>
      </c>
      <c r="AA73" s="495"/>
      <c r="AB73" s="495"/>
      <c r="AC73" s="31">
        <v>2</v>
      </c>
      <c r="AD73" s="31">
        <f>SUM(AD68:AD72)</f>
        <v>0</v>
      </c>
      <c r="AE73" s="19">
        <f t="shared" si="48"/>
        <v>-88.567420618695223</v>
      </c>
      <c r="AF73" s="211">
        <f t="shared" si="49"/>
        <v>0.95571628969065237</v>
      </c>
      <c r="AG73" s="489"/>
    </row>
    <row r="74" spans="1:33" ht="15.75" customHeight="1">
      <c r="A74" s="496" t="s">
        <v>75</v>
      </c>
      <c r="B74" s="222" t="s">
        <v>80</v>
      </c>
      <c r="C74" s="490" t="s">
        <v>115</v>
      </c>
      <c r="D74" s="490"/>
      <c r="E74" s="42">
        <v>20.2</v>
      </c>
      <c r="F74" s="222">
        <v>2036</v>
      </c>
      <c r="G74" s="212">
        <f t="shared" ref="G74:G79" si="50">E74*F74</f>
        <v>41127.199999999997</v>
      </c>
      <c r="H74" s="125" t="s">
        <v>79</v>
      </c>
      <c r="I74" s="220">
        <v>19</v>
      </c>
      <c r="J74" s="37">
        <v>2400</v>
      </c>
      <c r="K74" s="17">
        <f t="shared" si="42"/>
        <v>126.31578947368421</v>
      </c>
      <c r="L74" s="220">
        <v>19</v>
      </c>
      <c r="M74" s="18">
        <f t="shared" ref="M74:M79" si="51">F74/V74*60</f>
        <v>2304.9056603773588</v>
      </c>
      <c r="N74" s="17">
        <f t="shared" si="43"/>
        <v>121.31082423038731</v>
      </c>
      <c r="O74" s="19">
        <f t="shared" si="44"/>
        <v>0</v>
      </c>
      <c r="P74" s="20">
        <f t="shared" si="45"/>
        <v>-5.0049652432968941</v>
      </c>
      <c r="Q74" s="211">
        <f t="shared" si="46"/>
        <v>0.96037735849056627</v>
      </c>
      <c r="R74" s="489">
        <f>Q80</f>
        <v>0.95512942860428796</v>
      </c>
      <c r="S74" s="40">
        <v>8.3333333333333329E-2</v>
      </c>
      <c r="T74" s="40">
        <v>0.12013888888888888</v>
      </c>
      <c r="U74" s="28"/>
      <c r="V74" s="221">
        <f t="shared" ref="V74:V79" si="52">(T74-S74)*24*60</f>
        <v>52.999999999999993</v>
      </c>
      <c r="W74" s="23">
        <f>T74</f>
        <v>0.12013888888888888</v>
      </c>
      <c r="X74" s="23">
        <f>S75</f>
        <v>0.14097222222222222</v>
      </c>
      <c r="Y74" s="23"/>
      <c r="Z74" s="23"/>
      <c r="AA74" s="491"/>
      <c r="AB74" s="491"/>
      <c r="AC74" s="154">
        <v>8</v>
      </c>
      <c r="AD74" s="25"/>
      <c r="AE74" s="19">
        <f t="shared" si="48"/>
        <v>-95.094339622641201</v>
      </c>
      <c r="AF74" s="211">
        <f t="shared" si="49"/>
        <v>0.96037735849056616</v>
      </c>
      <c r="AG74" s="489">
        <f>AF80</f>
        <v>0.95512942860428796</v>
      </c>
    </row>
    <row r="75" spans="1:33" ht="15.75" customHeight="1">
      <c r="A75" s="497" t="s">
        <v>1237</v>
      </c>
      <c r="B75" s="222" t="s">
        <v>80</v>
      </c>
      <c r="C75" s="490" t="s">
        <v>116</v>
      </c>
      <c r="D75" s="490"/>
      <c r="E75" s="42">
        <v>20.52</v>
      </c>
      <c r="F75" s="222">
        <v>2975</v>
      </c>
      <c r="G75" s="212">
        <f t="shared" si="50"/>
        <v>61047</v>
      </c>
      <c r="H75" s="125" t="s">
        <v>79</v>
      </c>
      <c r="I75" s="220">
        <v>18</v>
      </c>
      <c r="J75" s="37">
        <v>2400</v>
      </c>
      <c r="K75" s="17">
        <f t="shared" si="42"/>
        <v>133.33333333333334</v>
      </c>
      <c r="L75" s="220">
        <v>18</v>
      </c>
      <c r="M75" s="18">
        <f t="shared" si="51"/>
        <v>2288.4615384615386</v>
      </c>
      <c r="N75" s="17">
        <f t="shared" si="43"/>
        <v>127.13675213675214</v>
      </c>
      <c r="O75" s="19">
        <f t="shared" si="44"/>
        <v>0</v>
      </c>
      <c r="P75" s="20">
        <f t="shared" si="45"/>
        <v>-6.1965811965812065</v>
      </c>
      <c r="Q75" s="211">
        <f t="shared" si="46"/>
        <v>0.95352564102564097</v>
      </c>
      <c r="R75" s="489"/>
      <c r="S75" s="40">
        <v>0.14097222222222222</v>
      </c>
      <c r="T75" s="40">
        <v>0.19513888888888889</v>
      </c>
      <c r="U75" s="212">
        <f t="shared" ref="U75:U79" si="53">(S75-T74)*24*60</f>
        <v>30.000000000000014</v>
      </c>
      <c r="V75" s="221">
        <f t="shared" si="52"/>
        <v>78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-111.53846153846143</v>
      </c>
      <c r="AF75" s="211">
        <f t="shared" si="49"/>
        <v>0.95352564102564108</v>
      </c>
      <c r="AG75" s="489"/>
    </row>
    <row r="76" spans="1:33" ht="15.75" customHeight="1">
      <c r="A76" s="497" t="s">
        <v>75</v>
      </c>
      <c r="B76" s="222" t="s">
        <v>80</v>
      </c>
      <c r="C76" s="490" t="s">
        <v>117</v>
      </c>
      <c r="D76" s="490"/>
      <c r="E76" s="42">
        <v>24.43</v>
      </c>
      <c r="F76" s="222">
        <v>6258</v>
      </c>
      <c r="G76" s="212">
        <f t="shared" si="50"/>
        <v>152882.94</v>
      </c>
      <c r="H76" s="125" t="s">
        <v>79</v>
      </c>
      <c r="I76" s="220">
        <v>14</v>
      </c>
      <c r="J76" s="37">
        <v>2400</v>
      </c>
      <c r="K76" s="17">
        <f t="shared" si="42"/>
        <v>171.42857142857142</v>
      </c>
      <c r="L76" s="220">
        <v>14</v>
      </c>
      <c r="M76" s="18">
        <f t="shared" si="51"/>
        <v>2289.5121951219512</v>
      </c>
      <c r="N76" s="17">
        <f t="shared" si="43"/>
        <v>163.53658536585365</v>
      </c>
      <c r="O76" s="19">
        <f t="shared" si="44"/>
        <v>0</v>
      </c>
      <c r="P76" s="20">
        <f t="shared" si="45"/>
        <v>-7.8919860627177627</v>
      </c>
      <c r="Q76" s="211">
        <f t="shared" si="46"/>
        <v>0.95396341463414636</v>
      </c>
      <c r="R76" s="489"/>
      <c r="S76" s="40">
        <v>0.1986111111111111</v>
      </c>
      <c r="T76" s="40">
        <v>0.3125</v>
      </c>
      <c r="U76" s="212">
        <f t="shared" si="53"/>
        <v>4.9999999999999822</v>
      </c>
      <c r="V76" s="221">
        <f t="shared" si="52"/>
        <v>164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8"/>
        <v>-110.48780487804879</v>
      </c>
      <c r="AF76" s="211">
        <f t="shared" si="49"/>
        <v>0.95396341463414636</v>
      </c>
      <c r="AG76" s="489"/>
    </row>
    <row r="77" spans="1:33" ht="15.75" customHeight="1">
      <c r="A77" s="497" t="s">
        <v>1238</v>
      </c>
      <c r="B77" s="222" t="s">
        <v>80</v>
      </c>
      <c r="C77" s="490" t="s">
        <v>118</v>
      </c>
      <c r="D77" s="490"/>
      <c r="E77" s="42">
        <v>20.21</v>
      </c>
      <c r="F77" s="222">
        <v>3775</v>
      </c>
      <c r="G77" s="212">
        <f t="shared" si="50"/>
        <v>76292.75</v>
      </c>
      <c r="H77" s="125" t="s">
        <v>79</v>
      </c>
      <c r="I77" s="220">
        <v>16</v>
      </c>
      <c r="J77" s="37">
        <v>2400</v>
      </c>
      <c r="K77" s="17">
        <f t="shared" si="42"/>
        <v>150</v>
      </c>
      <c r="L77" s="220">
        <v>16</v>
      </c>
      <c r="M77" s="18">
        <f t="shared" si="51"/>
        <v>2287.8787878787884</v>
      </c>
      <c r="N77" s="17">
        <f t="shared" si="43"/>
        <v>142.99242424242428</v>
      </c>
      <c r="O77" s="19">
        <f t="shared" si="44"/>
        <v>0</v>
      </c>
      <c r="P77" s="20">
        <f t="shared" si="45"/>
        <v>-7.0075757575757223</v>
      </c>
      <c r="Q77" s="211">
        <f t="shared" si="46"/>
        <v>0.95328282828282851</v>
      </c>
      <c r="R77" s="489"/>
      <c r="S77" s="40">
        <v>0.31597222222222221</v>
      </c>
      <c r="T77" s="40">
        <v>0.38472222222222219</v>
      </c>
      <c r="U77" s="212">
        <f t="shared" si="53"/>
        <v>4.9999999999999822</v>
      </c>
      <c r="V77" s="221">
        <f t="shared" si="52"/>
        <v>98.999999999999972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8"/>
        <v>-112.12121212121156</v>
      </c>
      <c r="AF77" s="211">
        <f t="shared" si="49"/>
        <v>0.95328282828282851</v>
      </c>
      <c r="AG77" s="489"/>
    </row>
    <row r="78" spans="1:33" ht="15.75" customHeight="1">
      <c r="A78" s="497" t="s">
        <v>75</v>
      </c>
      <c r="B78" s="222" t="s">
        <v>80</v>
      </c>
      <c r="C78" s="490" t="s">
        <v>119</v>
      </c>
      <c r="D78" s="490"/>
      <c r="E78" s="42">
        <v>19.02</v>
      </c>
      <c r="F78" s="222">
        <v>4000</v>
      </c>
      <c r="G78" s="212">
        <f t="shared" si="50"/>
        <v>76080</v>
      </c>
      <c r="H78" s="125">
        <v>2</v>
      </c>
      <c r="I78" s="220">
        <v>15</v>
      </c>
      <c r="J78" s="37">
        <v>2400</v>
      </c>
      <c r="K78" s="17">
        <f t="shared" si="42"/>
        <v>160</v>
      </c>
      <c r="L78" s="220">
        <v>15</v>
      </c>
      <c r="M78" s="18">
        <f t="shared" si="51"/>
        <v>2285.7142857142853</v>
      </c>
      <c r="N78" s="17">
        <f t="shared" si="43"/>
        <v>152.38095238095235</v>
      </c>
      <c r="O78" s="19">
        <f t="shared" si="44"/>
        <v>0</v>
      </c>
      <c r="P78" s="20">
        <f t="shared" si="45"/>
        <v>-7.6190476190476488</v>
      </c>
      <c r="Q78" s="211">
        <f t="shared" si="46"/>
        <v>0.95238095238095222</v>
      </c>
      <c r="R78" s="489"/>
      <c r="S78" s="40">
        <v>0.39027777777777772</v>
      </c>
      <c r="T78" s="40">
        <v>0.46319444444444441</v>
      </c>
      <c r="U78" s="212">
        <f t="shared" si="53"/>
        <v>7.9999999999999716</v>
      </c>
      <c r="V78" s="221">
        <f t="shared" si="52"/>
        <v>105.00000000000003</v>
      </c>
      <c r="W78" s="23">
        <f>T78</f>
        <v>0.46319444444444441</v>
      </c>
      <c r="X78" s="23">
        <f>S79</f>
        <v>0.50416666666666665</v>
      </c>
      <c r="Y78" s="23"/>
      <c r="Z78" s="23"/>
      <c r="AA78" s="491"/>
      <c r="AB78" s="491"/>
      <c r="AC78" s="154"/>
      <c r="AD78" s="25"/>
      <c r="AE78" s="19">
        <f t="shared" si="48"/>
        <v>-114.28571428571468</v>
      </c>
      <c r="AF78" s="211">
        <f t="shared" si="49"/>
        <v>0.95238095238095222</v>
      </c>
      <c r="AG78" s="489"/>
    </row>
    <row r="79" spans="1:33" ht="15.75" customHeight="1">
      <c r="A79" s="497" t="s">
        <v>1237</v>
      </c>
      <c r="B79" s="222" t="s">
        <v>80</v>
      </c>
      <c r="C79" s="490" t="s">
        <v>119</v>
      </c>
      <c r="D79" s="490"/>
      <c r="E79" s="42">
        <v>19.02</v>
      </c>
      <c r="F79" s="222">
        <v>5284</v>
      </c>
      <c r="G79" s="212">
        <f t="shared" si="50"/>
        <v>100501.68</v>
      </c>
      <c r="H79" s="125" t="s">
        <v>79</v>
      </c>
      <c r="I79" s="220">
        <v>15</v>
      </c>
      <c r="J79" s="37">
        <v>2400</v>
      </c>
      <c r="K79" s="17">
        <f t="shared" si="42"/>
        <v>160</v>
      </c>
      <c r="L79" s="220">
        <v>15</v>
      </c>
      <c r="M79" s="18">
        <f t="shared" si="51"/>
        <v>2297.391304347826</v>
      </c>
      <c r="N79" s="17">
        <f t="shared" si="43"/>
        <v>153.15942028985506</v>
      </c>
      <c r="O79" s="19">
        <f t="shared" si="44"/>
        <v>0</v>
      </c>
      <c r="P79" s="20">
        <f t="shared" si="45"/>
        <v>-6.8405797101449366</v>
      </c>
      <c r="Q79" s="211">
        <f t="shared" si="46"/>
        <v>0.95724637681159419</v>
      </c>
      <c r="R79" s="489"/>
      <c r="S79" s="40">
        <v>0.50416666666666665</v>
      </c>
      <c r="T79" s="40">
        <v>0.6</v>
      </c>
      <c r="U79" s="212">
        <f t="shared" si="53"/>
        <v>59.000000000000028</v>
      </c>
      <c r="V79" s="221">
        <f t="shared" si="52"/>
        <v>138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8"/>
        <v>-102.60869565217399</v>
      </c>
      <c r="AF79" s="211">
        <f t="shared" si="49"/>
        <v>0.95724637681159419</v>
      </c>
      <c r="AG79" s="489"/>
    </row>
    <row r="80" spans="1:33" ht="16.5" customHeight="1">
      <c r="A80" s="498" t="s">
        <v>75</v>
      </c>
      <c r="B80" s="42" t="s">
        <v>1228</v>
      </c>
      <c r="C80" s="492"/>
      <c r="D80" s="493"/>
      <c r="E80" s="213"/>
      <c r="F80" s="44"/>
      <c r="G80" s="17"/>
      <c r="H80" s="222"/>
      <c r="I80" s="30">
        <v>16.166666666666668</v>
      </c>
      <c r="J80" s="37">
        <v>2400</v>
      </c>
      <c r="K80" s="17">
        <f t="shared" si="42"/>
        <v>148.45360824742266</v>
      </c>
      <c r="L80" s="30">
        <v>16.166666666666668</v>
      </c>
      <c r="M80" s="18">
        <f>AVERAGE(M74:M79)</f>
        <v>2292.3106286502912</v>
      </c>
      <c r="N80" s="17">
        <f t="shared" si="43"/>
        <v>141.79241001960563</v>
      </c>
      <c r="O80" s="19">
        <f t="shared" si="44"/>
        <v>0</v>
      </c>
      <c r="P80" s="20">
        <f t="shared" si="45"/>
        <v>-6.6611982278170387</v>
      </c>
      <c r="Q80" s="211">
        <f t="shared" si="46"/>
        <v>0.95512942860428796</v>
      </c>
      <c r="R80" s="489"/>
      <c r="S80" s="40"/>
      <c r="T80" s="40"/>
      <c r="U80" s="17"/>
      <c r="V80" s="221"/>
      <c r="W80" s="17"/>
      <c r="X80" s="17"/>
      <c r="Y80" s="31">
        <f>SUM(Y74:Y79)</f>
        <v>0</v>
      </c>
      <c r="Z80" s="31">
        <f>SUM(Z74:Z79)</f>
        <v>0</v>
      </c>
      <c r="AA80" s="495"/>
      <c r="AB80" s="495"/>
      <c r="AC80" s="31">
        <v>8</v>
      </c>
      <c r="AD80" s="31">
        <f>SUM(AD74:AD79)</f>
        <v>0</v>
      </c>
      <c r="AE80" s="19">
        <f t="shared" si="48"/>
        <v>-107.68937134970884</v>
      </c>
      <c r="AF80" s="211">
        <f t="shared" si="49"/>
        <v>0.95512942860428796</v>
      </c>
      <c r="AG80" s="489"/>
    </row>
    <row r="81" spans="4:5">
      <c r="D81" s="33"/>
      <c r="E81" s="33"/>
    </row>
  </sheetData>
  <mergeCells count="21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2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19:AB19"/>
    <mergeCell ref="A13:A22"/>
    <mergeCell ref="C13:D13"/>
    <mergeCell ref="R13:R22"/>
    <mergeCell ref="AA13:AB13"/>
    <mergeCell ref="AA20:AB20"/>
    <mergeCell ref="C21:D21"/>
    <mergeCell ref="AA21:AB21"/>
    <mergeCell ref="C22:D22"/>
    <mergeCell ref="AA22:AB22"/>
    <mergeCell ref="A23:A33"/>
    <mergeCell ref="C23:D23"/>
    <mergeCell ref="R23:R33"/>
    <mergeCell ref="AA23:AB23"/>
    <mergeCell ref="AA28:AB28"/>
    <mergeCell ref="C29:D29"/>
    <mergeCell ref="AA29:AB29"/>
    <mergeCell ref="C30:D30"/>
    <mergeCell ref="AA30:AB30"/>
    <mergeCell ref="C31:D31"/>
    <mergeCell ref="AA31:AB31"/>
    <mergeCell ref="AG23:AG33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32:D32"/>
    <mergeCell ref="AA32:AB32"/>
    <mergeCell ref="C33:D33"/>
    <mergeCell ref="AA33:AB33"/>
    <mergeCell ref="A34:A40"/>
    <mergeCell ref="C34:D34"/>
    <mergeCell ref="R34:R40"/>
    <mergeCell ref="AA34:AB34"/>
    <mergeCell ref="AA39:AB39"/>
    <mergeCell ref="C40:D40"/>
    <mergeCell ref="AA40:AB40"/>
    <mergeCell ref="A41:A50"/>
    <mergeCell ref="C41:D41"/>
    <mergeCell ref="R41:R50"/>
    <mergeCell ref="AA41:AB41"/>
    <mergeCell ref="AA45:AB45"/>
    <mergeCell ref="C46:D46"/>
    <mergeCell ref="AA46:AB46"/>
    <mergeCell ref="C50:D50"/>
    <mergeCell ref="AA50:AB50"/>
    <mergeCell ref="AG41:AG50"/>
    <mergeCell ref="C42:D42"/>
    <mergeCell ref="AA42:AB42"/>
    <mergeCell ref="C43:D43"/>
    <mergeCell ref="AA43:AB43"/>
    <mergeCell ref="AG34:AG40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C47:D47"/>
    <mergeCell ref="AA47:AB47"/>
    <mergeCell ref="C48:D48"/>
    <mergeCell ref="AA48:AB48"/>
    <mergeCell ref="C49:D49"/>
    <mergeCell ref="AA49:AB49"/>
    <mergeCell ref="C44:D44"/>
    <mergeCell ref="AA44:AB44"/>
    <mergeCell ref="C45:D45"/>
    <mergeCell ref="A51:A59"/>
    <mergeCell ref="C51:D51"/>
    <mergeCell ref="R51:R59"/>
    <mergeCell ref="AA51:AB51"/>
    <mergeCell ref="AA56:AB56"/>
    <mergeCell ref="C57:D57"/>
    <mergeCell ref="AA57:AB57"/>
    <mergeCell ref="C58:D58"/>
    <mergeCell ref="AG51:AG59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A58:AB58"/>
    <mergeCell ref="C59:D59"/>
    <mergeCell ref="AA59:AB59"/>
    <mergeCell ref="A60:A67"/>
    <mergeCell ref="C60:D60"/>
    <mergeCell ref="R60:R67"/>
    <mergeCell ref="AA60:AB60"/>
    <mergeCell ref="AA66:AB66"/>
    <mergeCell ref="C67:D67"/>
    <mergeCell ref="AA67:AB67"/>
    <mergeCell ref="AG68:AG73"/>
    <mergeCell ref="C69:D69"/>
    <mergeCell ref="AA69:AB69"/>
    <mergeCell ref="C70:D70"/>
    <mergeCell ref="AA70:AB70"/>
    <mergeCell ref="C71:D71"/>
    <mergeCell ref="AG60:AG67"/>
    <mergeCell ref="C61:D61"/>
    <mergeCell ref="AA61:AB61"/>
    <mergeCell ref="C62:D62"/>
    <mergeCell ref="AA62:AB62"/>
    <mergeCell ref="AA63:AB63"/>
    <mergeCell ref="AA64:AB64"/>
    <mergeCell ref="C65:D65"/>
    <mergeCell ref="AA65:AB65"/>
    <mergeCell ref="C66:D66"/>
    <mergeCell ref="AA71:AB71"/>
    <mergeCell ref="C72:D72"/>
    <mergeCell ref="AA72:AB72"/>
    <mergeCell ref="C73:D73"/>
    <mergeCell ref="AA73:AB73"/>
    <mergeCell ref="A74:A80"/>
    <mergeCell ref="C74:D74"/>
    <mergeCell ref="R74:R80"/>
    <mergeCell ref="AA74:AB74"/>
    <mergeCell ref="AA79:AB79"/>
    <mergeCell ref="A68:A73"/>
    <mergeCell ref="C68:D68"/>
    <mergeCell ref="R68:R73"/>
    <mergeCell ref="AA68:AB68"/>
    <mergeCell ref="C80:D80"/>
    <mergeCell ref="AA80:AB80"/>
    <mergeCell ref="AG74:AG80"/>
    <mergeCell ref="C75:D75"/>
    <mergeCell ref="AA75:AB75"/>
    <mergeCell ref="C76:D76"/>
    <mergeCell ref="AA76:AB76"/>
    <mergeCell ref="C77:D77"/>
    <mergeCell ref="AA77:AB77"/>
    <mergeCell ref="C78:D78"/>
    <mergeCell ref="AA78:AB78"/>
    <mergeCell ref="C79:D79"/>
  </mergeCells>
  <phoneticPr fontId="3" type="noConversion"/>
  <conditionalFormatting sqref="O67:O68 O71:O80 O5:O10 O12:O14 O59:O65 O22:O56">
    <cfRule type="cellIs" dxfId="1135" priority="71" operator="greaterThan">
      <formula>0</formula>
    </cfRule>
  </conditionalFormatting>
  <conditionalFormatting sqref="P5:P8 P71:P72 AE71:AE72 P74:P79 P34:P39 P68 P10 P12:P14 P23:P32 P60:P65 P41:P56 AE5:AE68 AE74:AE80">
    <cfRule type="cellIs" dxfId="1134" priority="75" operator="lessThan">
      <formula>0</formula>
    </cfRule>
  </conditionalFormatting>
  <conditionalFormatting sqref="AF71:AF72 Q67:Q68 Q71:Q80 Q5:Q10 Q12:Q14 Q59:Q65 Q22:Q56 AF5:AF68 AF74:AF80">
    <cfRule type="cellIs" dxfId="1133" priority="72" operator="greaterThan">
      <formula>1</formula>
    </cfRule>
    <cfRule type="cellIs" dxfId="1132" priority="73" operator="lessThan">
      <formula>0.8</formula>
    </cfRule>
  </conditionalFormatting>
  <conditionalFormatting sqref="AG13:AG14 R13:R14 AG71 R22:R28 AG22:AG28 R33:R48 AG33:AG48 AG67:AG68 R67:R68 R71:R80 AG5:AG10 R5:R10 R50:R56 AG50:AG56 AG59:AG65 R59:R65">
    <cfRule type="cellIs" dxfId="1131" priority="77" operator="lessThan">
      <formula>0.8</formula>
    </cfRule>
  </conditionalFormatting>
  <conditionalFormatting sqref="AG51">
    <cfRule type="cellIs" dxfId="1130" priority="79" operator="lessThan">
      <formula>0.8</formula>
    </cfRule>
  </conditionalFormatting>
  <conditionalFormatting sqref="AG23:AG28">
    <cfRule type="cellIs" dxfId="1129" priority="76" operator="lessThan">
      <formula>0.8</formula>
    </cfRule>
  </conditionalFormatting>
  <conditionalFormatting sqref="AG34">
    <cfRule type="cellIs" dxfId="1128" priority="78" operator="lessThan">
      <formula>0.8</formula>
    </cfRule>
  </conditionalFormatting>
  <conditionalFormatting sqref="AG41:AG48">
    <cfRule type="cellIs" dxfId="1127" priority="74" operator="lessThan">
      <formula>0.8</formula>
    </cfRule>
  </conditionalFormatting>
  <conditionalFormatting sqref="AE73">
    <cfRule type="cellIs" dxfId="1126" priority="70" operator="lessThan">
      <formula>0</formula>
    </cfRule>
  </conditionalFormatting>
  <conditionalFormatting sqref="AF73">
    <cfRule type="cellIs" dxfId="1125" priority="68" operator="greaterThan">
      <formula>1</formula>
    </cfRule>
    <cfRule type="cellIs" dxfId="1124" priority="69" operator="lessThan">
      <formula>0.8</formula>
    </cfRule>
  </conditionalFormatting>
  <conditionalFormatting sqref="O15:O16">
    <cfRule type="cellIs" dxfId="1123" priority="63" operator="greaterThan">
      <formula>0</formula>
    </cfRule>
  </conditionalFormatting>
  <conditionalFormatting sqref="P15:P16">
    <cfRule type="cellIs" dxfId="1122" priority="66" operator="lessThan">
      <formula>0</formula>
    </cfRule>
  </conditionalFormatting>
  <conditionalFormatting sqref="Q15:Q16">
    <cfRule type="cellIs" dxfId="1121" priority="64" operator="greaterThan">
      <formula>1</formula>
    </cfRule>
    <cfRule type="cellIs" dxfId="1120" priority="65" operator="lessThan">
      <formula>0.8</formula>
    </cfRule>
  </conditionalFormatting>
  <conditionalFormatting sqref="R15:R16 AG15:AG16">
    <cfRule type="cellIs" dxfId="1119" priority="67" operator="lessThan">
      <formula>0.8</formula>
    </cfRule>
  </conditionalFormatting>
  <conditionalFormatting sqref="O11">
    <cfRule type="cellIs" dxfId="1118" priority="59" operator="greaterThan">
      <formula>0</formula>
    </cfRule>
  </conditionalFormatting>
  <conditionalFormatting sqref="P11">
    <cfRule type="cellIs" dxfId="1117" priority="62" operator="lessThan">
      <formula>0</formula>
    </cfRule>
  </conditionalFormatting>
  <conditionalFormatting sqref="Q11">
    <cfRule type="cellIs" dxfId="1116" priority="60" operator="greaterThan">
      <formula>1</formula>
    </cfRule>
    <cfRule type="cellIs" dxfId="1115" priority="61" operator="lessThan">
      <formula>0.8</formula>
    </cfRule>
  </conditionalFormatting>
  <conditionalFormatting sqref="O66">
    <cfRule type="cellIs" dxfId="1114" priority="54" operator="greaterThan">
      <formula>0</formula>
    </cfRule>
  </conditionalFormatting>
  <conditionalFormatting sqref="P66">
    <cfRule type="cellIs" dxfId="1113" priority="57" operator="lessThan">
      <formula>0</formula>
    </cfRule>
  </conditionalFormatting>
  <conditionalFormatting sqref="Q66">
    <cfRule type="cellIs" dxfId="1112" priority="55" operator="greaterThan">
      <formula>1</formula>
    </cfRule>
    <cfRule type="cellIs" dxfId="1111" priority="56" operator="lessThan">
      <formula>0.8</formula>
    </cfRule>
  </conditionalFormatting>
  <conditionalFormatting sqref="R66 AG66">
    <cfRule type="cellIs" dxfId="1110" priority="58" operator="lessThan">
      <formula>0.8</formula>
    </cfRule>
  </conditionalFormatting>
  <conditionalFormatting sqref="AG30 R30">
    <cfRule type="cellIs" dxfId="1109" priority="53" operator="lessThan">
      <formula>0.8</formula>
    </cfRule>
  </conditionalFormatting>
  <conditionalFormatting sqref="R49 AG49">
    <cfRule type="cellIs" dxfId="1108" priority="52" operator="lessThan">
      <formula>0.8</formula>
    </cfRule>
  </conditionalFormatting>
  <conditionalFormatting sqref="AG49">
    <cfRule type="cellIs" dxfId="1107" priority="51" operator="lessThan">
      <formula>0.8</formula>
    </cfRule>
  </conditionalFormatting>
  <conditionalFormatting sqref="O70">
    <cfRule type="cellIs" dxfId="1106" priority="46" operator="greaterThan">
      <formula>0</formula>
    </cfRule>
  </conditionalFormatting>
  <conditionalFormatting sqref="P70 AE70">
    <cfRule type="cellIs" dxfId="1105" priority="49" operator="lessThan">
      <formula>0</formula>
    </cfRule>
  </conditionalFormatting>
  <conditionalFormatting sqref="Q70 AF70">
    <cfRule type="cellIs" dxfId="1104" priority="47" operator="greaterThan">
      <formula>1</formula>
    </cfRule>
    <cfRule type="cellIs" dxfId="1103" priority="48" operator="lessThan">
      <formula>0.8</formula>
    </cfRule>
  </conditionalFormatting>
  <conditionalFormatting sqref="R70 AG70">
    <cfRule type="cellIs" dxfId="1102" priority="50" operator="lessThan">
      <formula>0.8</formula>
    </cfRule>
  </conditionalFormatting>
  <conditionalFormatting sqref="O17:O18">
    <cfRule type="cellIs" dxfId="1101" priority="41" operator="greaterThan">
      <formula>0</formula>
    </cfRule>
  </conditionalFormatting>
  <conditionalFormatting sqref="P17:P18">
    <cfRule type="cellIs" dxfId="1100" priority="44" operator="lessThan">
      <formula>0</formula>
    </cfRule>
  </conditionalFormatting>
  <conditionalFormatting sqref="Q17:Q18">
    <cfRule type="cellIs" dxfId="1099" priority="42" operator="greaterThan">
      <formula>1</formula>
    </cfRule>
    <cfRule type="cellIs" dxfId="1098" priority="43" operator="lessThan">
      <formula>0.8</formula>
    </cfRule>
  </conditionalFormatting>
  <conditionalFormatting sqref="R17:R18 AG17:AG18">
    <cfRule type="cellIs" dxfId="1097" priority="45" operator="lessThan">
      <formula>0.8</formula>
    </cfRule>
  </conditionalFormatting>
  <conditionalFormatting sqref="O57">
    <cfRule type="cellIs" dxfId="1096" priority="35" operator="greaterThan">
      <formula>0</formula>
    </cfRule>
  </conditionalFormatting>
  <conditionalFormatting sqref="P57">
    <cfRule type="cellIs" dxfId="1095" priority="39" operator="lessThan">
      <formula>0</formula>
    </cfRule>
  </conditionalFormatting>
  <conditionalFormatting sqref="Q57">
    <cfRule type="cellIs" dxfId="1094" priority="36" operator="greaterThan">
      <formula>1</formula>
    </cfRule>
    <cfRule type="cellIs" dxfId="1093" priority="37" operator="lessThan">
      <formula>0.8</formula>
    </cfRule>
  </conditionalFormatting>
  <conditionalFormatting sqref="R57 AG57">
    <cfRule type="cellIs" dxfId="1092" priority="40" operator="lessThan">
      <formula>0.8</formula>
    </cfRule>
  </conditionalFormatting>
  <conditionalFormatting sqref="AG57">
    <cfRule type="cellIs" dxfId="1091" priority="38" operator="lessThan">
      <formula>0.8</formula>
    </cfRule>
  </conditionalFormatting>
  <conditionalFormatting sqref="O58">
    <cfRule type="cellIs" dxfId="1090" priority="29" operator="greaterThan">
      <formula>0</formula>
    </cfRule>
  </conditionalFormatting>
  <conditionalFormatting sqref="P58">
    <cfRule type="cellIs" dxfId="1089" priority="33" operator="lessThan">
      <formula>0</formula>
    </cfRule>
  </conditionalFormatting>
  <conditionalFormatting sqref="Q58">
    <cfRule type="cellIs" dxfId="1088" priority="30" operator="greaterThan">
      <formula>1</formula>
    </cfRule>
    <cfRule type="cellIs" dxfId="1087" priority="31" operator="lessThan">
      <formula>0.8</formula>
    </cfRule>
  </conditionalFormatting>
  <conditionalFormatting sqref="R58 AG58">
    <cfRule type="cellIs" dxfId="1086" priority="34" operator="lessThan">
      <formula>0.8</formula>
    </cfRule>
  </conditionalFormatting>
  <conditionalFormatting sqref="AG58">
    <cfRule type="cellIs" dxfId="1085" priority="32" operator="lessThan">
      <formula>0.8</formula>
    </cfRule>
  </conditionalFormatting>
  <conditionalFormatting sqref="AG31 R31">
    <cfRule type="cellIs" dxfId="1084" priority="28" operator="lessThan">
      <formula>0.8</formula>
    </cfRule>
  </conditionalFormatting>
  <conditionalFormatting sqref="R29 AG29">
    <cfRule type="cellIs" dxfId="1083" priority="27" operator="lessThan">
      <formula>0.8</formula>
    </cfRule>
  </conditionalFormatting>
  <conditionalFormatting sqref="AG29">
    <cfRule type="cellIs" dxfId="1082" priority="26" operator="lessThan">
      <formula>0.8</formula>
    </cfRule>
  </conditionalFormatting>
  <conditionalFormatting sqref="O69">
    <cfRule type="cellIs" dxfId="1081" priority="21" operator="greaterThan">
      <formula>0</formula>
    </cfRule>
  </conditionalFormatting>
  <conditionalFormatting sqref="P69 AE69">
    <cfRule type="cellIs" dxfId="1080" priority="24" operator="lessThan">
      <formula>0</formula>
    </cfRule>
  </conditionalFormatting>
  <conditionalFormatting sqref="Q69 AF69">
    <cfRule type="cellIs" dxfId="1079" priority="22" operator="greaterThan">
      <formula>1</formula>
    </cfRule>
    <cfRule type="cellIs" dxfId="1078" priority="23" operator="lessThan">
      <formula>0.8</formula>
    </cfRule>
  </conditionalFormatting>
  <conditionalFormatting sqref="R69 AG69">
    <cfRule type="cellIs" dxfId="1077" priority="25" operator="lessThan">
      <formula>0.8</formula>
    </cfRule>
  </conditionalFormatting>
  <conditionalFormatting sqref="O19">
    <cfRule type="cellIs" dxfId="1076" priority="16" operator="greaterThan">
      <formula>0</formula>
    </cfRule>
  </conditionalFormatting>
  <conditionalFormatting sqref="P19">
    <cfRule type="cellIs" dxfId="1075" priority="19" operator="lessThan">
      <formula>0</formula>
    </cfRule>
  </conditionalFormatting>
  <conditionalFormatting sqref="Q19">
    <cfRule type="cellIs" dxfId="1074" priority="17" operator="greaterThan">
      <formula>1</formula>
    </cfRule>
    <cfRule type="cellIs" dxfId="1073" priority="18" operator="lessThan">
      <formula>0.8</formula>
    </cfRule>
  </conditionalFormatting>
  <conditionalFormatting sqref="AG19 R19">
    <cfRule type="cellIs" dxfId="1072" priority="20" operator="lessThan">
      <formula>0.8</formula>
    </cfRule>
  </conditionalFormatting>
  <conditionalFormatting sqref="O20:O21">
    <cfRule type="cellIs" dxfId="1071" priority="11" operator="greaterThan">
      <formula>0</formula>
    </cfRule>
  </conditionalFormatting>
  <conditionalFormatting sqref="P20:P21">
    <cfRule type="cellIs" dxfId="1070" priority="14" operator="lessThan">
      <formula>0</formula>
    </cfRule>
  </conditionalFormatting>
  <conditionalFormatting sqref="Q20:Q21">
    <cfRule type="cellIs" dxfId="1069" priority="12" operator="greaterThan">
      <formula>1</formula>
    </cfRule>
    <cfRule type="cellIs" dxfId="1068" priority="13" operator="lessThan">
      <formula>0.8</formula>
    </cfRule>
  </conditionalFormatting>
  <conditionalFormatting sqref="AG20 R20">
    <cfRule type="cellIs" dxfId="1067" priority="15" operator="lessThan">
      <formula>0.8</formula>
    </cfRule>
  </conditionalFormatting>
  <conditionalFormatting sqref="P9">
    <cfRule type="cellIs" dxfId="1066" priority="10" operator="lessThan">
      <formula>0</formula>
    </cfRule>
  </conditionalFormatting>
  <conditionalFormatting sqref="P22">
    <cfRule type="cellIs" dxfId="1065" priority="9" operator="lessThan">
      <formula>0</formula>
    </cfRule>
  </conditionalFormatting>
  <conditionalFormatting sqref="P33">
    <cfRule type="cellIs" dxfId="1064" priority="8" operator="lessThan">
      <formula>0</formula>
    </cfRule>
  </conditionalFormatting>
  <conditionalFormatting sqref="P40">
    <cfRule type="cellIs" dxfId="1063" priority="7" operator="lessThan">
      <formula>0</formula>
    </cfRule>
  </conditionalFormatting>
  <conditionalFormatting sqref="P59">
    <cfRule type="cellIs" dxfId="1062" priority="6" operator="lessThan">
      <formula>0</formula>
    </cfRule>
  </conditionalFormatting>
  <conditionalFormatting sqref="P67">
    <cfRule type="cellIs" dxfId="1061" priority="5" operator="lessThan">
      <formula>0</formula>
    </cfRule>
  </conditionalFormatting>
  <conditionalFormatting sqref="P73">
    <cfRule type="cellIs" dxfId="1060" priority="4" operator="lessThan">
      <formula>0</formula>
    </cfRule>
  </conditionalFormatting>
  <conditionalFormatting sqref="P80">
    <cfRule type="cellIs" dxfId="1059" priority="3" operator="lessThan">
      <formula>0</formula>
    </cfRule>
  </conditionalFormatting>
  <conditionalFormatting sqref="AG21 R21">
    <cfRule type="cellIs" dxfId="1058" priority="2" operator="lessThan">
      <formula>0.8</formula>
    </cfRule>
  </conditionalFormatting>
  <conditionalFormatting sqref="AG32 R32">
    <cfRule type="cellIs" dxfId="1057" priority="1" operator="lessThan">
      <formula>0.8</formula>
    </cfRule>
  </conditionalFormatting>
  <dataValidations count="1">
    <dataValidation type="list" allowBlank="1" showInputMessage="1" showErrorMessage="1" sqref="AB9 AA5:AB8 AB72 AA9:AA72 AB11:AB68 AA73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3" sqref="A13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208</v>
      </c>
      <c r="C3" s="478" t="str">
        <f>TEXT('0112 4度C'!A2,"yyyy.mm.ddaaaa")</f>
        <v>2026.01.12星期一</v>
      </c>
      <c r="D3" s="479"/>
      <c r="E3" s="56" t="s">
        <v>162</v>
      </c>
      <c r="F3" s="480">
        <f>'0112 4度C'!D1</f>
        <v>172008</v>
      </c>
      <c r="G3" s="481"/>
      <c r="H3" s="56" t="s">
        <v>163</v>
      </c>
      <c r="I3" s="482">
        <f>'0112 4度C'!F1</f>
        <v>5906620.7200000007</v>
      </c>
      <c r="J3" s="483"/>
      <c r="K3" s="57"/>
      <c r="L3" s="58"/>
      <c r="M3" s="59"/>
      <c r="N3" s="59"/>
    </row>
    <row r="4" spans="2:17" ht="28.5" customHeight="1">
      <c r="B4" s="484" t="s">
        <v>164</v>
      </c>
      <c r="C4" s="470" t="s">
        <v>212</v>
      </c>
      <c r="D4" s="471"/>
      <c r="E4" s="487" t="s">
        <v>166</v>
      </c>
      <c r="F4" s="488"/>
      <c r="G4" s="487" t="s">
        <v>167</v>
      </c>
      <c r="H4" s="488"/>
      <c r="I4" s="487" t="s">
        <v>1072</v>
      </c>
      <c r="J4" s="488"/>
      <c r="K4" s="468" t="s">
        <v>216</v>
      </c>
      <c r="L4" s="469"/>
      <c r="M4" s="469" t="s">
        <v>170</v>
      </c>
      <c r="N4" s="469"/>
    </row>
    <row r="5" spans="2:17" ht="28.5" customHeight="1">
      <c r="B5" s="485"/>
      <c r="C5" s="470" t="s">
        <v>171</v>
      </c>
      <c r="D5" s="471"/>
      <c r="E5" s="470" t="s">
        <v>1073</v>
      </c>
      <c r="F5" s="471"/>
      <c r="G5" s="472" t="s">
        <v>173</v>
      </c>
      <c r="H5" s="473"/>
      <c r="I5" s="474" t="s">
        <v>221</v>
      </c>
      <c r="J5" s="475"/>
      <c r="K5" s="60" t="s">
        <v>1074</v>
      </c>
      <c r="L5" s="61" t="s">
        <v>176</v>
      </c>
      <c r="M5" s="60" t="s">
        <v>1074</v>
      </c>
      <c r="N5" s="61" t="s">
        <v>177</v>
      </c>
    </row>
    <row r="6" spans="2:17" ht="28.5" customHeight="1">
      <c r="B6" s="485"/>
      <c r="C6" s="470" t="s">
        <v>144</v>
      </c>
      <c r="D6" s="471"/>
      <c r="E6" s="462">
        <f>AVERAGE(D13:M13)</f>
        <v>143.50678349270257</v>
      </c>
      <c r="F6" s="463">
        <f>AVERAGE(D31:O31,D13:J13)</f>
        <v>145.52215404753002</v>
      </c>
      <c r="G6" s="464">
        <f>AVERAGE(D13:J13)</f>
        <v>145.52215404753002</v>
      </c>
      <c r="H6" s="465"/>
      <c r="I6" s="464">
        <f>AVERAGE(K13:M13)</f>
        <v>138.80425219810516</v>
      </c>
      <c r="J6" s="465"/>
      <c r="K6" s="466">
        <f>'0112 4度C'!Y2</f>
        <v>0</v>
      </c>
      <c r="L6" s="451">
        <f>'0112 4度C'!Z2</f>
        <v>0</v>
      </c>
      <c r="M6" s="467">
        <f>'0112 4度C'!AC2</f>
        <v>41</v>
      </c>
      <c r="N6" s="451">
        <f>'0112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137.07894693231216</v>
      </c>
      <c r="F7" s="455">
        <f>AVERAGE(D32:O32,D14:J14)</f>
        <v>139.00427782984437</v>
      </c>
      <c r="G7" s="456">
        <f>AVERAGE(D14:J14)</f>
        <v>139.00427782984437</v>
      </c>
      <c r="H7" s="457"/>
      <c r="I7" s="456">
        <f>AVERAGE(K14:M14)</f>
        <v>132.58650817140361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0.95393713497126797</v>
      </c>
      <c r="F8" s="459">
        <f>AVERAGE(D15:J15,D33:O33)</f>
        <v>0.95338419981124822</v>
      </c>
      <c r="G8" s="460">
        <f>AVERAGE(D15:J15)</f>
        <v>0.95338419981124822</v>
      </c>
      <c r="H8" s="461"/>
      <c r="I8" s="460">
        <f>AVERAGE(K15:M15)</f>
        <v>0.95522731701131403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1075</v>
      </c>
      <c r="N9" s="59"/>
      <c r="O9" s="59"/>
      <c r="P9" s="59"/>
      <c r="Q9" s="59"/>
    </row>
    <row r="10" spans="2:17" ht="30" customHeight="1">
      <c r="B10" s="434" t="s">
        <v>179</v>
      </c>
      <c r="C10" s="435"/>
      <c r="D10" s="436" t="s">
        <v>180</v>
      </c>
      <c r="E10" s="437"/>
      <c r="F10" s="437"/>
      <c r="G10" s="437"/>
      <c r="H10" s="437"/>
      <c r="I10" s="437"/>
      <c r="J10" s="438"/>
      <c r="K10" s="439" t="s">
        <v>1076</v>
      </c>
      <c r="L10" s="440"/>
      <c r="M10" s="441"/>
      <c r="P10" s="65"/>
      <c r="Q10" s="65"/>
    </row>
    <row r="11" spans="2:17" ht="17.25" customHeight="1">
      <c r="B11" s="442" t="s">
        <v>1077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13</v>
      </c>
      <c r="C13" s="72" t="s">
        <v>543</v>
      </c>
      <c r="D13" s="73">
        <f>SUMIFS('0112 4度C'!$K:$K,'0112 4度C'!$A:$A,"新豐6線",'0112 4度C'!$B:$B,"平均")</f>
        <v>109.58904109589041</v>
      </c>
      <c r="E13" s="74">
        <f>SUMIFS('0112 4度C'!$K:$K,'0112 4度C'!$A:$A,"新豐2線",'0112 4度C'!$B:$B,"平均")</f>
        <v>83.333333333333329</v>
      </c>
      <c r="F13" s="75">
        <f>SUMIFS('0112 4度C'!$K:$K,'0112 4度C'!$A:$A,"新豐5線",'0112 4度C'!$B:$B,"平均")</f>
        <v>109.99999999999999</v>
      </c>
      <c r="G13" s="75">
        <f>SUMIFS('0112 4度C'!$K:$K,'0112 4度C'!$A:$A,"新豐7線",'0112 4度C'!$B:$B,"平均")</f>
        <v>114.75409836065573</v>
      </c>
      <c r="H13" s="75">
        <f>SUMIFS('0112 4度C'!$K:$K,'0112 4度C'!$A:$A,"新豐3線",'0112 4度C'!$B:$B,"平均")</f>
        <v>261.68224299065423</v>
      </c>
      <c r="I13" s="75">
        <f>SUMIFS('0112 4度C'!$K:$K,'0112 4度C'!$A:$A,"新豐1線",'0112 4度C'!$B:$B,"平均")</f>
        <v>108.52713178294574</v>
      </c>
      <c r="J13" s="76">
        <f>SUMIFS('0112 4度C'!$K:$K,'0112 4度C'!$A:$A,"新豐10線",'0112 4度C'!$B:$B,"平均")</f>
        <v>230.76923076923077</v>
      </c>
      <c r="K13" s="77">
        <f>SUMIFS('0112 4度C'!$K:$K,'0112 4度C'!$A:$A,"新豐8線",'0112 4度C'!$B:$B,"平均")</f>
        <v>132.11009174311926</v>
      </c>
      <c r="L13" s="78">
        <f>SUMIFS('0112 4度C'!$K:$K,'0112 4度C'!$A:$A,"新豐9線",'0112 4度C'!$B:$B,"平均")</f>
        <v>135.84905660377356</v>
      </c>
      <c r="M13" s="76">
        <f>SUMIFS('0112 4度C'!$K:$K,'0112 4度C'!$A:$A,"新豐4線",'0112 4度C'!$B:$B,"平均")</f>
        <v>148.45360824742266</v>
      </c>
    </row>
    <row r="14" spans="2:17" ht="39.6" customHeight="1">
      <c r="B14" s="447"/>
      <c r="C14" s="79" t="s">
        <v>1078</v>
      </c>
      <c r="D14" s="80">
        <f>SUMIFS('0112 4度C'!$N:$N,'0112 4度C'!$A:$A,"新豐6線",'0112 4度C'!$B:$B,"平均")</f>
        <v>105.13182133818458</v>
      </c>
      <c r="E14" s="81">
        <f>SUMIFS('0112 4度C'!$N:$N,'0112 4度C'!$A:$A,"新豐2線",'0112 4度C'!$B:$B,"平均")</f>
        <v>79.51714951714952</v>
      </c>
      <c r="F14" s="81">
        <f>SUMIFS('0112 4度C'!$N:$N,'0112 4度C'!$A:$A,"新豐5線",'0112 4度C'!$B:$B,"平均")</f>
        <v>105.67438500487033</v>
      </c>
      <c r="G14" s="81">
        <f>SUMIFS('0112 4度C'!$N:$N,'0112 4度C'!$A:$A,"新豐7線",'0112 4度C'!$B:$B,"平均")</f>
        <v>110.05214813231254</v>
      </c>
      <c r="H14" s="81">
        <f>SUMIFS('0112 4度C'!$N:$N,'0112 4度C'!$A:$A,"新豐3線",'0112 4度C'!$B:$B,"平均")</f>
        <v>250.83671357325332</v>
      </c>
      <c r="I14" s="81">
        <f>SUMIFS('0112 4度C'!$N:$N,'0112 4度C'!$A:$A,"新豐1線",'0112 4度C'!$B:$B,"平均")</f>
        <v>99.848459558561743</v>
      </c>
      <c r="J14" s="82">
        <f>SUMIFS('0112 4度C'!$N:$N,'0112 4度C'!$A:$A,"新豐10線",'0112 4度C'!$B:$B,"平均")</f>
        <v>221.96926768457857</v>
      </c>
      <c r="K14" s="83">
        <f>SUMIFS('0112 4度C'!$N:$N,'0112 4度C'!$A:$A,"新豐8線",'0112 4度C'!$B:$B,"平均")</f>
        <v>126.20466638594655</v>
      </c>
      <c r="L14" s="84">
        <f>SUMIFS('0112 4度C'!$N:$N,'0112 4度C'!$A:$A,"新豐9線",'0112 4度C'!$B:$B,"平均")</f>
        <v>129.85446893099467</v>
      </c>
      <c r="M14" s="82">
        <f>SUMIFS('0112 4度C'!$N:$N,'0112 4度C'!$A:$A,"新豐4線",'0112 4度C'!$B:$B,"平均")</f>
        <v>141.70038919726963</v>
      </c>
    </row>
    <row r="15" spans="2:17" ht="40.15" customHeight="1">
      <c r="B15" s="448"/>
      <c r="C15" s="85" t="s">
        <v>1079</v>
      </c>
      <c r="D15" s="86">
        <f t="shared" ref="D15:M15" si="0">D14/D13</f>
        <v>0.95932786971093431</v>
      </c>
      <c r="E15" s="87">
        <f t="shared" si="0"/>
        <v>0.95420579420579432</v>
      </c>
      <c r="F15" s="87">
        <f t="shared" si="0"/>
        <v>0.96067622731700308</v>
      </c>
      <c r="G15" s="87">
        <f t="shared" si="0"/>
        <v>0.9590258622958665</v>
      </c>
      <c r="H15" s="87">
        <f t="shared" si="0"/>
        <v>0.95855458401207505</v>
      </c>
      <c r="I15" s="87">
        <f t="shared" si="0"/>
        <v>0.92003223450389027</v>
      </c>
      <c r="J15" s="88">
        <f t="shared" si="0"/>
        <v>0.9618668266331738</v>
      </c>
      <c r="K15" s="86">
        <f t="shared" si="0"/>
        <v>0.95529921083806768</v>
      </c>
      <c r="L15" s="87">
        <f t="shared" si="0"/>
        <v>0.95587317407537764</v>
      </c>
      <c r="M15" s="88">
        <f t="shared" si="0"/>
        <v>0.95450956612049687</v>
      </c>
    </row>
    <row r="16" spans="2:17" ht="17.25" customHeight="1">
      <c r="B16" s="449" t="s">
        <v>187</v>
      </c>
      <c r="C16" s="89" t="s">
        <v>1080</v>
      </c>
      <c r="D16" s="90">
        <f>VLOOKUP("新豐6線",'0112 4度C'!$A:$T,19,0)</f>
        <v>0.70833333333333337</v>
      </c>
      <c r="E16" s="91">
        <f>VLOOKUP("新豐2線",'0112 4度C'!$A:$T,19,0)</f>
        <v>0.16666666666666666</v>
      </c>
      <c r="F16" s="91">
        <f>VLOOKUP("新豐5線",'0112 4度C'!$A:$T,19,0)</f>
        <v>0.20833333333333334</v>
      </c>
      <c r="G16" s="91">
        <f>VLOOKUP("新豐7線",'0112 4度C'!$A:$T,19,0)</f>
        <v>0.20833333333333334</v>
      </c>
      <c r="H16" s="91">
        <f>VLOOKUP("新豐3線",'0112 4度C'!$A:$T,19,0)</f>
        <v>8.3333333333333329E-2</v>
      </c>
      <c r="I16" s="91">
        <f>VLOOKUP("新豐1線",'0112 4度C'!$A:$T,19,0)</f>
        <v>0.20833333333333334</v>
      </c>
      <c r="J16" s="92">
        <f>VLOOKUP("新豐10線",'0112 4度C'!$A:$T,19,0)</f>
        <v>0.20833333333333334</v>
      </c>
      <c r="K16" s="93">
        <f>VLOOKUP("新豐8線",'0112 4度C'!$A:$T,19,0)</f>
        <v>8.3333333333333329E-2</v>
      </c>
      <c r="L16" s="94">
        <f>VLOOKUP("新豐9線",'0112 4度C'!$A:$T,19,0)</f>
        <v>8.3333333333333329E-2</v>
      </c>
      <c r="M16" s="95">
        <f>VLOOKUP("新豐4線",'0112 4度C'!$A:$T,19,0)</f>
        <v>8.3333333333333329E-2</v>
      </c>
    </row>
    <row r="17" spans="2:13" ht="17.25" customHeight="1">
      <c r="B17" s="450"/>
      <c r="C17" s="89" t="s">
        <v>1081</v>
      </c>
      <c r="D17" s="93">
        <f>LOOKUP(2,1/(('0112 4度C'!$A:$A="新豐6線")*('0112 4度C'!$T:$T&lt;&gt;"")),'0112 4度C'!$T:$T)</f>
        <v>0.85416666666666663</v>
      </c>
      <c r="E17" s="91">
        <f>LOOKUP(2,1/(('0112 4度C'!$A:$A="新豐2線")*('0112 4度C'!$T:$T&lt;&gt;"")),'0112 4度C'!$T:$T)</f>
        <v>0.43958333333333333</v>
      </c>
      <c r="F17" s="91">
        <f>LOOKUP(2,1/(('0112 4度C'!$A:$A="新豐5線")*('0112 4度C'!$T:$T&lt;&gt;"")),'0112 4度C'!$T:$T)</f>
        <v>0.96597222222222223</v>
      </c>
      <c r="G17" s="91">
        <f>LOOKUP(2,1/(('0112 4度C'!$A:$A="新豐7線")*('0112 4度C'!$T:$T&lt;&gt;"")),'0112 4度C'!$T:$T)</f>
        <v>0.96944444444444433</v>
      </c>
      <c r="H17" s="91">
        <f>LOOKUP(2,1/(('0112 4度C'!$A:$A="新豐3線")*('0112 4度C'!$T:$T&lt;&gt;"")),'0112 4度C'!$T:$T)</f>
        <v>0.64374999999999982</v>
      </c>
      <c r="I17" s="91">
        <f>LOOKUP(2,1/(('0112 4度C'!$A:$A="新豐1線")*('0112 4度C'!$T:$T&lt;&gt;"")),'0112 4度C'!$T:$T)</f>
        <v>0.8388888888888888</v>
      </c>
      <c r="J17" s="92">
        <f>LOOKUP(2,1/(('0112 4度C'!$A:$A="新豐10線")*('0112 4度C'!$T:$T&lt;&gt;"")),'0112 4度C'!$T:$T)</f>
        <v>0.48124999999999996</v>
      </c>
      <c r="K17" s="90">
        <f>LOOKUP(2,1/(('0112 4度C'!$A:$A="新豐8線")*('0112 4度C'!$T:$T&lt;&gt;"")),'0112 4度C'!$T:$T)</f>
        <v>0.6333333333333333</v>
      </c>
      <c r="L17" s="91">
        <f>LOOKUP(2,1/(('0112 4度C'!$A:$A="新豐9線")*('0112 4度C'!$T:$T&lt;&gt;"")),'0112 4度C'!$T:$T)</f>
        <v>0.49583333333333329</v>
      </c>
      <c r="M17" s="92">
        <f>LOOKUP(2,1/(('0112 4度C'!$A:$A="新豐4線")*('0112 4度C'!$T:$T&lt;&gt;"")),'0112 4度C'!$T:$T)</f>
        <v>0.62986111111111109</v>
      </c>
    </row>
    <row r="18" spans="2:13" ht="17.25" customHeight="1">
      <c r="B18" s="428" t="s">
        <v>238</v>
      </c>
      <c r="C18" s="96" t="s">
        <v>41</v>
      </c>
      <c r="D18" s="97">
        <f>SUMIFS('0112 4度C'!$Y:$Y,'0112 4度C'!$A:$A,"新豐6線",'0112 4度C'!$B:$B,"平均")</f>
        <v>0</v>
      </c>
      <c r="E18" s="98">
        <f>SUMIFS('0112 4度C'!$Y:$Y,'0112 4度C'!$A:$A,"新豐2線",'0112 4度C'!$B:$B,"平均")</f>
        <v>0</v>
      </c>
      <c r="F18" s="98">
        <f>SUMIFS('0112 4度C'!$Y:$Y,'0112 4度C'!$A:$A,"新豐5線",'0112 4度C'!$B:$B,"平均")</f>
        <v>0</v>
      </c>
      <c r="G18" s="98">
        <f>SUMIFS('0112 4度C'!$Y:$Y,'0112 4度C'!$A:$A,"新豐7線",'0112 4度C'!$B:$B,"平均")</f>
        <v>0</v>
      </c>
      <c r="H18" s="98">
        <f>SUMIFS('0112 4度C'!$Y:$Y,'0112 4度C'!$A:$A,"新豐3線",'0112 4度C'!$B:$B,"平均")</f>
        <v>0</v>
      </c>
      <c r="I18" s="98">
        <f>SUMIFS('0112 4度C'!$Y:$Y,'0112 4度C'!$A:$A,"新豐1線",'0112 4度C'!$B:$B,"平均")</f>
        <v>0</v>
      </c>
      <c r="J18" s="99">
        <f>SUMIFS('0112 4度C'!$Y:$Y,'0112 4度C'!$A:$A,"新豐10線",'0112 4度C'!$B:$B,"平均")</f>
        <v>0</v>
      </c>
      <c r="K18" s="100">
        <f>SUMIFS('0112 4度C'!$Y:$Y,'0112 4度C'!$A:$A,"新豐8線",'0112 4度C'!$B:$B,"平均")</f>
        <v>0</v>
      </c>
      <c r="L18" s="98">
        <f>SUMIFS('0112 4度C'!$Y:$Y,'0112 4度C'!$A:$A,"新豐9線",'0112 4度C'!$B:$B,"平均")</f>
        <v>0</v>
      </c>
      <c r="M18" s="99">
        <f>SUMIFS('0112 4度C'!$Y:$Y,'0112 4度C'!$A:$A,"新豐4線",'0112 4度C'!$B:$B,"平均")</f>
        <v>0</v>
      </c>
    </row>
    <row r="19" spans="2:13" ht="17.25" customHeight="1">
      <c r="B19" s="429"/>
      <c r="C19" s="96" t="s">
        <v>42</v>
      </c>
      <c r="D19" s="97">
        <f>SUMIFS('0112 4度C'!$Z:$Z,'0112 4度C'!$A:$A,"新豐6線",'0112 4度C'!$B:$B,"平均")</f>
        <v>0</v>
      </c>
      <c r="E19" s="98">
        <f>SUMIFS('0112 4度C'!$Z:$Z,'0112 4度C'!$A:$A,"新豐2線",'0112 4度C'!$B:$B,"平均")</f>
        <v>0</v>
      </c>
      <c r="F19" s="98">
        <f>SUMIFS('0112 4度C'!$Z:$Z,'0112 4度C'!$A:$A,"新豐5線",'0112 4度C'!$B:$B,"平均")</f>
        <v>0</v>
      </c>
      <c r="G19" s="98">
        <f>SUMIFS('0112 4度C'!$Z:$Z,'0112 4度C'!$A:$A,"新豐7線",'0112 4度C'!$B:$B,"平均")</f>
        <v>0</v>
      </c>
      <c r="H19" s="98">
        <f>SUMIFS('0112 4度C'!$Z:$Z,'0112 4度C'!$A:$A,"新豐3線",'0112 4度C'!$B:$B,"平均")</f>
        <v>0</v>
      </c>
      <c r="I19" s="98">
        <f>SUMIFS('0112 4度C'!$Z:$Z,'0112 4度C'!$A:$A,"新豐1線",'0112 4度C'!$B:$B,"平均")</f>
        <v>0</v>
      </c>
      <c r="J19" s="99">
        <f>SUMIFS('0112 4度C'!$Z:$Z,'0112 4度C'!$A:$A,"新豐10線",'0112 4度C'!$B:$B,"平均")</f>
        <v>0</v>
      </c>
      <c r="K19" s="100">
        <f>SUMIFS('0112 4度C'!$Z:$Z,'0112 4度C'!$A:$A,"新豐8線",'0112 4度C'!$B:$B,"平均")</f>
        <v>0</v>
      </c>
      <c r="L19" s="98">
        <f>SUMIFS('0112 4度C'!$Z:$Z,'0112 4度C'!$A:$A,"新豐9線",'0112 4度C'!$B:$B,"平均")</f>
        <v>0</v>
      </c>
      <c r="M19" s="99">
        <f>SUMIFS('0112 4度C'!$Z:$Z,'0112 4度C'!$A:$A,"新豐4線",'0112 4度C'!$B:$B,"平均")</f>
        <v>0</v>
      </c>
    </row>
    <row r="20" spans="2:13" ht="17.25" customHeight="1">
      <c r="B20" s="428" t="s">
        <v>193</v>
      </c>
      <c r="C20" s="96" t="s">
        <v>41</v>
      </c>
      <c r="D20" s="97">
        <f>SUMIFS('0112 4度C'!$AC:$AC,'0112 4度C'!$A:$A,"新豐6線",'0112 4度C'!$B:$B,"平均")</f>
        <v>2</v>
      </c>
      <c r="E20" s="98">
        <f>SUMIFS('0112 4度C'!$AC:$AC,'0112 4度C'!$A:$A,"新豐2線",'0112 4度C'!$B:$B,"平均")</f>
        <v>2</v>
      </c>
      <c r="F20" s="98">
        <f>SUMIFS('0112 4度C'!$AC:$AC,'0112 4度C'!$A:$A,"新豐5線",'0112 4度C'!$B:$B,"平均")</f>
        <v>4</v>
      </c>
      <c r="G20" s="98">
        <f>SUMIFS('0112 4度C'!$AC:$AC,'0112 4度C'!$A:$A,"新豐7線",'0112 4度C'!$B:$B,"平均")</f>
        <v>5</v>
      </c>
      <c r="H20" s="98">
        <f>SUMIFS('0112 4度C'!$AC:$AC,'0112 4度C'!$A:$A,"新豐3線",'0112 4度C'!$B:$B,"平均")</f>
        <v>1</v>
      </c>
      <c r="I20" s="98">
        <f>SUMIFS('0112 4度C'!$AC:$AC,'0112 4度C'!$A:$A,"新豐1線",'0112 4度C'!$B:$B,"平均")</f>
        <v>4</v>
      </c>
      <c r="J20" s="99">
        <f>SUMIFS('0112 4度C'!$AC:$AC,'0112 4度C'!$A:$A,"新豐10線",'0112 4度C'!$B:$B,"平均")</f>
        <v>1</v>
      </c>
      <c r="K20" s="100">
        <f>SUMIFS('0112 4度C'!$AC:$AC,'0112 4度C'!$A:$A,"新豐8線",'0112 4度C'!$B:$B,"平均")</f>
        <v>8</v>
      </c>
      <c r="L20" s="98">
        <f>SUMIFS('0112 4度C'!$AC:$AC,'0112 4度C'!$A:$A,"新豐9線",'0112 4度C'!$B:$B,"平均")</f>
        <v>6</v>
      </c>
      <c r="M20" s="99">
        <f>SUMIFS('0112 4度C'!$AC:$AC,'0112 4度C'!$A:$A,"新豐4線",'0112 4度C'!$B:$B,"平均")</f>
        <v>8</v>
      </c>
    </row>
    <row r="21" spans="2:13" ht="17.25" customHeight="1">
      <c r="B21" s="429"/>
      <c r="C21" s="96" t="s">
        <v>1082</v>
      </c>
      <c r="D21" s="97">
        <f>SUMIFS('0112 4度C'!$AD:$AD,'0112 4度C'!$A:$A,"新豐6線",'0112 4度C'!$B:$B,"平均")</f>
        <v>0</v>
      </c>
      <c r="E21" s="98">
        <f>SUMIFS('0112 4度C'!$AD:$AD,'0112 4度C'!$A:$A,"新豐2線",'0112 4度C'!$B:$B,"平均")</f>
        <v>0</v>
      </c>
      <c r="F21" s="98">
        <f>SUMIFS('0112 4度C'!$AD:$AD,'0112 4度C'!$A:$A,"新豐5線",'0112 4度C'!$B:$B,"平均")</f>
        <v>0</v>
      </c>
      <c r="G21" s="98">
        <f>SUMIFS('0112 4度C'!$AD:$AD,'0112 4度C'!$A:$A,"新豐7線",'0112 4度C'!$B:$B,"平均")</f>
        <v>0</v>
      </c>
      <c r="H21" s="98">
        <f>SUMIFS('0112 4度C'!$AD:$AD,'0112 4度C'!$A:$A,"新豐3線",'0112 4度C'!$B:$B,"平均")</f>
        <v>0</v>
      </c>
      <c r="I21" s="98">
        <f>SUMIFS('0112 4度C'!$AD:$AD,'0112 4度C'!$A:$A,"新豐1線",'0112 4度C'!$B:$B,"平均")</f>
        <v>0</v>
      </c>
      <c r="J21" s="99">
        <f>SUMIFS('0112 4度C'!$AD:$AD,'0112 4度C'!$A:$A,"新豐10線",'0112 4度C'!$B:$B,"平均")</f>
        <v>0</v>
      </c>
      <c r="K21" s="100">
        <f>SUMIFS('0112 4度C'!$AD:$AD,'0112 4度C'!$A:$A,"新豐8線",'0112 4度C'!$B:$B,"平均")</f>
        <v>0</v>
      </c>
      <c r="L21" s="98">
        <f>SUMIFS('0112 4度C'!$AD:$AD,'0112 4度C'!$A:$A,"新豐9線",'0112 4度C'!$B:$B,"平均")</f>
        <v>0</v>
      </c>
      <c r="M21" s="99">
        <f>SUMIFS('0112 4度C'!$AD:$AD,'0112 4度C'!$A:$A,"新豐4線",'0112 4度C'!$B:$B,"平均")</f>
        <v>0</v>
      </c>
    </row>
    <row r="22" spans="2:13" ht="17.25" customHeight="1">
      <c r="B22" s="430" t="s">
        <v>242</v>
      </c>
      <c r="C22" s="431"/>
      <c r="D22" s="101">
        <f>SUMIFS('0112 4度C'!$I:$I,'0112 4度C'!$A:$A,"新豐6線",'0112 4度C'!$B:$B,"平均")</f>
        <v>18.25</v>
      </c>
      <c r="E22" s="102">
        <f>SUMIFS('0112 4度C'!$I:$I,'0112 4度C'!$A:$A,"新豐2線",'0112 4度C'!$B:$B,"平均")</f>
        <v>18</v>
      </c>
      <c r="F22" s="102">
        <f>SUMIFS('0112 4度C'!$I:$I,'0112 4度C'!$A:$A,"新豐5線",'0112 4度C'!$B:$B,"平均")</f>
        <v>16.666666666666668</v>
      </c>
      <c r="G22" s="102">
        <f>SUMIFS('0112 4度C'!$I:$I,'0112 4度C'!$A:$A,"新豐7線",'0112 4度C'!$B:$B,"平均")</f>
        <v>16.636363636363637</v>
      </c>
      <c r="H22" s="102">
        <f>SUMIFS('0112 4度C'!$I:$I,'0112 4度C'!$A:$A,"新豐3線",'0112 4度C'!$B:$B,"平均")</f>
        <v>10.7</v>
      </c>
      <c r="I22" s="102">
        <f>SUMIFS('0112 4度C'!$I:$I,'0112 4度C'!$A:$A,"新豐1線",'0112 4度C'!$B:$B,"平均")</f>
        <v>18.428571428571427</v>
      </c>
      <c r="J22" s="103">
        <f>SUMIFS('0112 4度C'!$I:$I,'0112 4度C'!$A:$A,"新豐10線",'0112 4度C'!$B:$B,"平均")</f>
        <v>9.75</v>
      </c>
      <c r="K22" s="101">
        <f>SUMIFS('0112 4度C'!$I:$I,'0112 4度C'!$A:$A,"新豐8線",'0112 4度C'!$B:$B,"平均")</f>
        <v>18.166666666666668</v>
      </c>
      <c r="L22" s="102">
        <f>SUMIFS('0112 4度C'!$I:$I,'0112 4度C'!$A:$A,"新豐9線",'0112 4度C'!$B:$B,"平均")</f>
        <v>17.666666666666668</v>
      </c>
      <c r="M22" s="103">
        <f>SUMIFS('0112 4度C'!$I:$I,'0112 4度C'!$A:$A,"新豐4線",'0112 4度C'!$B:$B,"平均")</f>
        <v>16.166666666666668</v>
      </c>
    </row>
    <row r="23" spans="2:13" ht="17.25" customHeight="1">
      <c r="B23" s="430" t="s">
        <v>196</v>
      </c>
      <c r="C23" s="431"/>
      <c r="D23" s="104" t="s">
        <v>157</v>
      </c>
      <c r="E23" s="105" t="s">
        <v>158</v>
      </c>
      <c r="F23" s="105" t="s">
        <v>1083</v>
      </c>
      <c r="G23" s="105" t="s">
        <v>198</v>
      </c>
      <c r="H23" s="105" t="s">
        <v>159</v>
      </c>
      <c r="I23" s="105" t="s">
        <v>157</v>
      </c>
      <c r="J23" s="106" t="s">
        <v>159</v>
      </c>
      <c r="K23" s="104" t="s">
        <v>1084</v>
      </c>
      <c r="L23" s="105" t="s">
        <v>1085</v>
      </c>
      <c r="M23" s="106" t="s">
        <v>1085</v>
      </c>
    </row>
    <row r="24" spans="2:13" ht="17.25" customHeight="1">
      <c r="B24" s="430" t="s">
        <v>200</v>
      </c>
      <c r="C24" s="431"/>
      <c r="D24" s="104"/>
      <c r="E24" s="105"/>
      <c r="F24" s="105" t="s">
        <v>1086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1087</v>
      </c>
      <c r="C25" s="433"/>
      <c r="D25" s="107"/>
      <c r="E25" s="108" t="s">
        <v>458</v>
      </c>
      <c r="F25" s="426" t="s">
        <v>1088</v>
      </c>
      <c r="G25" s="427"/>
      <c r="H25" s="108" t="s">
        <v>1089</v>
      </c>
      <c r="I25" s="108" t="s">
        <v>255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5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0"/>
  <sheetViews>
    <sheetView zoomScale="80" zoomScaleNormal="80" workbookViewId="0">
      <pane ySplit="4" topLeftCell="A62" activePane="bottomLeft" state="frozen"/>
      <selection activeCell="A13" sqref="A13"/>
      <selection pane="bottomLeft" sqref="A1:N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SUM(F5:F79)</f>
        <v>172008</v>
      </c>
      <c r="E1" s="199" t="s">
        <v>258</v>
      </c>
      <c r="F1" s="1">
        <f>SUM(G5:G79)</f>
        <v>5906620.7200000007</v>
      </c>
      <c r="G1" s="1" t="s">
        <v>1090</v>
      </c>
      <c r="H1" s="5">
        <f>L9+L12+L59+L67+L22+L72+L41+L48+L34+L79</f>
        <v>160.43160173160175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1091</v>
      </c>
      <c r="P1" s="542"/>
      <c r="Q1" s="542"/>
      <c r="R1" s="542"/>
      <c r="S1" s="542" t="s">
        <v>376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1092</v>
      </c>
      <c r="AB1" s="543"/>
      <c r="AC1" s="8" t="s">
        <v>1093</v>
      </c>
      <c r="AD1" s="7" t="s">
        <v>11</v>
      </c>
      <c r="AE1" s="542" t="s">
        <v>1094</v>
      </c>
      <c r="AF1" s="544"/>
      <c r="AG1" s="544"/>
    </row>
    <row r="2" spans="1:33" ht="26.25" customHeight="1">
      <c r="A2" s="49">
        <v>46034</v>
      </c>
      <c r="B2" s="50" t="s">
        <v>514</v>
      </c>
      <c r="C2" s="2" t="s">
        <v>13</v>
      </c>
      <c r="D2" s="10">
        <f>AVERAGE(N9,N12,N59,N67,N22,N72,N34,N41,N48,N79)</f>
        <v>137.07894693231216</v>
      </c>
      <c r="E2" s="11" t="s">
        <v>14</v>
      </c>
      <c r="F2" s="12">
        <f>F1/D1</f>
        <v>34.339220966466677</v>
      </c>
      <c r="G2" s="1" t="s">
        <v>15</v>
      </c>
      <c r="H2" s="210">
        <f>COUNT(H5:H79)</f>
        <v>8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SUM(Y9+Y12+Y22+Y34+Y41+Y48+Y59+Y67+Y72+Y79)</f>
        <v>0</v>
      </c>
      <c r="Z2" s="14">
        <f>SUM(Z9+Z12+Z22+Z34+Z41+Z48+Z59+Z67+Z72+Z79)</f>
        <v>0</v>
      </c>
      <c r="AA2" s="543"/>
      <c r="AB2" s="543"/>
      <c r="AC2" s="14">
        <v>41</v>
      </c>
      <c r="AD2" s="14">
        <f>SUM(AD9+AD12+AD22+AD34+AD41+AD48+AD59+AD67+AD72+AD79)</f>
        <v>0</v>
      </c>
      <c r="AE2" s="544"/>
      <c r="AF2" s="544"/>
      <c r="AG2" s="544"/>
    </row>
    <row r="3" spans="1:33" ht="40.5" customHeight="1">
      <c r="A3" s="491" t="s">
        <v>1095</v>
      </c>
      <c r="B3" s="491" t="s">
        <v>17</v>
      </c>
      <c r="C3" s="491" t="s">
        <v>273</v>
      </c>
      <c r="D3" s="491"/>
      <c r="E3" s="540" t="s">
        <v>1096</v>
      </c>
      <c r="F3" s="491" t="s">
        <v>20</v>
      </c>
      <c r="G3" s="540" t="s">
        <v>389</v>
      </c>
      <c r="H3" s="533" t="s">
        <v>22</v>
      </c>
      <c r="I3" s="531" t="s">
        <v>1097</v>
      </c>
      <c r="J3" s="528" t="s">
        <v>1098</v>
      </c>
      <c r="K3" s="538" t="s">
        <v>13</v>
      </c>
      <c r="L3" s="531" t="s">
        <v>23</v>
      </c>
      <c r="M3" s="528" t="s">
        <v>1098</v>
      </c>
      <c r="N3" s="538" t="s">
        <v>1099</v>
      </c>
      <c r="O3" s="531" t="s">
        <v>1097</v>
      </c>
      <c r="P3" s="538" t="s">
        <v>1099</v>
      </c>
      <c r="Q3" s="529" t="s">
        <v>25</v>
      </c>
      <c r="R3" s="507" t="s">
        <v>1100</v>
      </c>
      <c r="S3" s="539" t="s">
        <v>27</v>
      </c>
      <c r="T3" s="539"/>
      <c r="U3" s="533" t="s">
        <v>28</v>
      </c>
      <c r="V3" s="533" t="s">
        <v>1101</v>
      </c>
      <c r="W3" s="491" t="s">
        <v>30</v>
      </c>
      <c r="X3" s="491"/>
      <c r="Y3" s="534" t="s">
        <v>31</v>
      </c>
      <c r="Z3" s="495"/>
      <c r="AA3" s="535" t="s">
        <v>1102</v>
      </c>
      <c r="AB3" s="536"/>
      <c r="AC3" s="534" t="s">
        <v>1103</v>
      </c>
      <c r="AD3" s="495"/>
      <c r="AE3" s="528" t="s">
        <v>1104</v>
      </c>
      <c r="AF3" s="529" t="s">
        <v>25</v>
      </c>
      <c r="AG3" s="507" t="s">
        <v>1105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209" t="s">
        <v>37</v>
      </c>
      <c r="T4" s="209" t="s">
        <v>38</v>
      </c>
      <c r="U4" s="533"/>
      <c r="V4" s="533"/>
      <c r="W4" s="199" t="s">
        <v>1106</v>
      </c>
      <c r="X4" s="199" t="s">
        <v>1107</v>
      </c>
      <c r="Y4" s="202" t="s">
        <v>41</v>
      </c>
      <c r="Z4" s="202" t="s">
        <v>1108</v>
      </c>
      <c r="AA4" s="537"/>
      <c r="AB4" s="536"/>
      <c r="AC4" s="202" t="s">
        <v>43</v>
      </c>
      <c r="AD4" s="202" t="s">
        <v>1109</v>
      </c>
      <c r="AE4" s="528"/>
      <c r="AF4" s="529"/>
      <c r="AG4" s="507"/>
    </row>
    <row r="5" spans="1:33">
      <c r="A5" s="530" t="s">
        <v>1110</v>
      </c>
      <c r="B5" s="42" t="s">
        <v>103</v>
      </c>
      <c r="C5" s="532" t="s">
        <v>120</v>
      </c>
      <c r="D5" s="532"/>
      <c r="E5" s="42">
        <v>50.67</v>
      </c>
      <c r="F5" s="209">
        <v>1399</v>
      </c>
      <c r="G5" s="199">
        <f t="shared" ref="G5:G8" si="0">E5*F5</f>
        <v>70887.33</v>
      </c>
      <c r="H5" s="125" t="s">
        <v>79</v>
      </c>
      <c r="I5" s="207">
        <v>17</v>
      </c>
      <c r="J5" s="37">
        <v>2000</v>
      </c>
      <c r="K5" s="17">
        <f t="shared" ref="K5:K68" si="1">J5/I5</f>
        <v>117.64705882352941</v>
      </c>
      <c r="L5" s="207">
        <v>17</v>
      </c>
      <c r="M5" s="18">
        <f t="shared" ref="M5:M8" si="2">F5/V5*60</f>
        <v>1907.7272727272727</v>
      </c>
      <c r="N5" s="17">
        <f t="shared" ref="N5:N68" si="3">M5/L5</f>
        <v>112.2192513368984</v>
      </c>
      <c r="O5" s="19">
        <f t="shared" ref="O5:O68" si="4">L5-I5</f>
        <v>0</v>
      </c>
      <c r="P5" s="20">
        <f t="shared" ref="P5:P68" si="5">N5-K5</f>
        <v>-5.4278074866310106</v>
      </c>
      <c r="Q5" s="198">
        <f t="shared" ref="Q5:Q68" si="6">N5/K5</f>
        <v>0.95386363636363636</v>
      </c>
      <c r="R5" s="489">
        <f>Q9</f>
        <v>0.95932786971093431</v>
      </c>
      <c r="S5" s="40">
        <v>0.70833333333333337</v>
      </c>
      <c r="T5" s="40">
        <v>0.73888888888888893</v>
      </c>
      <c r="U5" s="199"/>
      <c r="V5" s="208">
        <f t="shared" ref="V5:V8" si="7">(T5-S5)*24*60</f>
        <v>44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-92.272727272727252</v>
      </c>
      <c r="AF5" s="198">
        <f t="shared" ref="AF5:AF68" si="9">M5/J5</f>
        <v>0.95386363636363636</v>
      </c>
      <c r="AG5" s="489">
        <f>AF9</f>
        <v>0.95932786971093431</v>
      </c>
    </row>
    <row r="6" spans="1:33">
      <c r="A6" s="531" t="s">
        <v>1111</v>
      </c>
      <c r="B6" s="42" t="s">
        <v>103</v>
      </c>
      <c r="C6" s="532" t="s">
        <v>121</v>
      </c>
      <c r="D6" s="532"/>
      <c r="E6" s="42">
        <v>54.09</v>
      </c>
      <c r="F6" s="209">
        <v>1426</v>
      </c>
      <c r="G6" s="199">
        <f t="shared" si="0"/>
        <v>77132.340000000011</v>
      </c>
      <c r="H6" s="125" t="s">
        <v>79</v>
      </c>
      <c r="I6" s="207">
        <v>19</v>
      </c>
      <c r="J6" s="37">
        <v>2000</v>
      </c>
      <c r="K6" s="17">
        <f t="shared" si="1"/>
        <v>105.26315789473684</v>
      </c>
      <c r="L6" s="207">
        <v>19</v>
      </c>
      <c r="M6" s="18">
        <f t="shared" si="2"/>
        <v>1944.5454545454545</v>
      </c>
      <c r="N6" s="17">
        <f t="shared" si="3"/>
        <v>102.3444976076555</v>
      </c>
      <c r="O6" s="19">
        <f t="shared" si="4"/>
        <v>0</v>
      </c>
      <c r="P6" s="20">
        <f t="shared" si="5"/>
        <v>-2.9186602870813374</v>
      </c>
      <c r="Q6" s="198">
        <f t="shared" si="6"/>
        <v>0.97227272727272729</v>
      </c>
      <c r="R6" s="489"/>
      <c r="S6" s="40">
        <v>0.74375000000000002</v>
      </c>
      <c r="T6" s="40">
        <v>0.77430555555555558</v>
      </c>
      <c r="U6" s="199">
        <f t="shared" ref="U6:U8" si="10">IF(S6=TIME(17,0,0),"",(S6-T5)*24*60)</f>
        <v>6.9999999999999751</v>
      </c>
      <c r="V6" s="208">
        <f t="shared" si="7"/>
        <v>44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-55.454545454545496</v>
      </c>
      <c r="AF6" s="198">
        <f t="shared" si="9"/>
        <v>0.97227272727272729</v>
      </c>
      <c r="AG6" s="489"/>
    </row>
    <row r="7" spans="1:33">
      <c r="A7" s="531" t="s">
        <v>46</v>
      </c>
      <c r="B7" s="42" t="s">
        <v>103</v>
      </c>
      <c r="C7" s="523" t="s">
        <v>515</v>
      </c>
      <c r="D7" s="524"/>
      <c r="E7" s="42">
        <v>50.67</v>
      </c>
      <c r="F7" s="209">
        <v>1982</v>
      </c>
      <c r="G7" s="199">
        <f t="shared" si="0"/>
        <v>100427.94</v>
      </c>
      <c r="H7" s="125" t="s">
        <v>79</v>
      </c>
      <c r="I7" s="207">
        <v>21</v>
      </c>
      <c r="J7" s="37">
        <v>2000</v>
      </c>
      <c r="K7" s="17">
        <f t="shared" si="1"/>
        <v>95.238095238095241</v>
      </c>
      <c r="L7" s="207">
        <v>21</v>
      </c>
      <c r="M7" s="18">
        <f t="shared" si="2"/>
        <v>1918.064516129034</v>
      </c>
      <c r="N7" s="17">
        <f t="shared" si="3"/>
        <v>91.336405529954007</v>
      </c>
      <c r="O7" s="19">
        <f t="shared" si="4"/>
        <v>0</v>
      </c>
      <c r="P7" s="20">
        <f t="shared" si="5"/>
        <v>-3.9016897081412338</v>
      </c>
      <c r="Q7" s="198">
        <f t="shared" si="6"/>
        <v>0.95903225806451708</v>
      </c>
      <c r="R7" s="489"/>
      <c r="S7" s="40">
        <v>0.77777777777777779</v>
      </c>
      <c r="T7" s="40">
        <v>0.8208333333333333</v>
      </c>
      <c r="U7" s="199">
        <f t="shared" si="10"/>
        <v>4.9999999999999822</v>
      </c>
      <c r="V7" s="208">
        <f t="shared" si="7"/>
        <v>61.999999999999943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-81.935483870965982</v>
      </c>
      <c r="AF7" s="198">
        <f t="shared" si="9"/>
        <v>0.95903225806451697</v>
      </c>
      <c r="AG7" s="489"/>
    </row>
    <row r="8" spans="1:33">
      <c r="A8" s="531" t="s">
        <v>46</v>
      </c>
      <c r="B8" s="42" t="s">
        <v>103</v>
      </c>
      <c r="C8" s="523" t="s">
        <v>122</v>
      </c>
      <c r="D8" s="524"/>
      <c r="E8" s="42">
        <v>50.29</v>
      </c>
      <c r="F8" s="209">
        <v>1333</v>
      </c>
      <c r="G8" s="199">
        <f t="shared" si="0"/>
        <v>67036.569999999992</v>
      </c>
      <c r="H8" s="125" t="s">
        <v>79</v>
      </c>
      <c r="I8" s="207">
        <v>16</v>
      </c>
      <c r="J8" s="37">
        <v>2000</v>
      </c>
      <c r="K8" s="17">
        <f t="shared" si="1"/>
        <v>125</v>
      </c>
      <c r="L8" s="207">
        <v>16</v>
      </c>
      <c r="M8" s="18">
        <f t="shared" si="2"/>
        <v>1904.2857142857135</v>
      </c>
      <c r="N8" s="17">
        <f t="shared" si="3"/>
        <v>119.0178571428571</v>
      </c>
      <c r="O8" s="19">
        <f t="shared" si="4"/>
        <v>0</v>
      </c>
      <c r="P8" s="20">
        <f t="shared" si="5"/>
        <v>-5.9821428571429038</v>
      </c>
      <c r="Q8" s="198">
        <f t="shared" si="6"/>
        <v>0.95214285714285674</v>
      </c>
      <c r="R8" s="489"/>
      <c r="S8" s="40">
        <v>0.82499999999999996</v>
      </c>
      <c r="T8" s="40">
        <v>0.85416666666666663</v>
      </c>
      <c r="U8" s="199">
        <f t="shared" si="10"/>
        <v>5.9999999999999787</v>
      </c>
      <c r="V8" s="208">
        <f t="shared" si="7"/>
        <v>42.000000000000014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-95.714285714286461</v>
      </c>
      <c r="AF8" s="198">
        <f t="shared" si="9"/>
        <v>0.95214285714285674</v>
      </c>
      <c r="AG8" s="489"/>
    </row>
    <row r="9" spans="1:33">
      <c r="A9" s="531" t="s">
        <v>1111</v>
      </c>
      <c r="B9" s="42" t="s">
        <v>71</v>
      </c>
      <c r="C9" s="494"/>
      <c r="D9" s="494"/>
      <c r="E9" s="201"/>
      <c r="F9" s="44"/>
      <c r="G9" s="17"/>
      <c r="H9" s="209"/>
      <c r="I9" s="30">
        <v>18.25</v>
      </c>
      <c r="J9" s="37">
        <v>2000</v>
      </c>
      <c r="K9" s="17">
        <f t="shared" si="1"/>
        <v>109.58904109589041</v>
      </c>
      <c r="L9" s="30">
        <v>18.25</v>
      </c>
      <c r="M9" s="18">
        <f>AVERAGE(M5:M8)</f>
        <v>1918.6557394218687</v>
      </c>
      <c r="N9" s="17">
        <f t="shared" si="3"/>
        <v>105.13182133818458</v>
      </c>
      <c r="O9" s="19">
        <f t="shared" si="4"/>
        <v>0</v>
      </c>
      <c r="P9" s="20">
        <f t="shared" si="5"/>
        <v>-4.457219757705829</v>
      </c>
      <c r="Q9" s="198">
        <f t="shared" si="6"/>
        <v>0.95932786971093431</v>
      </c>
      <c r="R9" s="489"/>
      <c r="S9" s="40"/>
      <c r="T9" s="40"/>
      <c r="U9" s="199"/>
      <c r="V9" s="208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v>2</v>
      </c>
      <c r="AD9" s="31">
        <f>SUM(AD5:AD8)</f>
        <v>0</v>
      </c>
      <c r="AE9" s="19">
        <f t="shared" si="8"/>
        <v>-81.344260578131298</v>
      </c>
      <c r="AF9" s="198">
        <f t="shared" si="9"/>
        <v>0.95932786971093431</v>
      </c>
      <c r="AG9" s="489"/>
    </row>
    <row r="10" spans="1:33" ht="15.75" customHeight="1">
      <c r="A10" s="527" t="s">
        <v>1112</v>
      </c>
      <c r="B10" s="42" t="s">
        <v>100</v>
      </c>
      <c r="C10" s="523" t="s">
        <v>124</v>
      </c>
      <c r="D10" s="524"/>
      <c r="E10" s="42">
        <v>39.619999999999997</v>
      </c>
      <c r="F10" s="209">
        <v>3411</v>
      </c>
      <c r="G10" s="199">
        <f t="shared" ref="G10:G11" si="11">E10*F10</f>
        <v>135143.81999999998</v>
      </c>
      <c r="H10" s="125" t="s">
        <v>79</v>
      </c>
      <c r="I10" s="207">
        <v>19</v>
      </c>
      <c r="J10" s="37">
        <v>1500</v>
      </c>
      <c r="K10" s="17">
        <f t="shared" si="1"/>
        <v>78.94736842105263</v>
      </c>
      <c r="L10" s="207">
        <v>19</v>
      </c>
      <c r="M10" s="18">
        <f t="shared" ref="M10:M11" si="12">F10/V10*60</f>
        <v>1431.1888111888111</v>
      </c>
      <c r="N10" s="17">
        <f t="shared" si="3"/>
        <v>75.325726904674269</v>
      </c>
      <c r="O10" s="19">
        <f t="shared" si="4"/>
        <v>0</v>
      </c>
      <c r="P10" s="20">
        <f t="shared" si="5"/>
        <v>-3.6216415163783608</v>
      </c>
      <c r="Q10" s="198">
        <f t="shared" si="6"/>
        <v>0.95412587412587413</v>
      </c>
      <c r="R10" s="489">
        <f>Q12</f>
        <v>0.95420579420579432</v>
      </c>
      <c r="S10" s="40">
        <v>0.16666666666666666</v>
      </c>
      <c r="T10" s="40">
        <v>0.26597222222222222</v>
      </c>
      <c r="U10" s="199"/>
      <c r="V10" s="208">
        <f t="shared" ref="V10:V11" si="13">(T10-S10)*24*60</f>
        <v>143.00000000000003</v>
      </c>
      <c r="W10" s="23">
        <f>T10</f>
        <v>0.26597222222222222</v>
      </c>
      <c r="X10" s="23">
        <f>S11</f>
        <v>0.28402777777777777</v>
      </c>
      <c r="Y10" s="23"/>
      <c r="Z10" s="23"/>
      <c r="AA10" s="491"/>
      <c r="AB10" s="491"/>
      <c r="AC10" s="154">
        <v>2</v>
      </c>
      <c r="AD10" s="25"/>
      <c r="AE10" s="19">
        <f t="shared" si="8"/>
        <v>-68.811188811188913</v>
      </c>
      <c r="AF10" s="198">
        <f t="shared" si="9"/>
        <v>0.95412587412587402</v>
      </c>
      <c r="AG10" s="489">
        <f>AF12</f>
        <v>0.95420579420579421</v>
      </c>
    </row>
    <row r="11" spans="1:33" ht="15.75" customHeight="1">
      <c r="A11" s="527" t="s">
        <v>1113</v>
      </c>
      <c r="B11" s="42" t="s">
        <v>100</v>
      </c>
      <c r="C11" s="523" t="s">
        <v>125</v>
      </c>
      <c r="D11" s="524"/>
      <c r="E11" s="42">
        <v>39.799999999999997</v>
      </c>
      <c r="F11" s="209">
        <v>5344</v>
      </c>
      <c r="G11" s="199">
        <f t="shared" si="11"/>
        <v>212691.19999999998</v>
      </c>
      <c r="H11" s="125" t="s">
        <v>79</v>
      </c>
      <c r="I11" s="207">
        <v>17</v>
      </c>
      <c r="J11" s="37">
        <v>1500</v>
      </c>
      <c r="K11" s="17">
        <f t="shared" si="1"/>
        <v>88.235294117647058</v>
      </c>
      <c r="L11" s="207">
        <v>17</v>
      </c>
      <c r="M11" s="18">
        <f t="shared" si="12"/>
        <v>1431.4285714285716</v>
      </c>
      <c r="N11" s="17">
        <f t="shared" si="3"/>
        <v>84.201680672268921</v>
      </c>
      <c r="O11" s="19">
        <f t="shared" si="4"/>
        <v>0</v>
      </c>
      <c r="P11" s="20">
        <f t="shared" si="5"/>
        <v>-4.0336134453781369</v>
      </c>
      <c r="Q11" s="198">
        <f t="shared" si="6"/>
        <v>0.9542857142857144</v>
      </c>
      <c r="R11" s="489"/>
      <c r="S11" s="40">
        <v>0.28402777777777777</v>
      </c>
      <c r="T11" s="40">
        <v>0.43958333333333333</v>
      </c>
      <c r="U11" s="199">
        <f t="shared" ref="U11" si="14">IF(S11=TIME(17,0,0),"",(S11-T10)*24*60)</f>
        <v>25.999999999999986</v>
      </c>
      <c r="V11" s="208">
        <f t="shared" si="13"/>
        <v>224</v>
      </c>
      <c r="W11" s="23"/>
      <c r="X11" s="23"/>
      <c r="Y11" s="23"/>
      <c r="Z11" s="23"/>
      <c r="AA11" s="491"/>
      <c r="AB11" s="491"/>
      <c r="AC11" s="154"/>
      <c r="AD11" s="25"/>
      <c r="AE11" s="19">
        <f t="shared" si="8"/>
        <v>-68.571428571428442</v>
      </c>
      <c r="AF11" s="198">
        <f t="shared" si="9"/>
        <v>0.9542857142857144</v>
      </c>
      <c r="AG11" s="489"/>
    </row>
    <row r="12" spans="1:33" ht="16.5" customHeight="1">
      <c r="A12" s="527" t="s">
        <v>1113</v>
      </c>
      <c r="B12" s="42" t="s">
        <v>1114</v>
      </c>
      <c r="C12" s="494"/>
      <c r="D12" s="494"/>
      <c r="E12" s="201"/>
      <c r="F12" s="37"/>
      <c r="G12" s="18"/>
      <c r="H12" s="209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1431.3086913086913</v>
      </c>
      <c r="N12" s="17">
        <f t="shared" si="3"/>
        <v>79.51714951714952</v>
      </c>
      <c r="O12" s="19">
        <f t="shared" si="4"/>
        <v>0</v>
      </c>
      <c r="P12" s="20">
        <f t="shared" si="5"/>
        <v>-3.8161838161838091</v>
      </c>
      <c r="Q12" s="198">
        <f t="shared" si="6"/>
        <v>0.95420579420579432</v>
      </c>
      <c r="R12" s="489"/>
      <c r="S12" s="40"/>
      <c r="T12" s="40"/>
      <c r="U12" s="17"/>
      <c r="V12" s="208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v>2</v>
      </c>
      <c r="AD12" s="31">
        <f>SUM(AD10:AD11)</f>
        <v>0</v>
      </c>
      <c r="AE12" s="19">
        <f t="shared" si="8"/>
        <v>-68.691308691308677</v>
      </c>
      <c r="AF12" s="198">
        <f t="shared" si="9"/>
        <v>0.95420579420579421</v>
      </c>
      <c r="AG12" s="489"/>
    </row>
    <row r="13" spans="1:33" ht="16.5" customHeight="1">
      <c r="A13" s="525" t="s">
        <v>1115</v>
      </c>
      <c r="B13" s="209" t="s">
        <v>126</v>
      </c>
      <c r="C13" s="515" t="s">
        <v>127</v>
      </c>
      <c r="D13" s="515"/>
      <c r="E13" s="42">
        <v>41</v>
      </c>
      <c r="F13" s="209">
        <v>2579</v>
      </c>
      <c r="G13" s="199">
        <f t="shared" ref="G13:G21" si="15">E13*F13</f>
        <v>105739</v>
      </c>
      <c r="H13" s="125" t="s">
        <v>79</v>
      </c>
      <c r="I13" s="207">
        <v>26</v>
      </c>
      <c r="J13" s="37">
        <v>1500</v>
      </c>
      <c r="K13" s="17">
        <f t="shared" si="1"/>
        <v>57.692307692307693</v>
      </c>
      <c r="L13" s="207">
        <v>26</v>
      </c>
      <c r="M13" s="18">
        <f t="shared" ref="M13:M21" si="16">F13/V13*60</f>
        <v>1432.7777777777783</v>
      </c>
      <c r="N13" s="17">
        <f t="shared" si="3"/>
        <v>55.10683760683763</v>
      </c>
      <c r="O13" s="19">
        <f t="shared" si="4"/>
        <v>0</v>
      </c>
      <c r="P13" s="20">
        <f t="shared" si="5"/>
        <v>-2.5854700854700639</v>
      </c>
      <c r="Q13" s="198">
        <f t="shared" si="6"/>
        <v>0.95518518518518558</v>
      </c>
      <c r="R13" s="489">
        <f>Q22</f>
        <v>0.96067622731700308</v>
      </c>
      <c r="S13" s="40">
        <v>0.20833333333333334</v>
      </c>
      <c r="T13" s="40">
        <v>0.28333333333333333</v>
      </c>
      <c r="U13" s="199"/>
      <c r="V13" s="208">
        <f t="shared" ref="V13:V21" si="17">(T13-S13)*24*60</f>
        <v>107.99999999999997</v>
      </c>
      <c r="W13" s="28"/>
      <c r="X13" s="28"/>
      <c r="Y13" s="28"/>
      <c r="Z13" s="28"/>
      <c r="AA13" s="491"/>
      <c r="AB13" s="491"/>
      <c r="AC13" s="154">
        <v>4</v>
      </c>
      <c r="AD13" s="25"/>
      <c r="AE13" s="19">
        <f t="shared" si="8"/>
        <v>-67.222222222221717</v>
      </c>
      <c r="AF13" s="198">
        <f t="shared" si="9"/>
        <v>0.95518518518518547</v>
      </c>
      <c r="AG13" s="489">
        <f>AF22</f>
        <v>0.9606762273170032</v>
      </c>
    </row>
    <row r="14" spans="1:33" ht="16.5" customHeight="1">
      <c r="A14" s="526" t="s">
        <v>1116</v>
      </c>
      <c r="B14" s="209" t="s">
        <v>128</v>
      </c>
      <c r="C14" s="515" t="s">
        <v>129</v>
      </c>
      <c r="D14" s="515"/>
      <c r="E14" s="42">
        <v>72.400000000000006</v>
      </c>
      <c r="F14" s="209">
        <v>924</v>
      </c>
      <c r="G14" s="199">
        <f t="shared" si="15"/>
        <v>66897.600000000006</v>
      </c>
      <c r="H14" s="125" t="s">
        <v>79</v>
      </c>
      <c r="I14" s="207">
        <v>18</v>
      </c>
      <c r="J14" s="37">
        <v>1500</v>
      </c>
      <c r="K14" s="17">
        <f t="shared" si="1"/>
        <v>83.333333333333329</v>
      </c>
      <c r="L14" s="207">
        <v>18</v>
      </c>
      <c r="M14" s="18">
        <f t="shared" si="16"/>
        <v>1458.9473684210516</v>
      </c>
      <c r="N14" s="17">
        <f t="shared" si="3"/>
        <v>81.052631578947313</v>
      </c>
      <c r="O14" s="19">
        <f t="shared" si="4"/>
        <v>0</v>
      </c>
      <c r="P14" s="20">
        <f t="shared" si="5"/>
        <v>-2.2807017543860155</v>
      </c>
      <c r="Q14" s="198">
        <f t="shared" si="6"/>
        <v>0.97263157894736785</v>
      </c>
      <c r="R14" s="489"/>
      <c r="S14" s="40">
        <v>0.28819444444444442</v>
      </c>
      <c r="T14" s="40">
        <v>0.31458333333333333</v>
      </c>
      <c r="U14" s="199">
        <f t="shared" ref="U14:U21" si="18">IF(S14=TIME(17,0,0),"",(S14-T13)*24*60)</f>
        <v>6.9999999999999751</v>
      </c>
      <c r="V14" s="208">
        <f t="shared" si="17"/>
        <v>38.000000000000028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-41.052631578948422</v>
      </c>
      <c r="AF14" s="198">
        <f t="shared" si="9"/>
        <v>0.97263157894736774</v>
      </c>
      <c r="AG14" s="489"/>
    </row>
    <row r="15" spans="1:33" ht="16.5" customHeight="1">
      <c r="A15" s="526" t="s">
        <v>1116</v>
      </c>
      <c r="B15" s="209" t="s">
        <v>130</v>
      </c>
      <c r="C15" s="515" t="s">
        <v>131</v>
      </c>
      <c r="D15" s="515"/>
      <c r="E15" s="42">
        <v>50.67</v>
      </c>
      <c r="F15" s="209">
        <v>1299</v>
      </c>
      <c r="G15" s="199">
        <f t="shared" si="15"/>
        <v>65820.33</v>
      </c>
      <c r="H15" s="125" t="s">
        <v>79</v>
      </c>
      <c r="I15" s="207">
        <v>16</v>
      </c>
      <c r="J15" s="37">
        <v>1500</v>
      </c>
      <c r="K15" s="17">
        <f t="shared" si="1"/>
        <v>93.75</v>
      </c>
      <c r="L15" s="207">
        <v>16</v>
      </c>
      <c r="M15" s="18">
        <f t="shared" si="16"/>
        <v>1443.3333333333342</v>
      </c>
      <c r="N15" s="17">
        <f t="shared" si="3"/>
        <v>90.208333333333385</v>
      </c>
      <c r="O15" s="19">
        <f t="shared" si="4"/>
        <v>0</v>
      </c>
      <c r="P15" s="20">
        <f t="shared" si="5"/>
        <v>-3.5416666666666146</v>
      </c>
      <c r="Q15" s="198">
        <f t="shared" si="6"/>
        <v>0.96222222222222276</v>
      </c>
      <c r="R15" s="489"/>
      <c r="S15" s="40">
        <v>0.32013888888888886</v>
      </c>
      <c r="T15" s="40">
        <v>0.35763888888888884</v>
      </c>
      <c r="U15" s="199">
        <f t="shared" si="18"/>
        <v>7.9999999999999716</v>
      </c>
      <c r="V15" s="208">
        <f t="shared" si="17"/>
        <v>53.999999999999972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-56.666666666665833</v>
      </c>
      <c r="AF15" s="198">
        <f t="shared" si="9"/>
        <v>0.96222222222222276</v>
      </c>
      <c r="AG15" s="489"/>
    </row>
    <row r="16" spans="1:33" ht="16.5" customHeight="1">
      <c r="A16" s="526" t="s">
        <v>1116</v>
      </c>
      <c r="B16" s="209" t="s">
        <v>103</v>
      </c>
      <c r="C16" s="515" t="s">
        <v>123</v>
      </c>
      <c r="D16" s="515"/>
      <c r="E16" s="42">
        <v>50.98</v>
      </c>
      <c r="F16" s="209">
        <v>800</v>
      </c>
      <c r="G16" s="199">
        <f t="shared" si="15"/>
        <v>40784</v>
      </c>
      <c r="H16" s="125">
        <v>2</v>
      </c>
      <c r="I16" s="207">
        <v>16</v>
      </c>
      <c r="J16" s="37">
        <v>2000</v>
      </c>
      <c r="K16" s="17">
        <f t="shared" si="1"/>
        <v>125</v>
      </c>
      <c r="L16" s="207">
        <v>16</v>
      </c>
      <c r="M16" s="18">
        <f t="shared" si="16"/>
        <v>1919.9999999999945</v>
      </c>
      <c r="N16" s="17">
        <f t="shared" si="3"/>
        <v>119.99999999999966</v>
      </c>
      <c r="O16" s="19">
        <f t="shared" si="4"/>
        <v>0</v>
      </c>
      <c r="P16" s="20">
        <f t="shared" si="5"/>
        <v>-5.0000000000003411</v>
      </c>
      <c r="Q16" s="198">
        <f t="shared" si="6"/>
        <v>0.9599999999999973</v>
      </c>
      <c r="R16" s="489"/>
      <c r="S16" s="40">
        <v>0.70833333333333337</v>
      </c>
      <c r="T16" s="40">
        <v>0.72569444444444453</v>
      </c>
      <c r="U16" s="199" t="str">
        <f t="shared" si="18"/>
        <v/>
      </c>
      <c r="V16" s="208">
        <f t="shared" si="17"/>
        <v>25.000000000000071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-80.000000000005457</v>
      </c>
      <c r="AF16" s="198">
        <f t="shared" si="9"/>
        <v>0.9599999999999973</v>
      </c>
      <c r="AG16" s="489"/>
    </row>
    <row r="17" spans="1:33" ht="16.5" customHeight="1">
      <c r="A17" s="526" t="s">
        <v>1116</v>
      </c>
      <c r="B17" s="209" t="s">
        <v>103</v>
      </c>
      <c r="C17" s="515" t="s">
        <v>132</v>
      </c>
      <c r="D17" s="515"/>
      <c r="E17" s="42">
        <v>50.92</v>
      </c>
      <c r="F17" s="209">
        <v>900</v>
      </c>
      <c r="G17" s="199">
        <f t="shared" si="15"/>
        <v>45828</v>
      </c>
      <c r="H17" s="125">
        <v>2</v>
      </c>
      <c r="I17" s="207">
        <v>15</v>
      </c>
      <c r="J17" s="37">
        <v>2000</v>
      </c>
      <c r="K17" s="17">
        <f t="shared" si="1"/>
        <v>133.33333333333334</v>
      </c>
      <c r="L17" s="207">
        <v>15</v>
      </c>
      <c r="M17" s="18">
        <f t="shared" si="16"/>
        <v>1928.5714285714246</v>
      </c>
      <c r="N17" s="17">
        <f t="shared" si="3"/>
        <v>128.5714285714283</v>
      </c>
      <c r="O17" s="19">
        <f t="shared" si="4"/>
        <v>0</v>
      </c>
      <c r="P17" s="20">
        <f t="shared" si="5"/>
        <v>-4.7619047619050434</v>
      </c>
      <c r="Q17" s="198">
        <f t="shared" si="6"/>
        <v>0.96428571428571219</v>
      </c>
      <c r="R17" s="489"/>
      <c r="S17" s="40">
        <v>0.72986111111111118</v>
      </c>
      <c r="T17" s="40">
        <v>0.74930555555555567</v>
      </c>
      <c r="U17" s="199">
        <f t="shared" si="18"/>
        <v>5.9999999999999787</v>
      </c>
      <c r="V17" s="208">
        <f t="shared" si="17"/>
        <v>28.00000000000006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-71.428571428575424</v>
      </c>
      <c r="AF17" s="198">
        <f t="shared" si="9"/>
        <v>0.9642857142857123</v>
      </c>
      <c r="AG17" s="489"/>
    </row>
    <row r="18" spans="1:33" ht="16.5" customHeight="1">
      <c r="A18" s="526" t="s">
        <v>1116</v>
      </c>
      <c r="B18" s="209" t="s">
        <v>103</v>
      </c>
      <c r="C18" s="521" t="s">
        <v>133</v>
      </c>
      <c r="D18" s="522"/>
      <c r="E18" s="42">
        <v>50.67</v>
      </c>
      <c r="F18" s="209">
        <v>1698</v>
      </c>
      <c r="G18" s="199">
        <f t="shared" si="15"/>
        <v>86037.66</v>
      </c>
      <c r="H18" s="125" t="s">
        <v>79</v>
      </c>
      <c r="I18" s="207">
        <v>15</v>
      </c>
      <c r="J18" s="37">
        <v>2000</v>
      </c>
      <c r="K18" s="17">
        <f t="shared" si="1"/>
        <v>133.33333333333334</v>
      </c>
      <c r="L18" s="207">
        <v>15</v>
      </c>
      <c r="M18" s="18">
        <f t="shared" si="16"/>
        <v>1922.2641509433975</v>
      </c>
      <c r="N18" s="17">
        <f t="shared" si="3"/>
        <v>128.15094339622649</v>
      </c>
      <c r="O18" s="19">
        <f t="shared" si="4"/>
        <v>0</v>
      </c>
      <c r="P18" s="20">
        <f t="shared" si="5"/>
        <v>-5.1823899371068478</v>
      </c>
      <c r="Q18" s="198">
        <f t="shared" si="6"/>
        <v>0.96113207547169865</v>
      </c>
      <c r="R18" s="489"/>
      <c r="S18" s="40">
        <v>0.75347222222222232</v>
      </c>
      <c r="T18" s="40">
        <v>0.79027777777777786</v>
      </c>
      <c r="U18" s="199">
        <f t="shared" si="18"/>
        <v>5.9999999999999787</v>
      </c>
      <c r="V18" s="208">
        <f t="shared" si="17"/>
        <v>52.999999999999972</v>
      </c>
      <c r="W18" s="23"/>
      <c r="X18" s="23"/>
      <c r="Y18" s="26"/>
      <c r="Z18" s="26"/>
      <c r="AA18" s="503"/>
      <c r="AB18" s="504"/>
      <c r="AC18" s="154"/>
      <c r="AD18" s="25"/>
      <c r="AE18" s="19">
        <f t="shared" si="8"/>
        <v>-77.735849056602547</v>
      </c>
      <c r="AF18" s="198">
        <f t="shared" si="9"/>
        <v>0.96113207547169877</v>
      </c>
      <c r="AG18" s="489"/>
    </row>
    <row r="19" spans="1:33" ht="16.5" customHeight="1">
      <c r="A19" s="526" t="s">
        <v>1115</v>
      </c>
      <c r="B19" s="209" t="s">
        <v>103</v>
      </c>
      <c r="C19" s="205" t="s">
        <v>134</v>
      </c>
      <c r="D19" s="206"/>
      <c r="E19" s="42">
        <v>57.3</v>
      </c>
      <c r="F19" s="209">
        <v>2157</v>
      </c>
      <c r="G19" s="199">
        <f t="shared" si="15"/>
        <v>123596.09999999999</v>
      </c>
      <c r="H19" s="125" t="s">
        <v>79</v>
      </c>
      <c r="I19" s="207">
        <v>13</v>
      </c>
      <c r="J19" s="37">
        <v>2000</v>
      </c>
      <c r="K19" s="17">
        <f t="shared" si="1"/>
        <v>153.84615384615384</v>
      </c>
      <c r="L19" s="207">
        <v>13</v>
      </c>
      <c r="M19" s="18">
        <f t="shared" si="16"/>
        <v>1903.2352941176446</v>
      </c>
      <c r="N19" s="17">
        <f t="shared" si="3"/>
        <v>146.40271493212651</v>
      </c>
      <c r="O19" s="19">
        <f t="shared" si="4"/>
        <v>0</v>
      </c>
      <c r="P19" s="20">
        <f t="shared" si="5"/>
        <v>-7.4434389140273254</v>
      </c>
      <c r="Q19" s="198">
        <f t="shared" si="6"/>
        <v>0.95161764705882235</v>
      </c>
      <c r="R19" s="489"/>
      <c r="S19" s="40">
        <v>0.79583333333333339</v>
      </c>
      <c r="T19" s="40">
        <v>0.84305555555555567</v>
      </c>
      <c r="U19" s="199">
        <f t="shared" si="18"/>
        <v>7.9999999999999716</v>
      </c>
      <c r="V19" s="208">
        <f t="shared" si="17"/>
        <v>68.000000000000085</v>
      </c>
      <c r="W19" s="23">
        <f>T19</f>
        <v>0.84305555555555567</v>
      </c>
      <c r="X19" s="23">
        <f>S20</f>
        <v>0.88541666666666674</v>
      </c>
      <c r="Y19" s="26"/>
      <c r="Z19" s="26"/>
      <c r="AA19" s="503"/>
      <c r="AB19" s="504"/>
      <c r="AC19" s="154"/>
      <c r="AD19" s="25"/>
      <c r="AE19" s="19">
        <f t="shared" si="8"/>
        <v>-96.764705882355429</v>
      </c>
      <c r="AF19" s="198">
        <f t="shared" si="9"/>
        <v>0.95161764705882224</v>
      </c>
      <c r="AG19" s="489"/>
    </row>
    <row r="20" spans="1:33" ht="16.5" customHeight="1">
      <c r="A20" s="526" t="s">
        <v>1116</v>
      </c>
      <c r="B20" s="209" t="s">
        <v>103</v>
      </c>
      <c r="C20" s="205" t="s">
        <v>123</v>
      </c>
      <c r="D20" s="206"/>
      <c r="E20" s="42">
        <v>50.98</v>
      </c>
      <c r="F20" s="209">
        <v>1850</v>
      </c>
      <c r="G20" s="199">
        <f t="shared" si="15"/>
        <v>94313</v>
      </c>
      <c r="H20" s="125" t="s">
        <v>79</v>
      </c>
      <c r="I20" s="207">
        <v>16</v>
      </c>
      <c r="J20" s="37">
        <v>2000</v>
      </c>
      <c r="K20" s="17">
        <f t="shared" si="1"/>
        <v>125</v>
      </c>
      <c r="L20" s="207">
        <v>16</v>
      </c>
      <c r="M20" s="18">
        <f t="shared" si="16"/>
        <v>1913.7931034482772</v>
      </c>
      <c r="N20" s="17">
        <f t="shared" si="3"/>
        <v>119.61206896551732</v>
      </c>
      <c r="O20" s="19">
        <f t="shared" si="4"/>
        <v>0</v>
      </c>
      <c r="P20" s="20">
        <f t="shared" si="5"/>
        <v>-5.3879310344826763</v>
      </c>
      <c r="Q20" s="198">
        <f t="shared" si="6"/>
        <v>0.95689655172413857</v>
      </c>
      <c r="R20" s="489"/>
      <c r="S20" s="40">
        <v>0.88541666666666674</v>
      </c>
      <c r="T20" s="40">
        <v>0.92569444444444449</v>
      </c>
      <c r="U20" s="199">
        <f t="shared" si="18"/>
        <v>60.999999999999943</v>
      </c>
      <c r="V20" s="208">
        <f t="shared" si="17"/>
        <v>57.999999999999957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-86.206896551722821</v>
      </c>
      <c r="AF20" s="198">
        <f t="shared" si="9"/>
        <v>0.95689655172413857</v>
      </c>
      <c r="AG20" s="489"/>
    </row>
    <row r="21" spans="1:33" ht="16.5" customHeight="1">
      <c r="A21" s="526" t="s">
        <v>1116</v>
      </c>
      <c r="B21" s="209" t="s">
        <v>103</v>
      </c>
      <c r="C21" s="521" t="s">
        <v>132</v>
      </c>
      <c r="D21" s="522"/>
      <c r="E21" s="42">
        <v>50.92</v>
      </c>
      <c r="F21" s="209">
        <v>1639</v>
      </c>
      <c r="G21" s="199">
        <f t="shared" si="15"/>
        <v>83457.88</v>
      </c>
      <c r="H21" s="125" t="s">
        <v>79</v>
      </c>
      <c r="I21" s="207">
        <v>15</v>
      </c>
      <c r="J21" s="37">
        <v>2000</v>
      </c>
      <c r="K21" s="17">
        <f t="shared" si="1"/>
        <v>133.33333333333334</v>
      </c>
      <c r="L21" s="207">
        <v>15</v>
      </c>
      <c r="M21" s="18">
        <f t="shared" si="16"/>
        <v>1928.2352941176478</v>
      </c>
      <c r="N21" s="17">
        <f t="shared" si="3"/>
        <v>128.54901960784318</v>
      </c>
      <c r="O21" s="19">
        <f t="shared" si="4"/>
        <v>0</v>
      </c>
      <c r="P21" s="20">
        <f t="shared" si="5"/>
        <v>-4.7843137254901649</v>
      </c>
      <c r="Q21" s="198">
        <f t="shared" si="6"/>
        <v>0.96411764705882375</v>
      </c>
      <c r="R21" s="489"/>
      <c r="S21" s="40">
        <v>0.93055555555555558</v>
      </c>
      <c r="T21" s="40">
        <v>0.96597222222222223</v>
      </c>
      <c r="U21" s="199">
        <f t="shared" si="18"/>
        <v>6.9999999999999751</v>
      </c>
      <c r="V21" s="208">
        <f t="shared" si="17"/>
        <v>50.999999999999979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-71.764705882352246</v>
      </c>
      <c r="AF21" s="198">
        <f t="shared" si="9"/>
        <v>0.96411764705882386</v>
      </c>
      <c r="AG21" s="489"/>
    </row>
    <row r="22" spans="1:33" ht="16.5" customHeight="1">
      <c r="A22" s="526" t="s">
        <v>1116</v>
      </c>
      <c r="B22" s="42" t="s">
        <v>1114</v>
      </c>
      <c r="C22" s="494"/>
      <c r="D22" s="494"/>
      <c r="E22" s="201"/>
      <c r="F22" s="44"/>
      <c r="G22" s="17"/>
      <c r="H22" s="209"/>
      <c r="I22" s="30">
        <v>16.666666666666668</v>
      </c>
      <c r="J22" s="37">
        <v>1833.3333333333333</v>
      </c>
      <c r="K22" s="17">
        <f t="shared" si="1"/>
        <v>109.99999999999999</v>
      </c>
      <c r="L22" s="30">
        <v>16.666666666666668</v>
      </c>
      <c r="M22" s="18">
        <f>AVERAGE(M13:M21)</f>
        <v>1761.2397500811724</v>
      </c>
      <c r="N22" s="17">
        <f t="shared" si="3"/>
        <v>105.67438500487033</v>
      </c>
      <c r="O22" s="19">
        <f t="shared" si="4"/>
        <v>0</v>
      </c>
      <c r="P22" s="20">
        <f t="shared" si="5"/>
        <v>-4.325614995129655</v>
      </c>
      <c r="Q22" s="198">
        <f t="shared" si="6"/>
        <v>0.96067622731700308</v>
      </c>
      <c r="R22" s="489"/>
      <c r="S22" s="40"/>
      <c r="T22" s="40"/>
      <c r="U22" s="199"/>
      <c r="V22" s="208"/>
      <c r="W22" s="17"/>
      <c r="X22" s="17"/>
      <c r="Y22" s="31">
        <f>SUM(Y13:Y21)</f>
        <v>0</v>
      </c>
      <c r="Z22" s="31">
        <f>SUM(Z13:Z21)</f>
        <v>0</v>
      </c>
      <c r="AA22" s="495"/>
      <c r="AB22" s="495"/>
      <c r="AC22" s="31">
        <v>4</v>
      </c>
      <c r="AD22" s="31">
        <f>SUM(AD13:AD21)</f>
        <v>0</v>
      </c>
      <c r="AE22" s="19">
        <f t="shared" si="8"/>
        <v>-72.093583252160897</v>
      </c>
      <c r="AF22" s="198">
        <f t="shared" si="9"/>
        <v>0.9606762273170032</v>
      </c>
      <c r="AG22" s="489"/>
    </row>
    <row r="23" spans="1:33" ht="15.75" customHeight="1">
      <c r="A23" s="519" t="s">
        <v>1117</v>
      </c>
      <c r="B23" s="42" t="s">
        <v>126</v>
      </c>
      <c r="C23" s="515" t="s">
        <v>135</v>
      </c>
      <c r="D23" s="515"/>
      <c r="E23" s="42">
        <v>43.14</v>
      </c>
      <c r="F23" s="209">
        <v>1112</v>
      </c>
      <c r="G23" s="199">
        <f t="shared" ref="G23:G33" si="19">E23*F23</f>
        <v>47971.68</v>
      </c>
      <c r="H23" s="125" t="s">
        <v>79</v>
      </c>
      <c r="I23" s="207">
        <v>17</v>
      </c>
      <c r="J23" s="37">
        <v>2000</v>
      </c>
      <c r="K23" s="17">
        <f t="shared" si="1"/>
        <v>117.64705882352941</v>
      </c>
      <c r="L23" s="207">
        <v>17</v>
      </c>
      <c r="M23" s="18">
        <f t="shared" ref="M23:M33" si="20">F23/V23*60</f>
        <v>1906.2857142857147</v>
      </c>
      <c r="N23" s="17">
        <f t="shared" si="3"/>
        <v>112.13445378151263</v>
      </c>
      <c r="O23" s="19">
        <f t="shared" si="4"/>
        <v>0</v>
      </c>
      <c r="P23" s="20">
        <f t="shared" si="5"/>
        <v>-5.5126050420167729</v>
      </c>
      <c r="Q23" s="198">
        <f t="shared" si="6"/>
        <v>0.9531428571428574</v>
      </c>
      <c r="R23" s="489">
        <f>Q34</f>
        <v>0.9590258622958665</v>
      </c>
      <c r="S23" s="40">
        <v>0.20833333333333334</v>
      </c>
      <c r="T23" s="40">
        <v>0.2326388888888889</v>
      </c>
      <c r="U23" s="199"/>
      <c r="V23" s="208">
        <f t="shared" ref="V23:V33" si="21">(T23-S23)*24*60</f>
        <v>34.999999999999993</v>
      </c>
      <c r="W23" s="28"/>
      <c r="X23" s="28"/>
      <c r="Y23" s="28"/>
      <c r="Z23" s="28"/>
      <c r="AA23" s="491"/>
      <c r="AB23" s="491"/>
      <c r="AC23" s="154">
        <v>5</v>
      </c>
      <c r="AD23" s="25"/>
      <c r="AE23" s="19">
        <f t="shared" si="8"/>
        <v>-93.714285714285325</v>
      </c>
      <c r="AF23" s="198">
        <f t="shared" si="9"/>
        <v>0.95314285714285729</v>
      </c>
      <c r="AG23" s="489">
        <f>AF34</f>
        <v>0.95902586229586639</v>
      </c>
    </row>
    <row r="24" spans="1:33" ht="15.75" customHeight="1">
      <c r="A24" s="520" t="s">
        <v>1117</v>
      </c>
      <c r="B24" s="42" t="s">
        <v>130</v>
      </c>
      <c r="C24" s="515" t="s">
        <v>136</v>
      </c>
      <c r="D24" s="515"/>
      <c r="E24" s="42">
        <v>49.9</v>
      </c>
      <c r="F24" s="209">
        <v>1078</v>
      </c>
      <c r="G24" s="199">
        <f t="shared" si="19"/>
        <v>53792.2</v>
      </c>
      <c r="H24" s="125" t="s">
        <v>79</v>
      </c>
      <c r="I24" s="207">
        <v>17</v>
      </c>
      <c r="J24" s="37">
        <v>2000</v>
      </c>
      <c r="K24" s="17">
        <f t="shared" si="1"/>
        <v>117.64705882352941</v>
      </c>
      <c r="L24" s="207">
        <v>17</v>
      </c>
      <c r="M24" s="18">
        <f t="shared" si="20"/>
        <v>1902.3529411764707</v>
      </c>
      <c r="N24" s="17">
        <f t="shared" si="3"/>
        <v>111.90311418685121</v>
      </c>
      <c r="O24" s="19">
        <f t="shared" si="4"/>
        <v>0</v>
      </c>
      <c r="P24" s="20">
        <f t="shared" si="5"/>
        <v>-5.7439446366781937</v>
      </c>
      <c r="Q24" s="198">
        <f t="shared" si="6"/>
        <v>0.9511764705882354</v>
      </c>
      <c r="R24" s="489"/>
      <c r="S24" s="40">
        <v>0.23680555555555557</v>
      </c>
      <c r="T24" s="40">
        <v>0.26041666666666669</v>
      </c>
      <c r="U24" s="199">
        <f t="shared" ref="U24:U33" si="22">IF(S24=TIME(17,0,0),"",(S24-T23)*24*60)</f>
        <v>6.0000000000000187</v>
      </c>
      <c r="V24" s="208">
        <f t="shared" si="21"/>
        <v>34</v>
      </c>
      <c r="W24" s="23"/>
      <c r="X24" s="199"/>
      <c r="Y24" s="199"/>
      <c r="Z24" s="199"/>
      <c r="AA24" s="491"/>
      <c r="AB24" s="491"/>
      <c r="AC24" s="154"/>
      <c r="AD24" s="25"/>
      <c r="AE24" s="19">
        <f t="shared" si="8"/>
        <v>-97.647058823529278</v>
      </c>
      <c r="AF24" s="198">
        <f t="shared" si="9"/>
        <v>0.9511764705882354</v>
      </c>
      <c r="AG24" s="489"/>
    </row>
    <row r="25" spans="1:33" ht="15.75" customHeight="1">
      <c r="A25" s="520" t="s">
        <v>1117</v>
      </c>
      <c r="B25" s="42" t="s">
        <v>103</v>
      </c>
      <c r="C25" s="515" t="s">
        <v>137</v>
      </c>
      <c r="D25" s="515"/>
      <c r="E25" s="42">
        <v>57.73</v>
      </c>
      <c r="F25" s="209">
        <v>2700</v>
      </c>
      <c r="G25" s="199">
        <f t="shared" si="19"/>
        <v>155871</v>
      </c>
      <c r="H25" s="125" t="s">
        <v>79</v>
      </c>
      <c r="I25" s="207">
        <v>14</v>
      </c>
      <c r="J25" s="37">
        <v>2000</v>
      </c>
      <c r="K25" s="17">
        <f t="shared" si="1"/>
        <v>142.85714285714286</v>
      </c>
      <c r="L25" s="207">
        <v>14</v>
      </c>
      <c r="M25" s="18">
        <f t="shared" si="20"/>
        <v>1905.8823529411761</v>
      </c>
      <c r="N25" s="17">
        <f t="shared" si="3"/>
        <v>136.13445378151258</v>
      </c>
      <c r="O25" s="19">
        <f t="shared" si="4"/>
        <v>0</v>
      </c>
      <c r="P25" s="20">
        <f t="shared" si="5"/>
        <v>-6.7226890756302851</v>
      </c>
      <c r="Q25" s="198">
        <f t="shared" si="6"/>
        <v>0.95294117647058796</v>
      </c>
      <c r="R25" s="489"/>
      <c r="S25" s="40">
        <v>0.26527777777777778</v>
      </c>
      <c r="T25" s="40">
        <v>0.32430555555555557</v>
      </c>
      <c r="U25" s="199">
        <f t="shared" si="22"/>
        <v>6.9999999999999751</v>
      </c>
      <c r="V25" s="208">
        <f t="shared" si="21"/>
        <v>85.000000000000014</v>
      </c>
      <c r="W25" s="23"/>
      <c r="X25" s="199"/>
      <c r="Y25" s="199"/>
      <c r="Z25" s="199"/>
      <c r="AA25" s="491"/>
      <c r="AB25" s="491"/>
      <c r="AC25" s="154"/>
      <c r="AD25" s="25"/>
      <c r="AE25" s="19">
        <f t="shared" si="8"/>
        <v>-94.117647058823877</v>
      </c>
      <c r="AF25" s="198">
        <f t="shared" si="9"/>
        <v>0.95294117647058807</v>
      </c>
      <c r="AG25" s="489"/>
    </row>
    <row r="26" spans="1:33" ht="15.75" customHeight="1">
      <c r="A26" s="520" t="s">
        <v>1117</v>
      </c>
      <c r="B26" s="42" t="s">
        <v>103</v>
      </c>
      <c r="C26" s="515" t="s">
        <v>138</v>
      </c>
      <c r="D26" s="515"/>
      <c r="E26" s="42">
        <v>53.68</v>
      </c>
      <c r="F26" s="209">
        <v>1617</v>
      </c>
      <c r="G26" s="199">
        <f t="shared" si="19"/>
        <v>86800.56</v>
      </c>
      <c r="H26" s="125" t="s">
        <v>79</v>
      </c>
      <c r="I26" s="207">
        <v>16</v>
      </c>
      <c r="J26" s="37">
        <v>2000</v>
      </c>
      <c r="K26" s="17">
        <f t="shared" si="1"/>
        <v>125</v>
      </c>
      <c r="L26" s="207">
        <v>16</v>
      </c>
      <c r="M26" s="18">
        <f t="shared" si="20"/>
        <v>1902.3529411764712</v>
      </c>
      <c r="N26" s="17">
        <f t="shared" si="3"/>
        <v>118.89705882352945</v>
      </c>
      <c r="O26" s="19">
        <f t="shared" si="4"/>
        <v>0</v>
      </c>
      <c r="P26" s="20">
        <f t="shared" si="5"/>
        <v>-6.1029411764705515</v>
      </c>
      <c r="Q26" s="198">
        <f t="shared" si="6"/>
        <v>0.95117647058823562</v>
      </c>
      <c r="R26" s="489"/>
      <c r="S26" s="40">
        <v>0.32916666666666666</v>
      </c>
      <c r="T26" s="40">
        <v>0.36458333333333331</v>
      </c>
      <c r="U26" s="199">
        <f t="shared" si="22"/>
        <v>6.9999999999999751</v>
      </c>
      <c r="V26" s="208">
        <f t="shared" si="21"/>
        <v>50.999999999999979</v>
      </c>
      <c r="W26" s="23"/>
      <c r="X26" s="199"/>
      <c r="Y26" s="199"/>
      <c r="Z26" s="199"/>
      <c r="AA26" s="491"/>
      <c r="AB26" s="491"/>
      <c r="AC26" s="154"/>
      <c r="AD26" s="25"/>
      <c r="AE26" s="19">
        <f t="shared" si="8"/>
        <v>-97.647058823528823</v>
      </c>
      <c r="AF26" s="198">
        <f t="shared" si="9"/>
        <v>0.95117647058823562</v>
      </c>
      <c r="AG26" s="489"/>
    </row>
    <row r="27" spans="1:33" ht="15.75" customHeight="1">
      <c r="A27" s="520" t="s">
        <v>1117</v>
      </c>
      <c r="B27" s="42" t="s">
        <v>103</v>
      </c>
      <c r="C27" s="515" t="s">
        <v>139</v>
      </c>
      <c r="D27" s="515"/>
      <c r="E27" s="42">
        <v>49.91</v>
      </c>
      <c r="F27" s="209">
        <v>828</v>
      </c>
      <c r="G27" s="199">
        <f t="shared" si="19"/>
        <v>41325.479999999996</v>
      </c>
      <c r="H27" s="125" t="s">
        <v>79</v>
      </c>
      <c r="I27" s="207">
        <v>17</v>
      </c>
      <c r="J27" s="37">
        <v>2000</v>
      </c>
      <c r="K27" s="17">
        <f t="shared" si="1"/>
        <v>117.64705882352941</v>
      </c>
      <c r="L27" s="207">
        <v>17</v>
      </c>
      <c r="M27" s="18">
        <f t="shared" si="20"/>
        <v>1910.7692307692319</v>
      </c>
      <c r="N27" s="17">
        <f t="shared" si="3"/>
        <v>112.39819004524894</v>
      </c>
      <c r="O27" s="19">
        <f t="shared" si="4"/>
        <v>0</v>
      </c>
      <c r="P27" s="20">
        <f t="shared" si="5"/>
        <v>-5.2488687782804675</v>
      </c>
      <c r="Q27" s="198">
        <f t="shared" si="6"/>
        <v>0.95538461538461605</v>
      </c>
      <c r="R27" s="489"/>
      <c r="S27" s="40">
        <v>0.36944444444444441</v>
      </c>
      <c r="T27" s="40">
        <v>0.38749999999999996</v>
      </c>
      <c r="U27" s="199">
        <f t="shared" si="22"/>
        <v>6.9999999999999751</v>
      </c>
      <c r="V27" s="208">
        <f t="shared" si="21"/>
        <v>25.999999999999986</v>
      </c>
      <c r="W27" s="23"/>
      <c r="X27" s="199"/>
      <c r="Y27" s="199"/>
      <c r="Z27" s="199"/>
      <c r="AA27" s="491"/>
      <c r="AB27" s="491"/>
      <c r="AC27" s="154"/>
      <c r="AD27" s="25"/>
      <c r="AE27" s="19">
        <f t="shared" si="8"/>
        <v>-89.230769230768146</v>
      </c>
      <c r="AF27" s="198">
        <f t="shared" si="9"/>
        <v>0.95538461538461594</v>
      </c>
      <c r="AG27" s="489"/>
    </row>
    <row r="28" spans="1:33" ht="15.75" customHeight="1">
      <c r="A28" s="520" t="s">
        <v>1117</v>
      </c>
      <c r="B28" s="42" t="s">
        <v>103</v>
      </c>
      <c r="C28" s="515" t="s">
        <v>140</v>
      </c>
      <c r="D28" s="515"/>
      <c r="E28" s="42">
        <v>50.49</v>
      </c>
      <c r="F28" s="209">
        <v>600</v>
      </c>
      <c r="G28" s="199">
        <f t="shared" si="19"/>
        <v>30294</v>
      </c>
      <c r="H28" s="125">
        <v>2</v>
      </c>
      <c r="I28" s="207">
        <v>15</v>
      </c>
      <c r="J28" s="37">
        <v>2000</v>
      </c>
      <c r="K28" s="17">
        <f t="shared" si="1"/>
        <v>133.33333333333334</v>
      </c>
      <c r="L28" s="207">
        <v>15</v>
      </c>
      <c r="M28" s="18">
        <f t="shared" si="20"/>
        <v>2000.000000000007</v>
      </c>
      <c r="N28" s="17">
        <f t="shared" si="3"/>
        <v>133.3333333333338</v>
      </c>
      <c r="O28" s="19">
        <f t="shared" si="4"/>
        <v>0</v>
      </c>
      <c r="P28" s="20">
        <f t="shared" si="5"/>
        <v>4.5474735088646412E-13</v>
      </c>
      <c r="Q28" s="198">
        <f t="shared" si="6"/>
        <v>1.0000000000000033</v>
      </c>
      <c r="R28" s="489"/>
      <c r="S28" s="40">
        <v>0.70833333333333337</v>
      </c>
      <c r="T28" s="40">
        <v>0.72083333333333333</v>
      </c>
      <c r="U28" s="199" t="str">
        <f t="shared" si="22"/>
        <v/>
      </c>
      <c r="V28" s="208">
        <f t="shared" si="21"/>
        <v>17.999999999999936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7.0485839387401938E-12</v>
      </c>
      <c r="AF28" s="198">
        <f t="shared" si="9"/>
        <v>1.0000000000000036</v>
      </c>
      <c r="AG28" s="489"/>
    </row>
    <row r="29" spans="1:33" ht="15.75" customHeight="1">
      <c r="A29" s="520" t="s">
        <v>1117</v>
      </c>
      <c r="B29" s="42" t="s">
        <v>103</v>
      </c>
      <c r="C29" s="515" t="s">
        <v>141</v>
      </c>
      <c r="D29" s="515"/>
      <c r="E29" s="42">
        <v>57.73</v>
      </c>
      <c r="F29" s="209">
        <v>1218</v>
      </c>
      <c r="G29" s="199">
        <f t="shared" si="19"/>
        <v>70315.14</v>
      </c>
      <c r="H29" s="125" t="s">
        <v>79</v>
      </c>
      <c r="I29" s="207">
        <v>16</v>
      </c>
      <c r="J29" s="37">
        <v>1500</v>
      </c>
      <c r="K29" s="17">
        <f t="shared" si="1"/>
        <v>93.75</v>
      </c>
      <c r="L29" s="207">
        <v>16</v>
      </c>
      <c r="M29" s="18">
        <f t="shared" si="20"/>
        <v>1432.941176470589</v>
      </c>
      <c r="N29" s="17">
        <f t="shared" si="3"/>
        <v>89.558823529411811</v>
      </c>
      <c r="O29" s="19">
        <f t="shared" si="4"/>
        <v>0</v>
      </c>
      <c r="P29" s="20">
        <f t="shared" si="5"/>
        <v>-4.1911764705881893</v>
      </c>
      <c r="Q29" s="198">
        <f t="shared" si="6"/>
        <v>0.95529411764705929</v>
      </c>
      <c r="R29" s="489"/>
      <c r="S29" s="40">
        <v>0.72430555555555554</v>
      </c>
      <c r="T29" s="40">
        <v>0.75972222222222219</v>
      </c>
      <c r="U29" s="199">
        <f t="shared" si="22"/>
        <v>4.9999999999999822</v>
      </c>
      <c r="V29" s="208">
        <f t="shared" si="21"/>
        <v>50.999999999999979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-67.058823529411029</v>
      </c>
      <c r="AF29" s="198">
        <f t="shared" si="9"/>
        <v>0.95529411764705929</v>
      </c>
      <c r="AG29" s="489"/>
    </row>
    <row r="30" spans="1:33" ht="15.75" customHeight="1">
      <c r="A30" s="520" t="s">
        <v>1117</v>
      </c>
      <c r="B30" s="42" t="s">
        <v>103</v>
      </c>
      <c r="C30" s="521" t="s">
        <v>108</v>
      </c>
      <c r="D30" s="522"/>
      <c r="E30" s="42">
        <v>54.29</v>
      </c>
      <c r="F30" s="209">
        <v>800</v>
      </c>
      <c r="G30" s="199">
        <f t="shared" si="19"/>
        <v>43432</v>
      </c>
      <c r="H30" s="125">
        <v>2</v>
      </c>
      <c r="I30" s="207">
        <v>20</v>
      </c>
      <c r="J30" s="37">
        <v>2000</v>
      </c>
      <c r="K30" s="17">
        <f t="shared" si="1"/>
        <v>100</v>
      </c>
      <c r="L30" s="207">
        <v>20</v>
      </c>
      <c r="M30" s="18">
        <f t="shared" si="20"/>
        <v>1919.9999999999945</v>
      </c>
      <c r="N30" s="17">
        <f t="shared" si="3"/>
        <v>95.99999999999973</v>
      </c>
      <c r="O30" s="19">
        <f t="shared" si="4"/>
        <v>0</v>
      </c>
      <c r="P30" s="20">
        <f t="shared" si="5"/>
        <v>-4.00000000000027</v>
      </c>
      <c r="Q30" s="198">
        <f t="shared" si="6"/>
        <v>0.9599999999999973</v>
      </c>
      <c r="R30" s="489"/>
      <c r="S30" s="40">
        <v>0.7631944444444444</v>
      </c>
      <c r="T30" s="40">
        <v>0.78055555555555556</v>
      </c>
      <c r="U30" s="199">
        <f t="shared" si="22"/>
        <v>4.9999999999999822</v>
      </c>
      <c r="V30" s="208">
        <f t="shared" si="21"/>
        <v>25.000000000000071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-80.000000000005457</v>
      </c>
      <c r="AF30" s="198">
        <f t="shared" si="9"/>
        <v>0.9599999999999973</v>
      </c>
      <c r="AG30" s="489"/>
    </row>
    <row r="31" spans="1:33" ht="15.75" customHeight="1">
      <c r="A31" s="520" t="s">
        <v>1117</v>
      </c>
      <c r="B31" s="42" t="s">
        <v>103</v>
      </c>
      <c r="C31" s="521" t="s">
        <v>142</v>
      </c>
      <c r="D31" s="522"/>
      <c r="E31" s="42">
        <v>53.68</v>
      </c>
      <c r="F31" s="209">
        <v>2202</v>
      </c>
      <c r="G31" s="199">
        <f t="shared" si="19"/>
        <v>118203.36</v>
      </c>
      <c r="H31" s="125" t="s">
        <v>79</v>
      </c>
      <c r="I31" s="207">
        <v>16</v>
      </c>
      <c r="J31" s="37">
        <v>1500</v>
      </c>
      <c r="K31" s="17">
        <f t="shared" si="1"/>
        <v>93.75</v>
      </c>
      <c r="L31" s="207">
        <v>16</v>
      </c>
      <c r="M31" s="18">
        <f t="shared" si="20"/>
        <v>1436.0869565217392</v>
      </c>
      <c r="N31" s="17">
        <f t="shared" si="3"/>
        <v>89.755434782608702</v>
      </c>
      <c r="O31" s="19">
        <f t="shared" si="4"/>
        <v>0</v>
      </c>
      <c r="P31" s="20">
        <f t="shared" si="5"/>
        <v>-3.9945652173912976</v>
      </c>
      <c r="Q31" s="198">
        <f t="shared" si="6"/>
        <v>0.95739130434782616</v>
      </c>
      <c r="R31" s="489"/>
      <c r="S31" s="40">
        <v>0.78472222222222221</v>
      </c>
      <c r="T31" s="40">
        <v>0.84861111111111109</v>
      </c>
      <c r="U31" s="199">
        <f t="shared" si="22"/>
        <v>5.9999999999999787</v>
      </c>
      <c r="V31" s="208">
        <f t="shared" si="21"/>
        <v>92</v>
      </c>
      <c r="W31" s="23">
        <f>T31</f>
        <v>0.84861111111111109</v>
      </c>
      <c r="X31" s="23">
        <f>S32</f>
        <v>0.88888888888888884</v>
      </c>
      <c r="Y31" s="26"/>
      <c r="Z31" s="26"/>
      <c r="AA31" s="503"/>
      <c r="AB31" s="504"/>
      <c r="AC31" s="154"/>
      <c r="AD31" s="25"/>
      <c r="AE31" s="19">
        <f t="shared" si="8"/>
        <v>-63.913043478260761</v>
      </c>
      <c r="AF31" s="198">
        <f t="shared" si="9"/>
        <v>0.95739130434782616</v>
      </c>
      <c r="AG31" s="489"/>
    </row>
    <row r="32" spans="1:33" ht="15.75" customHeight="1">
      <c r="A32" s="520" t="s">
        <v>1117</v>
      </c>
      <c r="B32" s="42" t="s">
        <v>103</v>
      </c>
      <c r="C32" s="521" t="s">
        <v>140</v>
      </c>
      <c r="D32" s="522"/>
      <c r="E32" s="42">
        <v>50.49</v>
      </c>
      <c r="F32" s="209">
        <v>1432</v>
      </c>
      <c r="G32" s="199">
        <f t="shared" si="19"/>
        <v>72301.680000000008</v>
      </c>
      <c r="H32" s="125" t="s">
        <v>79</v>
      </c>
      <c r="I32" s="207">
        <v>15</v>
      </c>
      <c r="J32" s="37">
        <v>2000</v>
      </c>
      <c r="K32" s="17">
        <f t="shared" si="1"/>
        <v>133.33333333333334</v>
      </c>
      <c r="L32" s="207">
        <v>15</v>
      </c>
      <c r="M32" s="18">
        <f t="shared" si="20"/>
        <v>1909.3333333333335</v>
      </c>
      <c r="N32" s="17">
        <f t="shared" si="3"/>
        <v>127.28888888888891</v>
      </c>
      <c r="O32" s="19">
        <f t="shared" si="4"/>
        <v>0</v>
      </c>
      <c r="P32" s="20">
        <f t="shared" si="5"/>
        <v>-6.0444444444444372</v>
      </c>
      <c r="Q32" s="198">
        <f t="shared" si="6"/>
        <v>0.95466666666666677</v>
      </c>
      <c r="R32" s="489"/>
      <c r="S32" s="40">
        <v>0.88888888888888884</v>
      </c>
      <c r="T32" s="40">
        <v>0.92013888888888884</v>
      </c>
      <c r="U32" s="199">
        <f t="shared" si="22"/>
        <v>57.999999999999957</v>
      </c>
      <c r="V32" s="208">
        <f t="shared" si="21"/>
        <v>45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-90.666666666666515</v>
      </c>
      <c r="AF32" s="198">
        <f t="shared" si="9"/>
        <v>0.95466666666666677</v>
      </c>
      <c r="AG32" s="489"/>
    </row>
    <row r="33" spans="1:33" ht="15.75" customHeight="1">
      <c r="A33" s="520" t="s">
        <v>1117</v>
      </c>
      <c r="B33" s="42" t="s">
        <v>103</v>
      </c>
      <c r="C33" s="521" t="s">
        <v>108</v>
      </c>
      <c r="D33" s="522"/>
      <c r="E33" s="42">
        <v>54.29</v>
      </c>
      <c r="F33" s="209">
        <v>2073</v>
      </c>
      <c r="G33" s="199">
        <f t="shared" si="19"/>
        <v>112543.17</v>
      </c>
      <c r="H33" s="125" t="s">
        <v>79</v>
      </c>
      <c r="I33" s="207">
        <v>20</v>
      </c>
      <c r="J33" s="37">
        <v>2000</v>
      </c>
      <c r="K33" s="17">
        <f t="shared" si="1"/>
        <v>100</v>
      </c>
      <c r="L33" s="207">
        <v>20</v>
      </c>
      <c r="M33" s="18">
        <f t="shared" si="20"/>
        <v>1913.5384615384637</v>
      </c>
      <c r="N33" s="17">
        <f t="shared" si="3"/>
        <v>95.676923076923188</v>
      </c>
      <c r="O33" s="19">
        <f t="shared" si="4"/>
        <v>0</v>
      </c>
      <c r="P33" s="20">
        <f t="shared" si="5"/>
        <v>-4.3230769230768118</v>
      </c>
      <c r="Q33" s="198">
        <f t="shared" si="6"/>
        <v>0.95676923076923193</v>
      </c>
      <c r="R33" s="489"/>
      <c r="S33" s="40">
        <v>0.92430555555555549</v>
      </c>
      <c r="T33" s="40">
        <v>0.96944444444444433</v>
      </c>
      <c r="U33" s="199">
        <f t="shared" si="22"/>
        <v>5.9999999999999787</v>
      </c>
      <c r="V33" s="208">
        <f t="shared" si="21"/>
        <v>64.999999999999929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-86.461538461536293</v>
      </c>
      <c r="AF33" s="198">
        <f t="shared" si="9"/>
        <v>0.95676923076923182</v>
      </c>
      <c r="AG33" s="489"/>
    </row>
    <row r="34" spans="1:33" ht="15.75" customHeight="1">
      <c r="A34" s="520" t="s">
        <v>1117</v>
      </c>
      <c r="B34" s="42" t="s">
        <v>1118</v>
      </c>
      <c r="C34" s="494"/>
      <c r="D34" s="494"/>
      <c r="E34" s="201"/>
      <c r="F34" s="209"/>
      <c r="G34" s="199"/>
      <c r="H34" s="209"/>
      <c r="I34" s="30">
        <v>16.636363636363637</v>
      </c>
      <c r="J34" s="37">
        <v>1909.090909090909</v>
      </c>
      <c r="K34" s="17">
        <f t="shared" si="1"/>
        <v>114.75409836065573</v>
      </c>
      <c r="L34" s="30">
        <v>16.636363636363637</v>
      </c>
      <c r="M34" s="18">
        <f>AVERAGE(M23:M33)</f>
        <v>1830.8675552921086</v>
      </c>
      <c r="N34" s="17">
        <f t="shared" si="3"/>
        <v>110.05214813231254</v>
      </c>
      <c r="O34" s="19">
        <f t="shared" si="4"/>
        <v>0</v>
      </c>
      <c r="P34" s="20">
        <f t="shared" si="5"/>
        <v>-4.7019502283431933</v>
      </c>
      <c r="Q34" s="198">
        <f t="shared" si="6"/>
        <v>0.9590258622958665</v>
      </c>
      <c r="R34" s="489"/>
      <c r="S34" s="40"/>
      <c r="T34" s="40"/>
      <c r="U34" s="17"/>
      <c r="V34" s="208"/>
      <c r="W34" s="17"/>
      <c r="X34" s="17"/>
      <c r="Y34" s="31">
        <f>SUM(Y23:Y33)</f>
        <v>0</v>
      </c>
      <c r="Z34" s="31">
        <f>SUM(Z23:Z33)</f>
        <v>0</v>
      </c>
      <c r="AA34" s="495"/>
      <c r="AB34" s="495"/>
      <c r="AC34" s="31">
        <v>5</v>
      </c>
      <c r="AD34" s="31">
        <f>SUM(AD23:AD33)</f>
        <v>0</v>
      </c>
      <c r="AE34" s="19">
        <f t="shared" si="8"/>
        <v>-78.223353798800417</v>
      </c>
      <c r="AF34" s="198">
        <f t="shared" si="9"/>
        <v>0.95902586229586639</v>
      </c>
      <c r="AG34" s="489"/>
    </row>
    <row r="35" spans="1:33" ht="15.75" customHeight="1">
      <c r="A35" s="518" t="s">
        <v>1119</v>
      </c>
      <c r="B35" s="42" t="s">
        <v>80</v>
      </c>
      <c r="C35" s="515" t="s">
        <v>81</v>
      </c>
      <c r="D35" s="515"/>
      <c r="E35" s="42">
        <v>31.29</v>
      </c>
      <c r="F35" s="209">
        <v>4000</v>
      </c>
      <c r="G35" s="199">
        <f t="shared" ref="G35:G40" si="23">E35*F35</f>
        <v>125160</v>
      </c>
      <c r="H35" s="125">
        <v>2</v>
      </c>
      <c r="I35" s="207">
        <v>18</v>
      </c>
      <c r="J35" s="37">
        <v>2400</v>
      </c>
      <c r="K35" s="17">
        <f t="shared" si="1"/>
        <v>133.33333333333334</v>
      </c>
      <c r="L35" s="207">
        <v>18</v>
      </c>
      <c r="M35" s="18">
        <f t="shared" ref="M35:M40" si="24">F35/V35*60</f>
        <v>2285.7142857142858</v>
      </c>
      <c r="N35" s="17">
        <f t="shared" si="3"/>
        <v>126.98412698412699</v>
      </c>
      <c r="O35" s="19">
        <f t="shared" si="4"/>
        <v>0</v>
      </c>
      <c r="P35" s="20">
        <f t="shared" si="5"/>
        <v>-6.3492063492063551</v>
      </c>
      <c r="Q35" s="198">
        <f t="shared" si="6"/>
        <v>0.95238095238095233</v>
      </c>
      <c r="R35" s="489">
        <f>Q41</f>
        <v>0.95529921083806768</v>
      </c>
      <c r="S35" s="40">
        <v>8.3333333333333329E-2</v>
      </c>
      <c r="T35" s="40">
        <v>0.15625</v>
      </c>
      <c r="U35" s="199"/>
      <c r="V35" s="208">
        <f t="shared" ref="V35:V40" si="25">(T35-S35)*24*60</f>
        <v>105</v>
      </c>
      <c r="W35" s="23">
        <f>T35</f>
        <v>0.15625</v>
      </c>
      <c r="X35" s="23">
        <f>S36</f>
        <v>0.17499999999999999</v>
      </c>
      <c r="Y35" s="23"/>
      <c r="Z35" s="23"/>
      <c r="AA35" s="491"/>
      <c r="AB35" s="491"/>
      <c r="AC35" s="154">
        <v>8</v>
      </c>
      <c r="AD35" s="25"/>
      <c r="AE35" s="19">
        <f t="shared" si="8"/>
        <v>-114.28571428571422</v>
      </c>
      <c r="AF35" s="198">
        <f t="shared" si="9"/>
        <v>0.95238095238095244</v>
      </c>
      <c r="AG35" s="489">
        <f>AF41</f>
        <v>0.95529921083806779</v>
      </c>
    </row>
    <row r="36" spans="1:33" ht="15.75" customHeight="1">
      <c r="A36" s="518" t="s">
        <v>1119</v>
      </c>
      <c r="B36" s="42" t="s">
        <v>80</v>
      </c>
      <c r="C36" s="515" t="s">
        <v>82</v>
      </c>
      <c r="D36" s="515"/>
      <c r="E36" s="42">
        <v>26.2</v>
      </c>
      <c r="F36" s="209">
        <v>4894</v>
      </c>
      <c r="G36" s="199">
        <f t="shared" si="23"/>
        <v>128222.8</v>
      </c>
      <c r="H36" s="125" t="s">
        <v>79</v>
      </c>
      <c r="I36" s="207">
        <v>20</v>
      </c>
      <c r="J36" s="37">
        <v>2400</v>
      </c>
      <c r="K36" s="17">
        <f t="shared" si="1"/>
        <v>120</v>
      </c>
      <c r="L36" s="207">
        <v>20</v>
      </c>
      <c r="M36" s="18">
        <f t="shared" si="24"/>
        <v>2294.0624999999995</v>
      </c>
      <c r="N36" s="17">
        <f t="shared" si="3"/>
        <v>114.70312499999997</v>
      </c>
      <c r="O36" s="19">
        <f t="shared" si="4"/>
        <v>0</v>
      </c>
      <c r="P36" s="20">
        <f t="shared" si="5"/>
        <v>-5.2968750000000284</v>
      </c>
      <c r="Q36" s="198">
        <f t="shared" si="6"/>
        <v>0.95585937499999973</v>
      </c>
      <c r="R36" s="489"/>
      <c r="S36" s="40">
        <v>0.17499999999999999</v>
      </c>
      <c r="T36" s="40">
        <v>0.2638888888888889</v>
      </c>
      <c r="U36" s="199">
        <f t="shared" ref="U36:U40" si="26">(S36-T35)*24*60</f>
        <v>26.999999999999986</v>
      </c>
      <c r="V36" s="208">
        <f t="shared" si="25"/>
        <v>128.00000000000003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-105.93750000000045</v>
      </c>
      <c r="AF36" s="198">
        <f t="shared" si="9"/>
        <v>0.95585937499999984</v>
      </c>
      <c r="AG36" s="489"/>
    </row>
    <row r="37" spans="1:33" ht="15.75" customHeight="1">
      <c r="A37" s="518" t="s">
        <v>1119</v>
      </c>
      <c r="B37" s="42" t="s">
        <v>80</v>
      </c>
      <c r="C37" s="515" t="s">
        <v>83</v>
      </c>
      <c r="D37" s="515"/>
      <c r="E37" s="42">
        <v>25.99</v>
      </c>
      <c r="F37" s="209">
        <v>4402</v>
      </c>
      <c r="G37" s="199">
        <f t="shared" si="23"/>
        <v>114407.98</v>
      </c>
      <c r="H37" s="125" t="s">
        <v>79</v>
      </c>
      <c r="I37" s="207">
        <v>14</v>
      </c>
      <c r="J37" s="37">
        <v>2400</v>
      </c>
      <c r="K37" s="17">
        <f t="shared" si="1"/>
        <v>171.42857142857142</v>
      </c>
      <c r="L37" s="207">
        <v>14</v>
      </c>
      <c r="M37" s="18">
        <f t="shared" si="24"/>
        <v>2296.6956521739135</v>
      </c>
      <c r="N37" s="17">
        <f t="shared" si="3"/>
        <v>164.04968944099383</v>
      </c>
      <c r="O37" s="19">
        <f t="shared" si="4"/>
        <v>0</v>
      </c>
      <c r="P37" s="20">
        <f t="shared" si="5"/>
        <v>-7.3788819875775857</v>
      </c>
      <c r="Q37" s="198">
        <f t="shared" si="6"/>
        <v>0.95695652173913071</v>
      </c>
      <c r="R37" s="489"/>
      <c r="S37" s="40">
        <v>0.26874999999999999</v>
      </c>
      <c r="T37" s="40">
        <v>0.34861111111111109</v>
      </c>
      <c r="U37" s="199">
        <f t="shared" si="26"/>
        <v>6.9999999999999751</v>
      </c>
      <c r="V37" s="208">
        <f t="shared" si="25"/>
        <v>114.99999999999999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-103.30434782608654</v>
      </c>
      <c r="AF37" s="198">
        <f t="shared" si="9"/>
        <v>0.95695652173913059</v>
      </c>
      <c r="AG37" s="489"/>
    </row>
    <row r="38" spans="1:33" ht="15.75" customHeight="1">
      <c r="A38" s="518" t="s">
        <v>1119</v>
      </c>
      <c r="B38" s="42" t="s">
        <v>80</v>
      </c>
      <c r="C38" s="515" t="s">
        <v>84</v>
      </c>
      <c r="D38" s="515"/>
      <c r="E38" s="42">
        <v>20.52</v>
      </c>
      <c r="F38" s="209">
        <v>4403</v>
      </c>
      <c r="G38" s="199">
        <f t="shared" si="23"/>
        <v>90349.56</v>
      </c>
      <c r="H38" s="125" t="s">
        <v>79</v>
      </c>
      <c r="I38" s="207">
        <v>18</v>
      </c>
      <c r="J38" s="37">
        <v>2400</v>
      </c>
      <c r="K38" s="17">
        <f t="shared" si="1"/>
        <v>133.33333333333334</v>
      </c>
      <c r="L38" s="207">
        <v>18</v>
      </c>
      <c r="M38" s="18">
        <f t="shared" si="24"/>
        <v>2297.217391304348</v>
      </c>
      <c r="N38" s="17">
        <f t="shared" si="3"/>
        <v>127.62318840579711</v>
      </c>
      <c r="O38" s="19">
        <f t="shared" si="4"/>
        <v>0</v>
      </c>
      <c r="P38" s="20">
        <f t="shared" si="5"/>
        <v>-5.7101449275362341</v>
      </c>
      <c r="Q38" s="198">
        <f t="shared" si="6"/>
        <v>0.95717391304347821</v>
      </c>
      <c r="R38" s="489"/>
      <c r="S38" s="40">
        <v>0.35347222222222219</v>
      </c>
      <c r="T38" s="40">
        <v>0.43333333333333329</v>
      </c>
      <c r="U38" s="199">
        <f t="shared" si="26"/>
        <v>6.9999999999999751</v>
      </c>
      <c r="V38" s="208">
        <f t="shared" si="25"/>
        <v>114.99999999999999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-102.78260869565202</v>
      </c>
      <c r="AF38" s="198">
        <f t="shared" si="9"/>
        <v>0.95717391304347832</v>
      </c>
      <c r="AG38" s="489"/>
    </row>
    <row r="39" spans="1:33" ht="15.75" customHeight="1">
      <c r="A39" s="518" t="s">
        <v>1119</v>
      </c>
      <c r="B39" s="42" t="s">
        <v>80</v>
      </c>
      <c r="C39" s="515" t="s">
        <v>85</v>
      </c>
      <c r="D39" s="515"/>
      <c r="E39" s="42">
        <v>25.98</v>
      </c>
      <c r="F39" s="209">
        <v>3510</v>
      </c>
      <c r="G39" s="199">
        <f t="shared" si="23"/>
        <v>91189.8</v>
      </c>
      <c r="H39" s="125" t="s">
        <v>79</v>
      </c>
      <c r="I39" s="207">
        <v>21</v>
      </c>
      <c r="J39" s="37">
        <v>2400</v>
      </c>
      <c r="K39" s="17">
        <f t="shared" si="1"/>
        <v>114.28571428571429</v>
      </c>
      <c r="L39" s="207">
        <v>21</v>
      </c>
      <c r="M39" s="18">
        <f t="shared" si="24"/>
        <v>2289.1304347826067</v>
      </c>
      <c r="N39" s="17">
        <f t="shared" si="3"/>
        <v>109.00621118012413</v>
      </c>
      <c r="O39" s="19">
        <f t="shared" si="4"/>
        <v>0</v>
      </c>
      <c r="P39" s="20">
        <f t="shared" si="5"/>
        <v>-5.279503105590166</v>
      </c>
      <c r="Q39" s="198">
        <f t="shared" si="6"/>
        <v>0.95380434782608603</v>
      </c>
      <c r="R39" s="489"/>
      <c r="S39" s="40">
        <v>0.43888888888888883</v>
      </c>
      <c r="T39" s="40">
        <v>0.50277777777777777</v>
      </c>
      <c r="U39" s="199">
        <f t="shared" si="26"/>
        <v>7.9999999999999716</v>
      </c>
      <c r="V39" s="208">
        <f t="shared" si="25"/>
        <v>92.000000000000071</v>
      </c>
      <c r="W39" s="23">
        <f>T39</f>
        <v>0.50277777777777777</v>
      </c>
      <c r="X39" s="23">
        <f>S40</f>
        <v>0.54374999999999996</v>
      </c>
      <c r="Y39" s="23"/>
      <c r="Z39" s="23"/>
      <c r="AA39" s="491"/>
      <c r="AB39" s="491"/>
      <c r="AC39" s="154"/>
      <c r="AD39" s="25"/>
      <c r="AE39" s="19">
        <f t="shared" si="8"/>
        <v>-110.8695652173933</v>
      </c>
      <c r="AF39" s="198">
        <f t="shared" si="9"/>
        <v>0.95380434782608614</v>
      </c>
      <c r="AG39" s="489"/>
    </row>
    <row r="40" spans="1:33" ht="15.75" customHeight="1">
      <c r="A40" s="518" t="s">
        <v>1119</v>
      </c>
      <c r="B40" s="42" t="s">
        <v>80</v>
      </c>
      <c r="C40" s="515" t="s">
        <v>81</v>
      </c>
      <c r="D40" s="515"/>
      <c r="E40" s="42">
        <v>31.29</v>
      </c>
      <c r="F40" s="209">
        <v>4931</v>
      </c>
      <c r="G40" s="199">
        <f t="shared" si="23"/>
        <v>154290.99</v>
      </c>
      <c r="H40" s="125" t="s">
        <v>79</v>
      </c>
      <c r="I40" s="207">
        <v>18</v>
      </c>
      <c r="J40" s="37">
        <v>2400</v>
      </c>
      <c r="K40" s="17">
        <f t="shared" si="1"/>
        <v>133.33333333333334</v>
      </c>
      <c r="L40" s="207">
        <v>18</v>
      </c>
      <c r="M40" s="18">
        <f t="shared" si="24"/>
        <v>2293.4883720930229</v>
      </c>
      <c r="N40" s="17">
        <f t="shared" si="3"/>
        <v>127.4160206718346</v>
      </c>
      <c r="O40" s="19">
        <f t="shared" si="4"/>
        <v>0</v>
      </c>
      <c r="P40" s="20">
        <f t="shared" si="5"/>
        <v>-5.917312661498741</v>
      </c>
      <c r="Q40" s="198">
        <f t="shared" si="6"/>
        <v>0.95562015503875941</v>
      </c>
      <c r="R40" s="489"/>
      <c r="S40" s="40">
        <v>0.54374999999999996</v>
      </c>
      <c r="T40" s="40">
        <v>0.6333333333333333</v>
      </c>
      <c r="U40" s="199">
        <f t="shared" si="26"/>
        <v>58.99999999999995</v>
      </c>
      <c r="V40" s="208">
        <f t="shared" si="25"/>
        <v>129.00000000000003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-106.51162790697708</v>
      </c>
      <c r="AF40" s="198">
        <f t="shared" si="9"/>
        <v>0.95562015503875952</v>
      </c>
      <c r="AG40" s="489"/>
    </row>
    <row r="41" spans="1:33" ht="15.75" customHeight="1">
      <c r="A41" s="518" t="s">
        <v>1119</v>
      </c>
      <c r="B41" s="42" t="s">
        <v>1120</v>
      </c>
      <c r="C41" s="494"/>
      <c r="D41" s="494"/>
      <c r="E41" s="201"/>
      <c r="F41" s="209"/>
      <c r="G41" s="199"/>
      <c r="H41" s="209"/>
      <c r="I41" s="30">
        <v>18.166666666666668</v>
      </c>
      <c r="J41" s="37">
        <v>2400</v>
      </c>
      <c r="K41" s="17">
        <f t="shared" si="1"/>
        <v>132.11009174311926</v>
      </c>
      <c r="L41" s="30">
        <v>18.166666666666668</v>
      </c>
      <c r="M41" s="18">
        <f>AVERAGE(M35:M40)</f>
        <v>2292.7181060113626</v>
      </c>
      <c r="N41" s="17">
        <f t="shared" si="3"/>
        <v>126.20466638594655</v>
      </c>
      <c r="O41" s="19">
        <f t="shared" si="4"/>
        <v>0</v>
      </c>
      <c r="P41" s="20">
        <f t="shared" si="5"/>
        <v>-5.9054253571727031</v>
      </c>
      <c r="Q41" s="198">
        <f t="shared" si="6"/>
        <v>0.95529921083806768</v>
      </c>
      <c r="R41" s="489"/>
      <c r="S41" s="40"/>
      <c r="T41" s="40"/>
      <c r="U41" s="199"/>
      <c r="V41" s="208"/>
      <c r="W41" s="199"/>
      <c r="X41" s="199"/>
      <c r="Y41" s="31">
        <f>SUM(Y35:Y40)</f>
        <v>0</v>
      </c>
      <c r="Z41" s="31">
        <f>SUM(Z35:Z40)</f>
        <v>0</v>
      </c>
      <c r="AA41" s="495"/>
      <c r="AB41" s="495"/>
      <c r="AC41" s="31">
        <v>8</v>
      </c>
      <c r="AD41" s="31">
        <f>SUM(AD35:AD40)</f>
        <v>0</v>
      </c>
      <c r="AE41" s="19">
        <f t="shared" si="8"/>
        <v>-107.28189398863742</v>
      </c>
      <c r="AF41" s="198">
        <f t="shared" si="9"/>
        <v>0.95529921083806779</v>
      </c>
      <c r="AG41" s="489"/>
    </row>
    <row r="42" spans="1:33" ht="15.75" customHeight="1">
      <c r="A42" s="516" t="s">
        <v>1121</v>
      </c>
      <c r="B42" s="42" t="s">
        <v>80</v>
      </c>
      <c r="C42" s="490" t="s">
        <v>86</v>
      </c>
      <c r="D42" s="490"/>
      <c r="E42" s="42">
        <v>22.69</v>
      </c>
      <c r="F42" s="209">
        <v>644</v>
      </c>
      <c r="G42" s="199">
        <f t="shared" ref="G42:G47" si="27">E42*F42</f>
        <v>14612.36</v>
      </c>
      <c r="H42" s="125" t="s">
        <v>79</v>
      </c>
      <c r="I42" s="207">
        <v>15</v>
      </c>
      <c r="J42" s="37">
        <v>2400</v>
      </c>
      <c r="K42" s="17">
        <f t="shared" si="1"/>
        <v>160</v>
      </c>
      <c r="L42" s="207">
        <v>15</v>
      </c>
      <c r="M42" s="18">
        <f t="shared" ref="M42:M47" si="28">F42/V42*60</f>
        <v>2272.9411764705883</v>
      </c>
      <c r="N42" s="17">
        <f t="shared" si="3"/>
        <v>151.52941176470588</v>
      </c>
      <c r="O42" s="19">
        <f t="shared" si="4"/>
        <v>0</v>
      </c>
      <c r="P42" s="20">
        <f t="shared" si="5"/>
        <v>-8.470588235294116</v>
      </c>
      <c r="Q42" s="198">
        <f t="shared" si="6"/>
        <v>0.94705882352941173</v>
      </c>
      <c r="R42" s="489">
        <f>Q48</f>
        <v>0.95587317407537764</v>
      </c>
      <c r="S42" s="40">
        <v>8.3333333333333329E-2</v>
      </c>
      <c r="T42" s="40">
        <v>9.5138888888888884E-2</v>
      </c>
      <c r="U42" s="199"/>
      <c r="V42" s="208">
        <f t="shared" ref="V42:V47" si="29">(T42-S42)*24*60</f>
        <v>17</v>
      </c>
      <c r="W42" s="28">
        <f>T42</f>
        <v>9.5138888888888884E-2</v>
      </c>
      <c r="X42" s="28">
        <f>S43</f>
        <v>0.11458333333333333</v>
      </c>
      <c r="Y42" s="28"/>
      <c r="Z42" s="28"/>
      <c r="AA42" s="491"/>
      <c r="AB42" s="491"/>
      <c r="AC42" s="154">
        <v>6</v>
      </c>
      <c r="AD42" s="25"/>
      <c r="AE42" s="19">
        <f t="shared" si="8"/>
        <v>-127.05882352941171</v>
      </c>
      <c r="AF42" s="198">
        <f t="shared" si="9"/>
        <v>0.94705882352941184</v>
      </c>
      <c r="AG42" s="489">
        <f>AF48</f>
        <v>0.95587317407537753</v>
      </c>
    </row>
    <row r="43" spans="1:33" ht="15.75" customHeight="1">
      <c r="A43" s="516" t="s">
        <v>63</v>
      </c>
      <c r="B43" s="42" t="s">
        <v>80</v>
      </c>
      <c r="C43" s="490" t="s">
        <v>87</v>
      </c>
      <c r="D43" s="490"/>
      <c r="E43" s="42">
        <v>26.2</v>
      </c>
      <c r="F43" s="209">
        <v>6473</v>
      </c>
      <c r="G43" s="199">
        <f t="shared" si="27"/>
        <v>169592.6</v>
      </c>
      <c r="H43" s="125" t="s">
        <v>79</v>
      </c>
      <c r="I43" s="207">
        <v>18</v>
      </c>
      <c r="J43" s="37">
        <v>2400</v>
      </c>
      <c r="K43" s="17">
        <f t="shared" si="1"/>
        <v>133.33333333333334</v>
      </c>
      <c r="L43" s="207">
        <v>18</v>
      </c>
      <c r="M43" s="18">
        <f t="shared" si="28"/>
        <v>2284.5882352941176</v>
      </c>
      <c r="N43" s="17">
        <f t="shared" si="3"/>
        <v>126.92156862745098</v>
      </c>
      <c r="O43" s="19">
        <f t="shared" si="4"/>
        <v>0</v>
      </c>
      <c r="P43" s="20">
        <f t="shared" si="5"/>
        <v>-6.4117647058823621</v>
      </c>
      <c r="Q43" s="198">
        <f t="shared" si="6"/>
        <v>0.95191176470588224</v>
      </c>
      <c r="R43" s="489"/>
      <c r="S43" s="40">
        <v>0.11458333333333333</v>
      </c>
      <c r="T43" s="40">
        <v>0.2326388888888889</v>
      </c>
      <c r="U43" s="199">
        <f t="shared" ref="U43:U47" si="30">(S43-T42)*24*60</f>
        <v>28</v>
      </c>
      <c r="V43" s="208">
        <f t="shared" si="29"/>
        <v>170</v>
      </c>
      <c r="W43" s="199"/>
      <c r="X43" s="199"/>
      <c r="Y43" s="199"/>
      <c r="Z43" s="199"/>
      <c r="AA43" s="491"/>
      <c r="AB43" s="491"/>
      <c r="AC43" s="154"/>
      <c r="AD43" s="25"/>
      <c r="AE43" s="19">
        <f t="shared" si="8"/>
        <v>-115.41176470588243</v>
      </c>
      <c r="AF43" s="198">
        <f t="shared" si="9"/>
        <v>0.95191176470588235</v>
      </c>
      <c r="AG43" s="489"/>
    </row>
    <row r="44" spans="1:33">
      <c r="A44" s="517" t="s">
        <v>63</v>
      </c>
      <c r="B44" s="42" t="s">
        <v>80</v>
      </c>
      <c r="C44" s="490" t="s">
        <v>88</v>
      </c>
      <c r="D44" s="490"/>
      <c r="E44" s="42">
        <v>26.18</v>
      </c>
      <c r="F44" s="209">
        <v>2396</v>
      </c>
      <c r="G44" s="199">
        <f t="shared" si="27"/>
        <v>62727.28</v>
      </c>
      <c r="H44" s="125" t="s">
        <v>79</v>
      </c>
      <c r="I44" s="207">
        <v>19</v>
      </c>
      <c r="J44" s="37">
        <v>2400</v>
      </c>
      <c r="K44" s="17">
        <f t="shared" si="1"/>
        <v>126.31578947368421</v>
      </c>
      <c r="L44" s="207">
        <v>19</v>
      </c>
      <c r="M44" s="18">
        <f t="shared" si="28"/>
        <v>2318.7096774193556</v>
      </c>
      <c r="N44" s="17">
        <f t="shared" si="3"/>
        <v>122.03735144312398</v>
      </c>
      <c r="O44" s="19">
        <f t="shared" si="4"/>
        <v>0</v>
      </c>
      <c r="P44" s="20">
        <f t="shared" si="5"/>
        <v>-4.2784380305602241</v>
      </c>
      <c r="Q44" s="198">
        <f t="shared" si="6"/>
        <v>0.9661290322580649</v>
      </c>
      <c r="R44" s="489"/>
      <c r="S44" s="40">
        <v>0.23819444444444446</v>
      </c>
      <c r="T44" s="40">
        <v>0.28125</v>
      </c>
      <c r="U44" s="199">
        <f t="shared" si="30"/>
        <v>8.0000000000000107</v>
      </c>
      <c r="V44" s="208">
        <f t="shared" si="29"/>
        <v>61.999999999999979</v>
      </c>
      <c r="W44" s="199"/>
      <c r="X44" s="199"/>
      <c r="Y44" s="199"/>
      <c r="Z44" s="199"/>
      <c r="AA44" s="491"/>
      <c r="AB44" s="491"/>
      <c r="AC44" s="154"/>
      <c r="AD44" s="25"/>
      <c r="AE44" s="19">
        <f t="shared" si="8"/>
        <v>-81.290322580644442</v>
      </c>
      <c r="AF44" s="198">
        <f t="shared" si="9"/>
        <v>0.96612903225806479</v>
      </c>
      <c r="AG44" s="489"/>
    </row>
    <row r="45" spans="1:33">
      <c r="A45" s="517" t="s">
        <v>63</v>
      </c>
      <c r="B45" s="42" t="s">
        <v>80</v>
      </c>
      <c r="C45" s="490" t="s">
        <v>89</v>
      </c>
      <c r="D45" s="490"/>
      <c r="E45" s="42">
        <v>26.39</v>
      </c>
      <c r="F45" s="209">
        <v>6039</v>
      </c>
      <c r="G45" s="199">
        <f t="shared" si="27"/>
        <v>159369.21</v>
      </c>
      <c r="H45" s="125" t="s">
        <v>79</v>
      </c>
      <c r="I45" s="207">
        <v>19</v>
      </c>
      <c r="J45" s="37">
        <v>2400</v>
      </c>
      <c r="K45" s="17">
        <f t="shared" si="1"/>
        <v>126.31578947368421</v>
      </c>
      <c r="L45" s="207">
        <v>19</v>
      </c>
      <c r="M45" s="18">
        <f t="shared" si="28"/>
        <v>2293.2911392405063</v>
      </c>
      <c r="N45" s="17">
        <f t="shared" si="3"/>
        <v>120.69953364423718</v>
      </c>
      <c r="O45" s="19">
        <f t="shared" si="4"/>
        <v>0</v>
      </c>
      <c r="P45" s="20">
        <f t="shared" si="5"/>
        <v>-5.6162558294470273</v>
      </c>
      <c r="Q45" s="198">
        <f t="shared" si="6"/>
        <v>0.9555379746835444</v>
      </c>
      <c r="R45" s="489"/>
      <c r="S45" s="40">
        <v>0.28611111111111109</v>
      </c>
      <c r="T45" s="40">
        <v>0.39583333333333331</v>
      </c>
      <c r="U45" s="199">
        <f t="shared" si="30"/>
        <v>6.9999999999999751</v>
      </c>
      <c r="V45" s="208">
        <f t="shared" si="29"/>
        <v>158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-106.70886075949375</v>
      </c>
      <c r="AF45" s="198">
        <f t="shared" si="9"/>
        <v>0.95553797468354429</v>
      </c>
      <c r="AG45" s="489"/>
    </row>
    <row r="46" spans="1:33">
      <c r="A46" s="517" t="s">
        <v>1122</v>
      </c>
      <c r="B46" s="42" t="s">
        <v>80</v>
      </c>
      <c r="C46" s="490" t="s">
        <v>90</v>
      </c>
      <c r="D46" s="490"/>
      <c r="E46" s="42">
        <v>22.69</v>
      </c>
      <c r="F46" s="209">
        <v>2282</v>
      </c>
      <c r="G46" s="199">
        <f t="shared" si="27"/>
        <v>51778.58</v>
      </c>
      <c r="H46" s="125" t="s">
        <v>79</v>
      </c>
      <c r="I46" s="207">
        <v>15</v>
      </c>
      <c r="J46" s="37">
        <v>2400</v>
      </c>
      <c r="K46" s="17">
        <f t="shared" si="1"/>
        <v>160</v>
      </c>
      <c r="L46" s="207">
        <v>15</v>
      </c>
      <c r="M46" s="18">
        <f t="shared" si="28"/>
        <v>2281.9999999999991</v>
      </c>
      <c r="N46" s="17">
        <f t="shared" si="3"/>
        <v>152.13333333333327</v>
      </c>
      <c r="O46" s="19">
        <f t="shared" si="4"/>
        <v>0</v>
      </c>
      <c r="P46" s="20">
        <f t="shared" si="5"/>
        <v>-7.8666666666667311</v>
      </c>
      <c r="Q46" s="198">
        <f t="shared" si="6"/>
        <v>0.95083333333333298</v>
      </c>
      <c r="R46" s="489"/>
      <c r="S46" s="40">
        <v>0.40138888888888885</v>
      </c>
      <c r="T46" s="40">
        <v>0.44305555555555554</v>
      </c>
      <c r="U46" s="199">
        <f t="shared" si="30"/>
        <v>7.9999999999999716</v>
      </c>
      <c r="V46" s="208">
        <f t="shared" si="29"/>
        <v>60.000000000000028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-118.00000000000091</v>
      </c>
      <c r="AF46" s="198">
        <f t="shared" si="9"/>
        <v>0.95083333333333298</v>
      </c>
      <c r="AG46" s="489"/>
    </row>
    <row r="47" spans="1:33">
      <c r="A47" s="517" t="s">
        <v>1122</v>
      </c>
      <c r="B47" s="42" t="s">
        <v>80</v>
      </c>
      <c r="C47" s="490" t="s">
        <v>91</v>
      </c>
      <c r="D47" s="490"/>
      <c r="E47" s="42">
        <v>24.45</v>
      </c>
      <c r="F47" s="209">
        <v>2660</v>
      </c>
      <c r="G47" s="199">
        <f t="shared" si="27"/>
        <v>65037</v>
      </c>
      <c r="H47" s="125" t="s">
        <v>79</v>
      </c>
      <c r="I47" s="207">
        <v>20</v>
      </c>
      <c r="J47" s="37">
        <v>2400</v>
      </c>
      <c r="K47" s="17">
        <f t="shared" si="1"/>
        <v>120</v>
      </c>
      <c r="L47" s="207">
        <v>20</v>
      </c>
      <c r="M47" s="18">
        <f t="shared" si="28"/>
        <v>2313.0434782608695</v>
      </c>
      <c r="N47" s="17">
        <f t="shared" si="3"/>
        <v>115.65217391304347</v>
      </c>
      <c r="O47" s="19">
        <f t="shared" si="4"/>
        <v>0</v>
      </c>
      <c r="P47" s="20">
        <f t="shared" si="5"/>
        <v>-4.3478260869565304</v>
      </c>
      <c r="Q47" s="198">
        <f t="shared" si="6"/>
        <v>0.96376811594202894</v>
      </c>
      <c r="R47" s="489"/>
      <c r="S47" s="40">
        <v>0.44791666666666663</v>
      </c>
      <c r="T47" s="40">
        <v>0.49583333333333329</v>
      </c>
      <c r="U47" s="199">
        <f t="shared" si="30"/>
        <v>6.9999999999999751</v>
      </c>
      <c r="V47" s="208">
        <f t="shared" si="29"/>
        <v>69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-86.956521739130494</v>
      </c>
      <c r="AF47" s="198">
        <f t="shared" si="9"/>
        <v>0.96376811594202894</v>
      </c>
      <c r="AG47" s="489"/>
    </row>
    <row r="48" spans="1:33">
      <c r="A48" s="517" t="s">
        <v>1122</v>
      </c>
      <c r="B48" s="44" t="s">
        <v>1123</v>
      </c>
      <c r="C48" s="494"/>
      <c r="D48" s="494"/>
      <c r="E48" s="201"/>
      <c r="F48" s="44"/>
      <c r="G48" s="17"/>
      <c r="H48" s="209"/>
      <c r="I48" s="30">
        <v>17.666666666666668</v>
      </c>
      <c r="J48" s="37">
        <v>2400</v>
      </c>
      <c r="K48" s="17">
        <f t="shared" si="1"/>
        <v>135.84905660377356</v>
      </c>
      <c r="L48" s="30">
        <v>17.666666666666668</v>
      </c>
      <c r="M48" s="18">
        <f>AVERAGE(M42:M47)</f>
        <v>2294.0956177809062</v>
      </c>
      <c r="N48" s="17">
        <f t="shared" si="3"/>
        <v>129.85446893099467</v>
      </c>
      <c r="O48" s="19">
        <f t="shared" si="4"/>
        <v>0</v>
      </c>
      <c r="P48" s="20">
        <f t="shared" si="5"/>
        <v>-5.9945876727788914</v>
      </c>
      <c r="Q48" s="198">
        <f t="shared" si="6"/>
        <v>0.95587317407537764</v>
      </c>
      <c r="R48" s="489"/>
      <c r="S48" s="40"/>
      <c r="T48" s="40"/>
      <c r="U48" s="17"/>
      <c r="V48" s="208"/>
      <c r="W48" s="17"/>
      <c r="X48" s="17"/>
      <c r="Y48" s="31">
        <f>SUM(Y42:Y47)</f>
        <v>0</v>
      </c>
      <c r="Z48" s="31">
        <f>SUM(Z42:Z47)</f>
        <v>0</v>
      </c>
      <c r="AA48" s="495"/>
      <c r="AB48" s="495"/>
      <c r="AC48" s="31">
        <v>6</v>
      </c>
      <c r="AD48" s="31">
        <f>SUM(AD42:AD47)</f>
        <v>0</v>
      </c>
      <c r="AE48" s="19">
        <f t="shared" si="8"/>
        <v>-105.9043822190938</v>
      </c>
      <c r="AF48" s="198">
        <f t="shared" si="9"/>
        <v>0.95587317407537753</v>
      </c>
      <c r="AG48" s="489"/>
    </row>
    <row r="49" spans="1:33" ht="15.75" customHeight="1">
      <c r="A49" s="512" t="s">
        <v>66</v>
      </c>
      <c r="B49" s="42" t="s">
        <v>93</v>
      </c>
      <c r="C49" s="501" t="s">
        <v>94</v>
      </c>
      <c r="D49" s="502"/>
      <c r="E49" s="42">
        <v>21.13</v>
      </c>
      <c r="F49" s="209">
        <v>5761</v>
      </c>
      <c r="G49" s="199">
        <f t="shared" ref="G49:G58" si="31">E49*F49</f>
        <v>121729.93</v>
      </c>
      <c r="H49" s="125" t="s">
        <v>79</v>
      </c>
      <c r="I49" s="207">
        <v>10</v>
      </c>
      <c r="J49" s="37">
        <v>3000</v>
      </c>
      <c r="K49" s="17">
        <f t="shared" si="1"/>
        <v>300</v>
      </c>
      <c r="L49" s="207">
        <v>10</v>
      </c>
      <c r="M49" s="18">
        <f t="shared" ref="M49:M58" si="32">F49/V49*60</f>
        <v>2856.6942148760331</v>
      </c>
      <c r="N49" s="18">
        <f t="shared" si="3"/>
        <v>285.6694214876033</v>
      </c>
      <c r="O49" s="19">
        <f t="shared" si="4"/>
        <v>0</v>
      </c>
      <c r="P49" s="20">
        <f t="shared" si="5"/>
        <v>-14.330578512396698</v>
      </c>
      <c r="Q49" s="198">
        <f t="shared" si="6"/>
        <v>0.95223140495867764</v>
      </c>
      <c r="R49" s="509">
        <f>Q59</f>
        <v>0.95855458401207505</v>
      </c>
      <c r="S49" s="40">
        <v>8.3333333333333329E-2</v>
      </c>
      <c r="T49" s="40">
        <v>0.1673611111111111</v>
      </c>
      <c r="U49" s="28"/>
      <c r="V49" s="208">
        <f t="shared" ref="V49:V58" si="33">(T49-S49)*24*60</f>
        <v>121</v>
      </c>
      <c r="W49" s="23">
        <f>T49</f>
        <v>0.1673611111111111</v>
      </c>
      <c r="X49" s="23">
        <f>S50</f>
        <v>0.18680555555555556</v>
      </c>
      <c r="Y49" s="26"/>
      <c r="Z49" s="26"/>
      <c r="AA49" s="503"/>
      <c r="AB49" s="504"/>
      <c r="AC49" s="154">
        <v>1</v>
      </c>
      <c r="AD49" s="25"/>
      <c r="AE49" s="19">
        <f t="shared" si="8"/>
        <v>-143.30578512396687</v>
      </c>
      <c r="AF49" s="198">
        <f t="shared" si="9"/>
        <v>0.95223140495867775</v>
      </c>
      <c r="AG49" s="509">
        <f>AF59</f>
        <v>0.95855458401207505</v>
      </c>
    </row>
    <row r="50" spans="1:33" ht="15.75" customHeight="1">
      <c r="A50" s="513" t="s">
        <v>66</v>
      </c>
      <c r="B50" s="42" t="s">
        <v>93</v>
      </c>
      <c r="C50" s="501" t="s">
        <v>95</v>
      </c>
      <c r="D50" s="502"/>
      <c r="E50" s="42">
        <v>27.17</v>
      </c>
      <c r="F50" s="209">
        <v>3500</v>
      </c>
      <c r="G50" s="199">
        <f t="shared" si="31"/>
        <v>95095</v>
      </c>
      <c r="H50" s="125">
        <v>2</v>
      </c>
      <c r="I50" s="207">
        <v>10</v>
      </c>
      <c r="J50" s="37">
        <v>3000</v>
      </c>
      <c r="K50" s="17">
        <f t="shared" si="1"/>
        <v>300</v>
      </c>
      <c r="L50" s="207">
        <v>10</v>
      </c>
      <c r="M50" s="18">
        <f t="shared" si="32"/>
        <v>2876.7123287671238</v>
      </c>
      <c r="N50" s="18">
        <f t="shared" si="3"/>
        <v>287.67123287671239</v>
      </c>
      <c r="O50" s="19">
        <f t="shared" si="4"/>
        <v>0</v>
      </c>
      <c r="P50" s="20">
        <f t="shared" si="5"/>
        <v>-12.328767123287605</v>
      </c>
      <c r="Q50" s="198">
        <f t="shared" si="6"/>
        <v>0.95890410958904126</v>
      </c>
      <c r="R50" s="510"/>
      <c r="S50" s="40">
        <v>0.18680555555555556</v>
      </c>
      <c r="T50" s="40">
        <v>0.23749999999999999</v>
      </c>
      <c r="U50" s="199">
        <f t="shared" ref="U50:U58" si="34">(S50-T49)*24*60</f>
        <v>28.000000000000021</v>
      </c>
      <c r="V50" s="208">
        <f t="shared" si="33"/>
        <v>72.999999999999986</v>
      </c>
      <c r="W50" s="23"/>
      <c r="X50" s="23"/>
      <c r="Y50" s="26"/>
      <c r="Z50" s="26"/>
      <c r="AA50" s="503"/>
      <c r="AB50" s="504"/>
      <c r="AC50" s="154" t="s">
        <v>79</v>
      </c>
      <c r="AD50" s="25"/>
      <c r="AE50" s="19">
        <f t="shared" si="8"/>
        <v>-123.28767123287616</v>
      </c>
      <c r="AF50" s="198">
        <f t="shared" si="9"/>
        <v>0.95890410958904126</v>
      </c>
      <c r="AG50" s="510"/>
    </row>
    <row r="51" spans="1:33" ht="15.75" customHeight="1">
      <c r="A51" s="513" t="s">
        <v>66</v>
      </c>
      <c r="B51" s="42" t="s">
        <v>93</v>
      </c>
      <c r="C51" s="501" t="s">
        <v>96</v>
      </c>
      <c r="D51" s="502"/>
      <c r="E51" s="42">
        <v>35.119999999999997</v>
      </c>
      <c r="F51" s="209">
        <v>3300</v>
      </c>
      <c r="G51" s="199">
        <f t="shared" si="31"/>
        <v>115895.99999999999</v>
      </c>
      <c r="H51" s="125">
        <v>2</v>
      </c>
      <c r="I51" s="207">
        <v>10</v>
      </c>
      <c r="J51" s="37">
        <v>3000</v>
      </c>
      <c r="K51" s="17">
        <f t="shared" si="1"/>
        <v>300</v>
      </c>
      <c r="L51" s="207">
        <v>10</v>
      </c>
      <c r="M51" s="18">
        <f t="shared" si="32"/>
        <v>2869.5652173913063</v>
      </c>
      <c r="N51" s="18">
        <f t="shared" si="3"/>
        <v>286.95652173913061</v>
      </c>
      <c r="O51" s="19">
        <f t="shared" si="4"/>
        <v>0</v>
      </c>
      <c r="P51" s="20">
        <f t="shared" si="5"/>
        <v>-13.043478260869392</v>
      </c>
      <c r="Q51" s="198">
        <f t="shared" si="6"/>
        <v>0.95652173913043537</v>
      </c>
      <c r="R51" s="510"/>
      <c r="S51" s="40">
        <v>0.24236111111111111</v>
      </c>
      <c r="T51" s="40">
        <v>0.29027777777777775</v>
      </c>
      <c r="U51" s="199">
        <f t="shared" si="34"/>
        <v>7.0000000000000151</v>
      </c>
      <c r="V51" s="208">
        <f t="shared" si="33"/>
        <v>68.999999999999957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-130.43478260869369</v>
      </c>
      <c r="AF51" s="198">
        <f t="shared" si="9"/>
        <v>0.95652173913043548</v>
      </c>
      <c r="AG51" s="510"/>
    </row>
    <row r="52" spans="1:33" ht="15.75" customHeight="1">
      <c r="A52" s="513" t="s">
        <v>66</v>
      </c>
      <c r="B52" s="42" t="s">
        <v>93</v>
      </c>
      <c r="C52" s="501" t="s">
        <v>97</v>
      </c>
      <c r="D52" s="502"/>
      <c r="E52" s="42">
        <v>31</v>
      </c>
      <c r="F52" s="209">
        <v>1403</v>
      </c>
      <c r="G52" s="199">
        <f t="shared" si="31"/>
        <v>43493</v>
      </c>
      <c r="H52" s="125" t="s">
        <v>79</v>
      </c>
      <c r="I52" s="207">
        <v>13</v>
      </c>
      <c r="J52" s="37">
        <v>2000</v>
      </c>
      <c r="K52" s="17">
        <f t="shared" si="1"/>
        <v>153.84615384615384</v>
      </c>
      <c r="L52" s="207">
        <v>13</v>
      </c>
      <c r="M52" s="18">
        <f t="shared" si="32"/>
        <v>1913.1818181818182</v>
      </c>
      <c r="N52" s="18">
        <f t="shared" si="3"/>
        <v>147.16783216783216</v>
      </c>
      <c r="O52" s="19">
        <f t="shared" si="4"/>
        <v>0</v>
      </c>
      <c r="P52" s="20">
        <f t="shared" si="5"/>
        <v>-6.6783216783216801</v>
      </c>
      <c r="Q52" s="198">
        <f t="shared" si="6"/>
        <v>0.95659090909090905</v>
      </c>
      <c r="R52" s="510"/>
      <c r="S52" s="40">
        <v>0.29374999999999996</v>
      </c>
      <c r="T52" s="40">
        <v>0.32430555555555551</v>
      </c>
      <c r="U52" s="199">
        <f t="shared" si="34"/>
        <v>4.9999999999999822</v>
      </c>
      <c r="V52" s="208">
        <f t="shared" si="33"/>
        <v>44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-86.818181818181756</v>
      </c>
      <c r="AF52" s="198">
        <f t="shared" si="9"/>
        <v>0.95659090909090916</v>
      </c>
      <c r="AG52" s="510"/>
    </row>
    <row r="53" spans="1:33" ht="15.75" customHeight="1">
      <c r="A53" s="513" t="s">
        <v>1124</v>
      </c>
      <c r="B53" s="42" t="s">
        <v>93</v>
      </c>
      <c r="C53" s="501" t="s">
        <v>98</v>
      </c>
      <c r="D53" s="502"/>
      <c r="E53" s="42">
        <v>37.880000000000003</v>
      </c>
      <c r="F53" s="209">
        <v>1755</v>
      </c>
      <c r="G53" s="199">
        <f t="shared" si="31"/>
        <v>66479.400000000009</v>
      </c>
      <c r="H53" s="125" t="s">
        <v>79</v>
      </c>
      <c r="I53" s="207">
        <v>14</v>
      </c>
      <c r="J53" s="37">
        <v>2000</v>
      </c>
      <c r="K53" s="17">
        <f t="shared" si="1"/>
        <v>142.85714285714286</v>
      </c>
      <c r="L53" s="207">
        <v>14</v>
      </c>
      <c r="M53" s="18">
        <f t="shared" si="32"/>
        <v>1914.5454545454559</v>
      </c>
      <c r="N53" s="18">
        <f t="shared" si="3"/>
        <v>136.75324675324686</v>
      </c>
      <c r="O53" s="19">
        <f t="shared" si="4"/>
        <v>0</v>
      </c>
      <c r="P53" s="20">
        <f t="shared" si="5"/>
        <v>-6.1038961038960053</v>
      </c>
      <c r="Q53" s="198">
        <f t="shared" si="6"/>
        <v>0.95727272727272794</v>
      </c>
      <c r="R53" s="510"/>
      <c r="S53" s="40">
        <v>0.32916666666666661</v>
      </c>
      <c r="T53" s="40">
        <v>0.36736111111111103</v>
      </c>
      <c r="U53" s="199">
        <f t="shared" si="34"/>
        <v>6.9999999999999751</v>
      </c>
      <c r="V53" s="208">
        <f t="shared" si="33"/>
        <v>54.999999999999964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-85.454545454544132</v>
      </c>
      <c r="AF53" s="198">
        <f t="shared" si="9"/>
        <v>0.95727272727272794</v>
      </c>
      <c r="AG53" s="510"/>
    </row>
    <row r="54" spans="1:33" ht="15.75" customHeight="1">
      <c r="A54" s="513" t="s">
        <v>66</v>
      </c>
      <c r="B54" s="42" t="s">
        <v>93</v>
      </c>
      <c r="C54" s="501" t="s">
        <v>99</v>
      </c>
      <c r="D54" s="502"/>
      <c r="E54" s="42">
        <v>32.020000000000003</v>
      </c>
      <c r="F54" s="209">
        <v>2786</v>
      </c>
      <c r="G54" s="199">
        <f t="shared" si="31"/>
        <v>89207.720000000016</v>
      </c>
      <c r="H54" s="125" t="s">
        <v>79</v>
      </c>
      <c r="I54" s="207">
        <v>11</v>
      </c>
      <c r="J54" s="37">
        <v>3000</v>
      </c>
      <c r="K54" s="17">
        <f t="shared" si="1"/>
        <v>272.72727272727275</v>
      </c>
      <c r="L54" s="207">
        <v>11</v>
      </c>
      <c r="M54" s="18">
        <f t="shared" si="32"/>
        <v>2882.0689655172396</v>
      </c>
      <c r="N54" s="18">
        <f t="shared" si="3"/>
        <v>262.00626959247631</v>
      </c>
      <c r="O54" s="19">
        <f t="shared" si="4"/>
        <v>0</v>
      </c>
      <c r="P54" s="20">
        <f t="shared" si="5"/>
        <v>-10.721003134796433</v>
      </c>
      <c r="Q54" s="198">
        <f t="shared" si="6"/>
        <v>0.96068965517241312</v>
      </c>
      <c r="R54" s="510"/>
      <c r="S54" s="40">
        <v>0.37152777777777768</v>
      </c>
      <c r="T54" s="40">
        <v>0.41180555555555548</v>
      </c>
      <c r="U54" s="199">
        <f t="shared" si="34"/>
        <v>5.9999999999999787</v>
      </c>
      <c r="V54" s="208">
        <f t="shared" si="33"/>
        <v>58.000000000000036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-117.93103448276042</v>
      </c>
      <c r="AF54" s="198">
        <f t="shared" si="9"/>
        <v>0.96068965517241323</v>
      </c>
      <c r="AG54" s="510"/>
    </row>
    <row r="55" spans="1:33" ht="15.75" customHeight="1">
      <c r="A55" s="513" t="s">
        <v>66</v>
      </c>
      <c r="B55" s="42" t="s">
        <v>93</v>
      </c>
      <c r="C55" s="501" t="s">
        <v>112</v>
      </c>
      <c r="D55" s="502"/>
      <c r="E55" s="42">
        <v>35.869999999999997</v>
      </c>
      <c r="F55" s="209">
        <v>3394</v>
      </c>
      <c r="G55" s="199">
        <f t="shared" si="31"/>
        <v>121742.77999999998</v>
      </c>
      <c r="H55" s="125" t="s">
        <v>79</v>
      </c>
      <c r="I55" s="207">
        <v>9</v>
      </c>
      <c r="J55" s="37">
        <v>3000</v>
      </c>
      <c r="K55" s="17">
        <f t="shared" si="1"/>
        <v>333.33333333333331</v>
      </c>
      <c r="L55" s="207">
        <v>9</v>
      </c>
      <c r="M55" s="18">
        <f t="shared" si="32"/>
        <v>2868.1690140845076</v>
      </c>
      <c r="N55" s="18">
        <f t="shared" si="3"/>
        <v>318.68544600938975</v>
      </c>
      <c r="O55" s="19">
        <f t="shared" si="4"/>
        <v>0</v>
      </c>
      <c r="P55" s="20">
        <f t="shared" si="5"/>
        <v>-14.647887323943564</v>
      </c>
      <c r="Q55" s="198">
        <f t="shared" si="6"/>
        <v>0.95605633802816925</v>
      </c>
      <c r="R55" s="510"/>
      <c r="S55" s="40">
        <v>0.41736111111111102</v>
      </c>
      <c r="T55" s="40">
        <v>0.46666666666666656</v>
      </c>
      <c r="U55" s="199">
        <f t="shared" si="34"/>
        <v>7.9999999999999716</v>
      </c>
      <c r="V55" s="208">
        <f t="shared" si="33"/>
        <v>70.999999999999986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-131.83098591549242</v>
      </c>
      <c r="AF55" s="198">
        <f t="shared" si="9"/>
        <v>0.95605633802816914</v>
      </c>
      <c r="AG55" s="510"/>
    </row>
    <row r="56" spans="1:33" ht="15.75" customHeight="1">
      <c r="A56" s="513" t="s">
        <v>66</v>
      </c>
      <c r="B56" s="42" t="s">
        <v>93</v>
      </c>
      <c r="C56" s="501" t="s">
        <v>113</v>
      </c>
      <c r="D56" s="502"/>
      <c r="E56" s="42">
        <v>34.36</v>
      </c>
      <c r="F56" s="209">
        <v>1987</v>
      </c>
      <c r="G56" s="199">
        <f t="shared" si="31"/>
        <v>68273.319999999992</v>
      </c>
      <c r="H56" s="125" t="s">
        <v>79</v>
      </c>
      <c r="I56" s="207">
        <v>10</v>
      </c>
      <c r="J56" s="37">
        <v>3000</v>
      </c>
      <c r="K56" s="17">
        <f t="shared" si="1"/>
        <v>300</v>
      </c>
      <c r="L56" s="207">
        <v>10</v>
      </c>
      <c r="M56" s="18">
        <f t="shared" si="32"/>
        <v>2907.8048780487793</v>
      </c>
      <c r="N56" s="18">
        <f t="shared" si="3"/>
        <v>290.78048780487791</v>
      </c>
      <c r="O56" s="19">
        <f t="shared" si="4"/>
        <v>0</v>
      </c>
      <c r="P56" s="20">
        <f t="shared" si="5"/>
        <v>-9.2195121951220926</v>
      </c>
      <c r="Q56" s="198">
        <f t="shared" si="6"/>
        <v>0.96926829268292636</v>
      </c>
      <c r="R56" s="510"/>
      <c r="S56" s="40">
        <v>0.4722222222222221</v>
      </c>
      <c r="T56" s="40">
        <v>0.50069444444444433</v>
      </c>
      <c r="U56" s="199">
        <f t="shared" si="34"/>
        <v>7.9999999999999716</v>
      </c>
      <c r="V56" s="208">
        <f t="shared" si="33"/>
        <v>41.000000000000014</v>
      </c>
      <c r="W56" s="23">
        <f>T56</f>
        <v>0.50069444444444433</v>
      </c>
      <c r="X56" s="23">
        <f>S57</f>
        <v>0.54166666666666652</v>
      </c>
      <c r="Y56" s="26"/>
      <c r="Z56" s="26"/>
      <c r="AA56" s="503"/>
      <c r="AB56" s="504"/>
      <c r="AC56" s="154" t="s">
        <v>79</v>
      </c>
      <c r="AD56" s="25"/>
      <c r="AE56" s="19">
        <f t="shared" si="8"/>
        <v>-92.195121951220699</v>
      </c>
      <c r="AF56" s="198">
        <f t="shared" si="9"/>
        <v>0.96926829268292647</v>
      </c>
      <c r="AG56" s="510"/>
    </row>
    <row r="57" spans="1:33" ht="15.75" customHeight="1">
      <c r="A57" s="513" t="s">
        <v>66</v>
      </c>
      <c r="B57" s="42" t="s">
        <v>93</v>
      </c>
      <c r="C57" s="501" t="s">
        <v>95</v>
      </c>
      <c r="D57" s="502"/>
      <c r="E57" s="42">
        <v>27.17</v>
      </c>
      <c r="F57" s="209">
        <v>4677</v>
      </c>
      <c r="G57" s="199">
        <f t="shared" si="31"/>
        <v>127074.09000000001</v>
      </c>
      <c r="H57" s="125" t="s">
        <v>79</v>
      </c>
      <c r="I57" s="207">
        <v>10</v>
      </c>
      <c r="J57" s="37">
        <v>3000</v>
      </c>
      <c r="K57" s="17">
        <f t="shared" si="1"/>
        <v>300</v>
      </c>
      <c r="L57" s="207">
        <v>10</v>
      </c>
      <c r="M57" s="18">
        <f t="shared" si="32"/>
        <v>2863.4693877551026</v>
      </c>
      <c r="N57" s="18">
        <f t="shared" si="3"/>
        <v>286.34693877551024</v>
      </c>
      <c r="O57" s="19">
        <f t="shared" si="4"/>
        <v>0</v>
      </c>
      <c r="P57" s="20">
        <f t="shared" si="5"/>
        <v>-13.653061224489761</v>
      </c>
      <c r="Q57" s="198">
        <f t="shared" si="6"/>
        <v>0.95448979591836747</v>
      </c>
      <c r="R57" s="510"/>
      <c r="S57" s="40">
        <v>0.54166666666666652</v>
      </c>
      <c r="T57" s="40">
        <v>0.60972222222222205</v>
      </c>
      <c r="U57" s="199">
        <f t="shared" si="34"/>
        <v>58.99999999999995</v>
      </c>
      <c r="V57" s="208">
        <f t="shared" si="33"/>
        <v>97.999999999999972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-136.53061224489738</v>
      </c>
      <c r="AF57" s="198">
        <f t="shared" si="9"/>
        <v>0.95448979591836758</v>
      </c>
      <c r="AG57" s="510"/>
    </row>
    <row r="58" spans="1:33" ht="15.75" customHeight="1">
      <c r="A58" s="513" t="s">
        <v>66</v>
      </c>
      <c r="B58" s="42" t="s">
        <v>93</v>
      </c>
      <c r="C58" s="501" t="s">
        <v>96</v>
      </c>
      <c r="D58" s="502"/>
      <c r="E58" s="42">
        <v>35.119999999999997</v>
      </c>
      <c r="F58" s="209">
        <v>1973</v>
      </c>
      <c r="G58" s="199">
        <f t="shared" si="31"/>
        <v>69291.759999999995</v>
      </c>
      <c r="H58" s="125" t="s">
        <v>79</v>
      </c>
      <c r="I58" s="207">
        <v>10</v>
      </c>
      <c r="J58" s="37">
        <v>3000</v>
      </c>
      <c r="K58" s="17">
        <f t="shared" si="1"/>
        <v>300</v>
      </c>
      <c r="L58" s="207">
        <v>10</v>
      </c>
      <c r="M58" s="18">
        <f t="shared" si="32"/>
        <v>2887.3170731707305</v>
      </c>
      <c r="N58" s="18">
        <f t="shared" si="3"/>
        <v>288.73170731707307</v>
      </c>
      <c r="O58" s="19">
        <f t="shared" si="4"/>
        <v>0</v>
      </c>
      <c r="P58" s="20">
        <f t="shared" si="5"/>
        <v>-11.268292682926926</v>
      </c>
      <c r="Q58" s="198">
        <f t="shared" si="6"/>
        <v>0.96243902439024354</v>
      </c>
      <c r="R58" s="510"/>
      <c r="S58" s="40">
        <v>0.61527777777777759</v>
      </c>
      <c r="T58" s="40">
        <v>0.64374999999999982</v>
      </c>
      <c r="U58" s="199">
        <f t="shared" si="34"/>
        <v>7.9999999999999716</v>
      </c>
      <c r="V58" s="208">
        <f t="shared" si="33"/>
        <v>41.000000000000014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-112.68292682926949</v>
      </c>
      <c r="AF58" s="198">
        <f t="shared" si="9"/>
        <v>0.96243902439024354</v>
      </c>
      <c r="AG58" s="510"/>
    </row>
    <row r="59" spans="1:33" ht="15.75" customHeight="1">
      <c r="A59" s="514" t="s">
        <v>66</v>
      </c>
      <c r="B59" s="42" t="s">
        <v>71</v>
      </c>
      <c r="C59" s="492"/>
      <c r="D59" s="493"/>
      <c r="E59" s="200"/>
      <c r="F59" s="209"/>
      <c r="G59" s="199"/>
      <c r="H59" s="209"/>
      <c r="I59" s="30">
        <v>10.7</v>
      </c>
      <c r="J59" s="37">
        <v>2800</v>
      </c>
      <c r="K59" s="17">
        <f t="shared" si="1"/>
        <v>261.68224299065423</v>
      </c>
      <c r="L59" s="30">
        <v>10.7</v>
      </c>
      <c r="M59" s="18">
        <f>AVERAGE(M49:M58)</f>
        <v>2683.9528352338102</v>
      </c>
      <c r="N59" s="17">
        <f t="shared" si="3"/>
        <v>250.83671357325332</v>
      </c>
      <c r="O59" s="19">
        <f t="shared" si="4"/>
        <v>0</v>
      </c>
      <c r="P59" s="20">
        <f t="shared" si="5"/>
        <v>-10.845529417400911</v>
      </c>
      <c r="Q59" s="198">
        <f t="shared" si="6"/>
        <v>0.95855458401207505</v>
      </c>
      <c r="R59" s="511"/>
      <c r="S59" s="40"/>
      <c r="T59" s="40"/>
      <c r="U59" s="199"/>
      <c r="V59" s="208"/>
      <c r="W59" s="23"/>
      <c r="X59" s="23"/>
      <c r="Y59" s="31">
        <f>SUM(Y49:Y58)</f>
        <v>0</v>
      </c>
      <c r="Z59" s="31">
        <f>SUM(Z49:Z58)</f>
        <v>0</v>
      </c>
      <c r="AA59" s="505"/>
      <c r="AB59" s="506"/>
      <c r="AC59" s="31">
        <v>1</v>
      </c>
      <c r="AD59" s="31">
        <f>SUM(AD49:AD58)</f>
        <v>0</v>
      </c>
      <c r="AE59" s="19">
        <f t="shared" si="8"/>
        <v>-116.04716476618978</v>
      </c>
      <c r="AF59" s="198">
        <f t="shared" si="9"/>
        <v>0.95855458401207505</v>
      </c>
      <c r="AG59" s="511"/>
    </row>
    <row r="60" spans="1:33" ht="15.75" customHeight="1">
      <c r="A60" s="507" t="s">
        <v>67</v>
      </c>
      <c r="B60" s="42" t="s">
        <v>100</v>
      </c>
      <c r="C60" s="490" t="s">
        <v>101</v>
      </c>
      <c r="D60" s="490"/>
      <c r="E60" s="42">
        <v>46</v>
      </c>
      <c r="F60" s="46">
        <v>1709</v>
      </c>
      <c r="G60" s="199">
        <f t="shared" ref="G60:G66" si="35">E60*F60</f>
        <v>78614</v>
      </c>
      <c r="H60" s="125" t="s">
        <v>79</v>
      </c>
      <c r="I60" s="207">
        <v>17</v>
      </c>
      <c r="J60" s="37">
        <v>2000</v>
      </c>
      <c r="K60" s="17">
        <f t="shared" si="1"/>
        <v>117.64705882352941</v>
      </c>
      <c r="L60" s="207">
        <v>17</v>
      </c>
      <c r="M60" s="18">
        <f t="shared" ref="M60:M66" si="36">F60/V60*60</f>
        <v>1934.716981132075</v>
      </c>
      <c r="N60" s="18">
        <f t="shared" si="3"/>
        <v>113.80688124306323</v>
      </c>
      <c r="O60" s="19">
        <f t="shared" si="4"/>
        <v>0</v>
      </c>
      <c r="P60" s="20">
        <f t="shared" si="5"/>
        <v>-3.8401775804661753</v>
      </c>
      <c r="Q60" s="198">
        <f t="shared" si="6"/>
        <v>0.96735849056603751</v>
      </c>
      <c r="R60" s="489">
        <f>Q67</f>
        <v>0.92003223450389027</v>
      </c>
      <c r="S60" s="40">
        <v>0.20833333333333334</v>
      </c>
      <c r="T60" s="40">
        <v>0.24513888888888891</v>
      </c>
      <c r="U60" s="28"/>
      <c r="V60" s="208">
        <f t="shared" ref="V60:V66" si="37">(T60-S60)*24*60</f>
        <v>53.000000000000014</v>
      </c>
      <c r="W60" s="28"/>
      <c r="X60" s="28"/>
      <c r="Y60" s="28"/>
      <c r="Z60" s="28"/>
      <c r="AA60" s="491"/>
      <c r="AB60" s="491"/>
      <c r="AC60" s="154">
        <v>4</v>
      </c>
      <c r="AD60" s="25"/>
      <c r="AE60" s="19">
        <f t="shared" si="8"/>
        <v>-65.283018867924966</v>
      </c>
      <c r="AF60" s="198">
        <f t="shared" si="9"/>
        <v>0.96735849056603751</v>
      </c>
      <c r="AG60" s="489">
        <f>AF67</f>
        <v>0.92003223450389016</v>
      </c>
    </row>
    <row r="61" spans="1:33" ht="15.75" customHeight="1">
      <c r="A61" s="507" t="s">
        <v>67</v>
      </c>
      <c r="B61" s="42" t="s">
        <v>100</v>
      </c>
      <c r="C61" s="490" t="s">
        <v>102</v>
      </c>
      <c r="D61" s="490"/>
      <c r="E61" s="42">
        <v>46</v>
      </c>
      <c r="F61" s="46">
        <v>1881</v>
      </c>
      <c r="G61" s="199">
        <f t="shared" si="35"/>
        <v>86526</v>
      </c>
      <c r="H61" s="125" t="s">
        <v>79</v>
      </c>
      <c r="I61" s="207">
        <v>17</v>
      </c>
      <c r="J61" s="37">
        <v>2000</v>
      </c>
      <c r="K61" s="17">
        <f t="shared" si="1"/>
        <v>117.64705882352941</v>
      </c>
      <c r="L61" s="207">
        <v>17</v>
      </c>
      <c r="M61" s="18">
        <f t="shared" si="36"/>
        <v>1912.8813559322025</v>
      </c>
      <c r="N61" s="18">
        <f t="shared" si="3"/>
        <v>112.52243270189426</v>
      </c>
      <c r="O61" s="19">
        <f t="shared" si="4"/>
        <v>0</v>
      </c>
      <c r="P61" s="20">
        <f t="shared" si="5"/>
        <v>-5.1246261216351456</v>
      </c>
      <c r="Q61" s="198">
        <f t="shared" si="6"/>
        <v>0.95644067796610122</v>
      </c>
      <c r="R61" s="489"/>
      <c r="S61" s="40">
        <v>0.25069444444444444</v>
      </c>
      <c r="T61" s="40">
        <v>0.29166666666666669</v>
      </c>
      <c r="U61" s="199">
        <f t="shared" ref="U61:U66" si="38">IF(S61=TIME(17,0,0),"",(S61-T60)*24*60)</f>
        <v>7.9999999999999716</v>
      </c>
      <c r="V61" s="208">
        <f t="shared" si="37"/>
        <v>59.000000000000028</v>
      </c>
      <c r="W61" s="23"/>
      <c r="X61" s="23"/>
      <c r="Y61" s="23"/>
      <c r="Z61" s="23"/>
      <c r="AA61" s="491"/>
      <c r="AB61" s="491"/>
      <c r="AC61" s="154"/>
      <c r="AD61" s="25"/>
      <c r="AE61" s="19">
        <f t="shared" si="8"/>
        <v>-87.118644067797504</v>
      </c>
      <c r="AF61" s="198">
        <f t="shared" si="9"/>
        <v>0.95644067796610122</v>
      </c>
      <c r="AG61" s="489"/>
    </row>
    <row r="62" spans="1:33" ht="15.75" customHeight="1">
      <c r="A62" s="507" t="s">
        <v>67</v>
      </c>
      <c r="B62" s="42" t="s">
        <v>103</v>
      </c>
      <c r="C62" s="501" t="s">
        <v>105</v>
      </c>
      <c r="D62" s="502"/>
      <c r="E62" s="42">
        <v>56.43</v>
      </c>
      <c r="F62" s="46">
        <v>2211</v>
      </c>
      <c r="G62" s="199">
        <f t="shared" si="35"/>
        <v>124766.73</v>
      </c>
      <c r="H62" s="125" t="s">
        <v>79</v>
      </c>
      <c r="I62" s="207">
        <v>22</v>
      </c>
      <c r="J62" s="37">
        <v>2000</v>
      </c>
      <c r="K62" s="17">
        <f t="shared" si="1"/>
        <v>90.909090909090907</v>
      </c>
      <c r="L62" s="207">
        <v>22</v>
      </c>
      <c r="M62" s="18">
        <f t="shared" si="36"/>
        <v>1658.2500000000009</v>
      </c>
      <c r="N62" s="18">
        <f t="shared" si="3"/>
        <v>75.375000000000043</v>
      </c>
      <c r="O62" s="19">
        <f t="shared" si="4"/>
        <v>0</v>
      </c>
      <c r="P62" s="20">
        <f t="shared" si="5"/>
        <v>-15.534090909090864</v>
      </c>
      <c r="Q62" s="198">
        <f t="shared" si="6"/>
        <v>0.82912500000000044</v>
      </c>
      <c r="R62" s="489"/>
      <c r="S62" s="40">
        <v>0.29722222222222222</v>
      </c>
      <c r="T62" s="40">
        <v>0.35277777777777775</v>
      </c>
      <c r="U62" s="199">
        <f t="shared" si="38"/>
        <v>7.9999999999999716</v>
      </c>
      <c r="V62" s="208">
        <f t="shared" si="37"/>
        <v>79.999999999999957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-341.74999999999909</v>
      </c>
      <c r="AF62" s="198">
        <f t="shared" si="9"/>
        <v>0.82912500000000044</v>
      </c>
      <c r="AG62" s="489"/>
    </row>
    <row r="63" spans="1:33" ht="15.75" customHeight="1">
      <c r="A63" s="507" t="s">
        <v>67</v>
      </c>
      <c r="B63" s="42" t="s">
        <v>103</v>
      </c>
      <c r="C63" s="203" t="s">
        <v>518</v>
      </c>
      <c r="D63" s="204"/>
      <c r="E63" s="42">
        <v>51.75</v>
      </c>
      <c r="F63" s="46">
        <v>1362</v>
      </c>
      <c r="G63" s="199">
        <f t="shared" si="35"/>
        <v>70483.5</v>
      </c>
      <c r="H63" s="125" t="s">
        <v>79</v>
      </c>
      <c r="I63" s="207">
        <v>25</v>
      </c>
      <c r="J63" s="37">
        <v>2000</v>
      </c>
      <c r="K63" s="17">
        <f t="shared" si="1"/>
        <v>80</v>
      </c>
      <c r="L63" s="207">
        <v>25</v>
      </c>
      <c r="M63" s="18">
        <f t="shared" si="36"/>
        <v>1634.4000000000005</v>
      </c>
      <c r="N63" s="18">
        <f t="shared" si="3"/>
        <v>65.376000000000019</v>
      </c>
      <c r="O63" s="19">
        <f t="shared" si="4"/>
        <v>0</v>
      </c>
      <c r="P63" s="20">
        <f t="shared" si="5"/>
        <v>-14.623999999999981</v>
      </c>
      <c r="Q63" s="198">
        <f t="shared" si="6"/>
        <v>0.81720000000000026</v>
      </c>
      <c r="R63" s="489"/>
      <c r="S63" s="40">
        <v>0.3569444444444444</v>
      </c>
      <c r="T63" s="40">
        <v>0.39166666666666661</v>
      </c>
      <c r="U63" s="199">
        <f t="shared" si="38"/>
        <v>5.9999999999999787</v>
      </c>
      <c r="V63" s="208">
        <f t="shared" si="37"/>
        <v>49.999999999999986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-365.59999999999945</v>
      </c>
      <c r="AF63" s="198">
        <f t="shared" si="9"/>
        <v>0.81720000000000026</v>
      </c>
      <c r="AG63" s="489"/>
    </row>
    <row r="64" spans="1:33" ht="15.75" customHeight="1">
      <c r="A64" s="507" t="s">
        <v>67</v>
      </c>
      <c r="B64" s="42" t="s">
        <v>103</v>
      </c>
      <c r="C64" s="203" t="s">
        <v>106</v>
      </c>
      <c r="D64" s="204"/>
      <c r="E64" s="42">
        <v>55.56</v>
      </c>
      <c r="F64" s="46">
        <v>2068</v>
      </c>
      <c r="G64" s="199">
        <f t="shared" si="35"/>
        <v>114898.08</v>
      </c>
      <c r="H64" s="125" t="s">
        <v>79</v>
      </c>
      <c r="I64" s="207">
        <v>17</v>
      </c>
      <c r="J64" s="37">
        <v>2000</v>
      </c>
      <c r="K64" s="17">
        <f t="shared" si="1"/>
        <v>117.64705882352941</v>
      </c>
      <c r="L64" s="207">
        <v>17</v>
      </c>
      <c r="M64" s="18">
        <f t="shared" si="36"/>
        <v>1908.9230769230792</v>
      </c>
      <c r="N64" s="18">
        <f t="shared" si="3"/>
        <v>112.28959276018112</v>
      </c>
      <c r="O64" s="19">
        <f t="shared" si="4"/>
        <v>0</v>
      </c>
      <c r="P64" s="20">
        <f t="shared" si="5"/>
        <v>-5.3574660633482836</v>
      </c>
      <c r="Q64" s="198">
        <f t="shared" si="6"/>
        <v>0.95446153846153958</v>
      </c>
      <c r="R64" s="489"/>
      <c r="S64" s="40">
        <v>0.70833333333333337</v>
      </c>
      <c r="T64" s="40">
        <v>0.75347222222222221</v>
      </c>
      <c r="U64" s="199" t="str">
        <f t="shared" si="38"/>
        <v/>
      </c>
      <c r="V64" s="208">
        <f t="shared" si="37"/>
        <v>64.999999999999929</v>
      </c>
      <c r="W64" s="23"/>
      <c r="X64" s="23"/>
      <c r="Y64" s="26"/>
      <c r="Z64" s="26"/>
      <c r="AA64" s="491"/>
      <c r="AB64" s="491"/>
      <c r="AC64" s="154"/>
      <c r="AD64" s="25"/>
      <c r="AE64" s="19">
        <f t="shared" si="8"/>
        <v>-91.076923076920821</v>
      </c>
      <c r="AF64" s="198">
        <f t="shared" si="9"/>
        <v>0.95446153846153958</v>
      </c>
      <c r="AG64" s="489"/>
    </row>
    <row r="65" spans="1:33" ht="15.75" customHeight="1">
      <c r="A65" s="507" t="s">
        <v>1125</v>
      </c>
      <c r="B65" s="42" t="s">
        <v>103</v>
      </c>
      <c r="C65" s="501" t="s">
        <v>107</v>
      </c>
      <c r="D65" s="502"/>
      <c r="E65" s="42">
        <v>55.32</v>
      </c>
      <c r="F65" s="46">
        <v>1495</v>
      </c>
      <c r="G65" s="199">
        <f t="shared" si="35"/>
        <v>82703.399999999994</v>
      </c>
      <c r="H65" s="125" t="s">
        <v>79</v>
      </c>
      <c r="I65" s="207">
        <v>15</v>
      </c>
      <c r="J65" s="37">
        <v>2000</v>
      </c>
      <c r="K65" s="17">
        <f t="shared" si="1"/>
        <v>133.33333333333334</v>
      </c>
      <c r="L65" s="207">
        <v>15</v>
      </c>
      <c r="M65" s="18">
        <f t="shared" si="36"/>
        <v>1908.5106382978727</v>
      </c>
      <c r="N65" s="18">
        <f t="shared" si="3"/>
        <v>127.23404255319151</v>
      </c>
      <c r="O65" s="19">
        <f t="shared" si="4"/>
        <v>0</v>
      </c>
      <c r="P65" s="20">
        <f t="shared" si="5"/>
        <v>-6.0992907801418283</v>
      </c>
      <c r="Q65" s="198">
        <f t="shared" si="6"/>
        <v>0.95425531914893624</v>
      </c>
      <c r="R65" s="489"/>
      <c r="S65" s="40">
        <v>0.75694444444444442</v>
      </c>
      <c r="T65" s="40">
        <v>0.7895833333333333</v>
      </c>
      <c r="U65" s="199">
        <f t="shared" si="38"/>
        <v>4.9999999999999822</v>
      </c>
      <c r="V65" s="208">
        <f t="shared" si="37"/>
        <v>46.999999999999993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-91.489361702127326</v>
      </c>
      <c r="AF65" s="198">
        <f t="shared" si="9"/>
        <v>0.95425531914893635</v>
      </c>
      <c r="AG65" s="489"/>
    </row>
    <row r="66" spans="1:33" ht="15.75" customHeight="1">
      <c r="A66" s="507" t="s">
        <v>67</v>
      </c>
      <c r="B66" s="42" t="s">
        <v>103</v>
      </c>
      <c r="C66" s="501" t="s">
        <v>516</v>
      </c>
      <c r="D66" s="502"/>
      <c r="E66" s="42">
        <v>50.67</v>
      </c>
      <c r="F66" s="46">
        <v>2083</v>
      </c>
      <c r="G66" s="199">
        <f t="shared" si="35"/>
        <v>105545.61</v>
      </c>
      <c r="H66" s="125" t="s">
        <v>79</v>
      </c>
      <c r="I66" s="207">
        <v>16</v>
      </c>
      <c r="J66" s="37">
        <v>2000</v>
      </c>
      <c r="K66" s="17">
        <f t="shared" si="1"/>
        <v>125</v>
      </c>
      <c r="L66" s="207">
        <v>16</v>
      </c>
      <c r="M66" s="18">
        <f t="shared" si="36"/>
        <v>1922.7692307692328</v>
      </c>
      <c r="N66" s="18">
        <f t="shared" si="3"/>
        <v>120.17307692307705</v>
      </c>
      <c r="O66" s="19">
        <f t="shared" si="4"/>
        <v>0</v>
      </c>
      <c r="P66" s="20">
        <f t="shared" si="5"/>
        <v>-4.8269230769229523</v>
      </c>
      <c r="Q66" s="198">
        <f t="shared" si="6"/>
        <v>0.96138461538461639</v>
      </c>
      <c r="R66" s="489"/>
      <c r="S66" s="40">
        <v>0.79374999999999996</v>
      </c>
      <c r="T66" s="40">
        <v>0.8388888888888888</v>
      </c>
      <c r="U66" s="199">
        <f t="shared" si="38"/>
        <v>5.9999999999999787</v>
      </c>
      <c r="V66" s="208">
        <f t="shared" si="37"/>
        <v>64.999999999999929</v>
      </c>
      <c r="W66" s="23"/>
      <c r="X66" s="23"/>
      <c r="Y66" s="26"/>
      <c r="Z66" s="26"/>
      <c r="AA66" s="503"/>
      <c r="AB66" s="504"/>
      <c r="AC66" s="154"/>
      <c r="AD66" s="25"/>
      <c r="AE66" s="19">
        <f t="shared" si="8"/>
        <v>-77.230769230767237</v>
      </c>
      <c r="AF66" s="198">
        <f t="shared" si="9"/>
        <v>0.96138461538461639</v>
      </c>
      <c r="AG66" s="489"/>
    </row>
    <row r="67" spans="1:33">
      <c r="A67" s="508" t="s">
        <v>67</v>
      </c>
      <c r="B67" s="42" t="s">
        <v>71</v>
      </c>
      <c r="C67" s="494"/>
      <c r="D67" s="494"/>
      <c r="E67" s="201"/>
      <c r="F67" s="44"/>
      <c r="G67" s="17"/>
      <c r="H67" s="209"/>
      <c r="I67" s="30">
        <v>18.428571428571427</v>
      </c>
      <c r="J67" s="37">
        <v>2000</v>
      </c>
      <c r="K67" s="17">
        <f t="shared" si="1"/>
        <v>108.52713178294574</v>
      </c>
      <c r="L67" s="30">
        <v>18.428571428571427</v>
      </c>
      <c r="M67" s="18">
        <f>AVERAGE(M60:M66)</f>
        <v>1840.0644690077804</v>
      </c>
      <c r="N67" s="17">
        <f t="shared" si="3"/>
        <v>99.848459558561743</v>
      </c>
      <c r="O67" s="19">
        <f t="shared" si="4"/>
        <v>0</v>
      </c>
      <c r="P67" s="20">
        <f t="shared" si="5"/>
        <v>-8.6786722243840018</v>
      </c>
      <c r="Q67" s="198">
        <f t="shared" si="6"/>
        <v>0.92003223450389027</v>
      </c>
      <c r="R67" s="489"/>
      <c r="S67" s="41"/>
      <c r="T67" s="40"/>
      <c r="U67" s="17"/>
      <c r="V67" s="208"/>
      <c r="W67" s="17"/>
      <c r="X67" s="17"/>
      <c r="Y67" s="31">
        <f>SUM(Y60:Y66)</f>
        <v>0</v>
      </c>
      <c r="Z67" s="31">
        <f>SUM(Z60:Z66)</f>
        <v>0</v>
      </c>
      <c r="AA67" s="495"/>
      <c r="AB67" s="495"/>
      <c r="AC67" s="31">
        <v>4</v>
      </c>
      <c r="AD67" s="31">
        <f>SUM(AD60:AD66)</f>
        <v>0</v>
      </c>
      <c r="AE67" s="19">
        <f t="shared" si="8"/>
        <v>-159.93553099221958</v>
      </c>
      <c r="AF67" s="198">
        <f t="shared" si="9"/>
        <v>0.92003223450389016</v>
      </c>
      <c r="AG67" s="489"/>
    </row>
    <row r="68" spans="1:33" ht="15.75" customHeight="1">
      <c r="A68" s="499" t="s">
        <v>1126</v>
      </c>
      <c r="B68" s="209" t="s">
        <v>100</v>
      </c>
      <c r="C68" s="490" t="s">
        <v>109</v>
      </c>
      <c r="D68" s="490"/>
      <c r="E68" s="42">
        <v>26.97</v>
      </c>
      <c r="F68" s="46">
        <v>2541</v>
      </c>
      <c r="G68" s="199">
        <f t="shared" ref="G68:G71" si="39">E68*F68</f>
        <v>68530.77</v>
      </c>
      <c r="H68" s="125" t="s">
        <v>79</v>
      </c>
      <c r="I68" s="207">
        <v>8</v>
      </c>
      <c r="J68" s="37">
        <v>1500</v>
      </c>
      <c r="K68" s="17">
        <f t="shared" si="1"/>
        <v>187.5</v>
      </c>
      <c r="L68" s="207">
        <v>8</v>
      </c>
      <c r="M68" s="18">
        <f t="shared" ref="M68:M71" si="40">F68/V68*60</f>
        <v>1438.3018867924532</v>
      </c>
      <c r="N68" s="17">
        <f t="shared" si="3"/>
        <v>179.78773584905665</v>
      </c>
      <c r="O68" s="19">
        <f t="shared" si="4"/>
        <v>0</v>
      </c>
      <c r="P68" s="20">
        <f t="shared" si="5"/>
        <v>-7.7122641509433549</v>
      </c>
      <c r="Q68" s="198">
        <f t="shared" si="6"/>
        <v>0.95886792452830216</v>
      </c>
      <c r="R68" s="489">
        <f>Q72</f>
        <v>0.9618668266331738</v>
      </c>
      <c r="S68" s="40">
        <v>0.20833333333333334</v>
      </c>
      <c r="T68" s="40">
        <v>0.28194444444444444</v>
      </c>
      <c r="U68" s="199"/>
      <c r="V68" s="208">
        <f t="shared" ref="V68:V71" si="41">(T68-S68)*24*60</f>
        <v>105.99999999999999</v>
      </c>
      <c r="W68" s="28"/>
      <c r="X68" s="28"/>
      <c r="Y68" s="28"/>
      <c r="Z68" s="28"/>
      <c r="AA68" s="491"/>
      <c r="AB68" s="491"/>
      <c r="AC68" s="154" t="s">
        <v>79</v>
      </c>
      <c r="AD68" s="25"/>
      <c r="AE68" s="19">
        <f t="shared" si="8"/>
        <v>-61.698113207546839</v>
      </c>
      <c r="AF68" s="198">
        <f t="shared" si="9"/>
        <v>0.95886792452830216</v>
      </c>
      <c r="AG68" s="489">
        <f>AF72</f>
        <v>0.96186682663317369</v>
      </c>
    </row>
    <row r="69" spans="1:33" ht="15.75" customHeight="1">
      <c r="A69" s="499" t="s">
        <v>1126</v>
      </c>
      <c r="B69" s="209" t="s">
        <v>93</v>
      </c>
      <c r="C69" s="490" t="s">
        <v>110</v>
      </c>
      <c r="D69" s="490"/>
      <c r="E69" s="42">
        <v>26.78</v>
      </c>
      <c r="F69" s="46">
        <v>2943</v>
      </c>
      <c r="G69" s="199">
        <f t="shared" si="39"/>
        <v>78813.540000000008</v>
      </c>
      <c r="H69" s="125" t="s">
        <v>79</v>
      </c>
      <c r="I69" s="207">
        <v>10</v>
      </c>
      <c r="J69" s="37">
        <v>3000</v>
      </c>
      <c r="K69" s="17">
        <f t="shared" ref="K69:K79" si="42">J69/I69</f>
        <v>300</v>
      </c>
      <c r="L69" s="207">
        <v>10</v>
      </c>
      <c r="M69" s="18">
        <f t="shared" si="40"/>
        <v>2894.754098360655</v>
      </c>
      <c r="N69" s="17">
        <f t="shared" ref="N69:N79" si="43">M69/L69</f>
        <v>289.47540983606552</v>
      </c>
      <c r="O69" s="19">
        <f t="shared" ref="O69:O79" si="44">L69-I69</f>
        <v>0</v>
      </c>
      <c r="P69" s="20">
        <f t="shared" ref="P69:P79" si="45">N69-K69</f>
        <v>-10.524590163934477</v>
      </c>
      <c r="Q69" s="198">
        <f t="shared" ref="Q69:Q79" si="46">N69/K69</f>
        <v>0.96491803278688504</v>
      </c>
      <c r="R69" s="489"/>
      <c r="S69" s="40">
        <v>0.28541666666666665</v>
      </c>
      <c r="T69" s="40">
        <v>0.32777777777777778</v>
      </c>
      <c r="U69" s="199">
        <f t="shared" ref="U69:U71" si="47">(S69-T68)*24*60</f>
        <v>4.9999999999999822</v>
      </c>
      <c r="V69" s="208">
        <f t="shared" si="41"/>
        <v>61.000000000000021</v>
      </c>
      <c r="W69" s="199"/>
      <c r="X69" s="199"/>
      <c r="Y69" s="199"/>
      <c r="Z69" s="199"/>
      <c r="AA69" s="491"/>
      <c r="AB69" s="491"/>
      <c r="AC69" s="154" t="s">
        <v>79</v>
      </c>
      <c r="AD69" s="25"/>
      <c r="AE69" s="19">
        <f t="shared" ref="AE69:AE79" si="48">M69-J69</f>
        <v>-105.24590163934499</v>
      </c>
      <c r="AF69" s="198">
        <f t="shared" ref="AF69:AF79" si="49">M69/J69</f>
        <v>0.96491803278688504</v>
      </c>
      <c r="AG69" s="489"/>
    </row>
    <row r="70" spans="1:33" ht="15.75" customHeight="1">
      <c r="A70" s="499" t="s">
        <v>74</v>
      </c>
      <c r="B70" s="209" t="s">
        <v>93</v>
      </c>
      <c r="C70" s="490" t="s">
        <v>111</v>
      </c>
      <c r="D70" s="490"/>
      <c r="E70" s="42">
        <v>37.880000000000003</v>
      </c>
      <c r="F70" s="46">
        <v>2646</v>
      </c>
      <c r="G70" s="199">
        <f t="shared" si="39"/>
        <v>100230.48000000001</v>
      </c>
      <c r="H70" s="125" t="s">
        <v>79</v>
      </c>
      <c r="I70" s="207">
        <v>10</v>
      </c>
      <c r="J70" s="37">
        <v>3000</v>
      </c>
      <c r="K70" s="17">
        <f t="shared" si="42"/>
        <v>300</v>
      </c>
      <c r="L70" s="207">
        <v>10</v>
      </c>
      <c r="M70" s="18">
        <f t="shared" si="40"/>
        <v>2886.5454545454563</v>
      </c>
      <c r="N70" s="17">
        <f t="shared" si="43"/>
        <v>288.65454545454566</v>
      </c>
      <c r="O70" s="19">
        <f t="shared" si="44"/>
        <v>0</v>
      </c>
      <c r="P70" s="20">
        <f t="shared" si="45"/>
        <v>-11.345454545454345</v>
      </c>
      <c r="Q70" s="198">
        <f t="shared" si="46"/>
        <v>0.9621818181818188</v>
      </c>
      <c r="R70" s="489"/>
      <c r="S70" s="40">
        <v>0.33333333333333331</v>
      </c>
      <c r="T70" s="40">
        <v>0.37152777777777773</v>
      </c>
      <c r="U70" s="199">
        <f t="shared" si="47"/>
        <v>7.9999999999999716</v>
      </c>
      <c r="V70" s="208">
        <f t="shared" si="41"/>
        <v>54.999999999999964</v>
      </c>
      <c r="W70" s="199"/>
      <c r="X70" s="199"/>
      <c r="Y70" s="199"/>
      <c r="Z70" s="199"/>
      <c r="AA70" s="491"/>
      <c r="AB70" s="491"/>
      <c r="AC70" s="154" t="s">
        <v>79</v>
      </c>
      <c r="AD70" s="25"/>
      <c r="AE70" s="19">
        <f t="shared" si="48"/>
        <v>-113.45454545454368</v>
      </c>
      <c r="AF70" s="198">
        <f t="shared" si="49"/>
        <v>0.9621818181818188</v>
      </c>
      <c r="AG70" s="489"/>
    </row>
    <row r="71" spans="1:33" ht="15.75" customHeight="1">
      <c r="A71" s="499" t="s">
        <v>74</v>
      </c>
      <c r="B71" s="209" t="s">
        <v>100</v>
      </c>
      <c r="C71" s="490" t="s">
        <v>519</v>
      </c>
      <c r="D71" s="490"/>
      <c r="E71" s="42">
        <v>27.4</v>
      </c>
      <c r="F71" s="46">
        <v>3593</v>
      </c>
      <c r="G71" s="199">
        <f t="shared" si="39"/>
        <v>98448.2</v>
      </c>
      <c r="H71" s="125" t="s">
        <v>79</v>
      </c>
      <c r="I71" s="207">
        <v>10</v>
      </c>
      <c r="J71" s="37">
        <v>1500</v>
      </c>
      <c r="K71" s="17">
        <f t="shared" si="42"/>
        <v>150</v>
      </c>
      <c r="L71" s="207">
        <v>10</v>
      </c>
      <c r="M71" s="18">
        <f t="shared" si="40"/>
        <v>1437.1999999999998</v>
      </c>
      <c r="N71" s="17">
        <f t="shared" si="43"/>
        <v>143.71999999999997</v>
      </c>
      <c r="O71" s="19">
        <f t="shared" si="44"/>
        <v>0</v>
      </c>
      <c r="P71" s="20">
        <f t="shared" si="45"/>
        <v>-6.2800000000000296</v>
      </c>
      <c r="Q71" s="198">
        <f t="shared" si="46"/>
        <v>0.95813333333333317</v>
      </c>
      <c r="R71" s="489"/>
      <c r="S71" s="40">
        <v>0.37708333333333327</v>
      </c>
      <c r="T71" s="40">
        <v>0.48124999999999996</v>
      </c>
      <c r="U71" s="199">
        <f t="shared" si="47"/>
        <v>7.9999999999999716</v>
      </c>
      <c r="V71" s="208">
        <f t="shared" si="41"/>
        <v>150.00000000000003</v>
      </c>
      <c r="W71" s="199"/>
      <c r="X71" s="199"/>
      <c r="Y71" s="199"/>
      <c r="Z71" s="199"/>
      <c r="AA71" s="491"/>
      <c r="AB71" s="491"/>
      <c r="AC71" s="154">
        <v>1</v>
      </c>
      <c r="AD71" s="25"/>
      <c r="AE71" s="19">
        <f t="shared" si="48"/>
        <v>-62.800000000000182</v>
      </c>
      <c r="AF71" s="198">
        <f t="shared" si="49"/>
        <v>0.95813333333333317</v>
      </c>
      <c r="AG71" s="489"/>
    </row>
    <row r="72" spans="1:33">
      <c r="A72" s="500" t="s">
        <v>74</v>
      </c>
      <c r="B72" s="42" t="s">
        <v>71</v>
      </c>
      <c r="C72" s="494"/>
      <c r="D72" s="494"/>
      <c r="E72" s="201"/>
      <c r="F72" s="44"/>
      <c r="G72" s="17"/>
      <c r="H72" s="209"/>
      <c r="I72" s="30">
        <v>9.75</v>
      </c>
      <c r="J72" s="37">
        <v>2250</v>
      </c>
      <c r="K72" s="17">
        <f t="shared" si="42"/>
        <v>230.76923076923077</v>
      </c>
      <c r="L72" s="30">
        <v>9.75</v>
      </c>
      <c r="M72" s="18">
        <f>AVERAGE(M68:M71)</f>
        <v>2164.2003599246409</v>
      </c>
      <c r="N72" s="17">
        <f t="shared" si="43"/>
        <v>221.96926768457857</v>
      </c>
      <c r="O72" s="19">
        <f t="shared" si="44"/>
        <v>0</v>
      </c>
      <c r="P72" s="20">
        <f t="shared" si="45"/>
        <v>-8.7999630846522052</v>
      </c>
      <c r="Q72" s="198">
        <f t="shared" si="46"/>
        <v>0.9618668266331738</v>
      </c>
      <c r="R72" s="489"/>
      <c r="S72" s="40"/>
      <c r="T72" s="40"/>
      <c r="U72" s="17"/>
      <c r="V72" s="208"/>
      <c r="W72" s="17"/>
      <c r="X72" s="17"/>
      <c r="Y72" s="31">
        <f>SUM(Y68:Y71)</f>
        <v>0</v>
      </c>
      <c r="Z72" s="31">
        <f>SUM(Z68:Z71)</f>
        <v>0</v>
      </c>
      <c r="AA72" s="495"/>
      <c r="AB72" s="495"/>
      <c r="AC72" s="31">
        <v>1</v>
      </c>
      <c r="AD72" s="31">
        <f>SUM(AD68:AD71)</f>
        <v>0</v>
      </c>
      <c r="AE72" s="19">
        <f t="shared" si="48"/>
        <v>-85.799640075359093</v>
      </c>
      <c r="AF72" s="198">
        <f t="shared" si="49"/>
        <v>0.96186682663317369</v>
      </c>
      <c r="AG72" s="489"/>
    </row>
    <row r="73" spans="1:33" ht="15.75" customHeight="1">
      <c r="A73" s="496" t="s">
        <v>75</v>
      </c>
      <c r="B73" s="209" t="s">
        <v>80</v>
      </c>
      <c r="C73" s="490" t="s">
        <v>115</v>
      </c>
      <c r="D73" s="490"/>
      <c r="E73" s="42">
        <v>20.2</v>
      </c>
      <c r="F73" s="209">
        <v>2270</v>
      </c>
      <c r="G73" s="199">
        <f t="shared" ref="G73:G78" si="50">E73*F73</f>
        <v>45854</v>
      </c>
      <c r="H73" s="125" t="s">
        <v>79</v>
      </c>
      <c r="I73" s="207">
        <v>19</v>
      </c>
      <c r="J73" s="37">
        <v>2400</v>
      </c>
      <c r="K73" s="17">
        <f t="shared" si="42"/>
        <v>126.31578947368421</v>
      </c>
      <c r="L73" s="207">
        <v>19</v>
      </c>
      <c r="M73" s="18">
        <f t="shared" ref="M73:M78" si="51">F73/V73*60</f>
        <v>2308.4745762711864</v>
      </c>
      <c r="N73" s="17">
        <f t="shared" si="43"/>
        <v>121.49866190900981</v>
      </c>
      <c r="O73" s="19">
        <f t="shared" si="44"/>
        <v>0</v>
      </c>
      <c r="P73" s="20">
        <f t="shared" si="45"/>
        <v>-4.8171275646743936</v>
      </c>
      <c r="Q73" s="198">
        <f t="shared" si="46"/>
        <v>0.96186440677966101</v>
      </c>
      <c r="R73" s="489">
        <f>Q79</f>
        <v>0.95450956612049687</v>
      </c>
      <c r="S73" s="40">
        <v>8.3333333333333329E-2</v>
      </c>
      <c r="T73" s="40">
        <v>0.12430555555555556</v>
      </c>
      <c r="U73" s="28"/>
      <c r="V73" s="208">
        <f t="shared" ref="V73:V78" si="52">(T73-S73)*24*60</f>
        <v>59.000000000000007</v>
      </c>
      <c r="W73" s="23">
        <f>T73</f>
        <v>0.12430555555555556</v>
      </c>
      <c r="X73" s="23">
        <f>S74</f>
        <v>0.1451388888888889</v>
      </c>
      <c r="Y73" s="23"/>
      <c r="Z73" s="23"/>
      <c r="AA73" s="491"/>
      <c r="AB73" s="491"/>
      <c r="AC73" s="154">
        <v>8</v>
      </c>
      <c r="AD73" s="25"/>
      <c r="AE73" s="19">
        <f t="shared" si="48"/>
        <v>-91.525423728813621</v>
      </c>
      <c r="AF73" s="198">
        <f t="shared" si="49"/>
        <v>0.96186440677966101</v>
      </c>
      <c r="AG73" s="489">
        <f>AF79</f>
        <v>0.95450956612049687</v>
      </c>
    </row>
    <row r="74" spans="1:33" ht="15.75" customHeight="1">
      <c r="A74" s="497" t="s">
        <v>75</v>
      </c>
      <c r="B74" s="209" t="s">
        <v>80</v>
      </c>
      <c r="C74" s="490" t="s">
        <v>116</v>
      </c>
      <c r="D74" s="490"/>
      <c r="E74" s="42">
        <v>20.52</v>
      </c>
      <c r="F74" s="209">
        <v>3209</v>
      </c>
      <c r="G74" s="199">
        <f t="shared" si="50"/>
        <v>65848.679999999993</v>
      </c>
      <c r="H74" s="125" t="s">
        <v>79</v>
      </c>
      <c r="I74" s="207">
        <v>18</v>
      </c>
      <c r="J74" s="37">
        <v>2400</v>
      </c>
      <c r="K74" s="17">
        <f t="shared" si="42"/>
        <v>133.33333333333334</v>
      </c>
      <c r="L74" s="207">
        <v>18</v>
      </c>
      <c r="M74" s="18">
        <f t="shared" si="51"/>
        <v>2292.1428571428573</v>
      </c>
      <c r="N74" s="17">
        <f t="shared" si="43"/>
        <v>127.34126984126985</v>
      </c>
      <c r="O74" s="19">
        <f t="shared" si="44"/>
        <v>0</v>
      </c>
      <c r="P74" s="20">
        <f t="shared" si="45"/>
        <v>-5.9920634920634939</v>
      </c>
      <c r="Q74" s="198">
        <f t="shared" si="46"/>
        <v>0.95505952380952375</v>
      </c>
      <c r="R74" s="489"/>
      <c r="S74" s="40">
        <v>0.1451388888888889</v>
      </c>
      <c r="T74" s="40">
        <v>0.20347222222222222</v>
      </c>
      <c r="U74" s="199">
        <f t="shared" ref="U74:U78" si="53">(S74-T73)*24*60</f>
        <v>30.000000000000014</v>
      </c>
      <c r="V74" s="208">
        <f t="shared" si="52"/>
        <v>83.999999999999986</v>
      </c>
      <c r="W74" s="23"/>
      <c r="X74" s="23"/>
      <c r="Y74" s="23"/>
      <c r="Z74" s="23"/>
      <c r="AA74" s="491"/>
      <c r="AB74" s="491"/>
      <c r="AC74" s="154"/>
      <c r="AD74" s="25"/>
      <c r="AE74" s="19">
        <f t="shared" si="48"/>
        <v>-107.85714285714266</v>
      </c>
      <c r="AF74" s="198">
        <f t="shared" si="49"/>
        <v>0.95505952380952386</v>
      </c>
      <c r="AG74" s="489"/>
    </row>
    <row r="75" spans="1:33" ht="15.75" customHeight="1">
      <c r="A75" s="497" t="s">
        <v>75</v>
      </c>
      <c r="B75" s="209" t="s">
        <v>80</v>
      </c>
      <c r="C75" s="490" t="s">
        <v>117</v>
      </c>
      <c r="D75" s="490"/>
      <c r="E75" s="42">
        <v>24.43</v>
      </c>
      <c r="F75" s="209">
        <v>7096</v>
      </c>
      <c r="G75" s="199">
        <f t="shared" si="50"/>
        <v>173355.28</v>
      </c>
      <c r="H75" s="125" t="s">
        <v>79</v>
      </c>
      <c r="I75" s="207">
        <v>14</v>
      </c>
      <c r="J75" s="37">
        <v>2400</v>
      </c>
      <c r="K75" s="17">
        <f t="shared" si="42"/>
        <v>171.42857142857142</v>
      </c>
      <c r="L75" s="207">
        <v>14</v>
      </c>
      <c r="M75" s="18">
        <f t="shared" si="51"/>
        <v>2289.0322580645156</v>
      </c>
      <c r="N75" s="17">
        <f t="shared" si="43"/>
        <v>163.5023041474654</v>
      </c>
      <c r="O75" s="19">
        <f t="shared" si="44"/>
        <v>0</v>
      </c>
      <c r="P75" s="20">
        <f t="shared" si="45"/>
        <v>-7.9262672811060213</v>
      </c>
      <c r="Q75" s="198">
        <f t="shared" si="46"/>
        <v>0.95376344086021492</v>
      </c>
      <c r="R75" s="489"/>
      <c r="S75" s="40">
        <v>0.2076388888888889</v>
      </c>
      <c r="T75" s="40">
        <v>0.33680555555555558</v>
      </c>
      <c r="U75" s="199">
        <f t="shared" si="53"/>
        <v>6.0000000000000187</v>
      </c>
      <c r="V75" s="208">
        <f t="shared" si="52"/>
        <v>186.00000000000003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-110.96774193548436</v>
      </c>
      <c r="AF75" s="198">
        <f t="shared" si="49"/>
        <v>0.95376344086021481</v>
      </c>
      <c r="AG75" s="489"/>
    </row>
    <row r="76" spans="1:33" ht="15.75" customHeight="1">
      <c r="A76" s="497" t="s">
        <v>75</v>
      </c>
      <c r="B76" s="209" t="s">
        <v>80</v>
      </c>
      <c r="C76" s="490" t="s">
        <v>118</v>
      </c>
      <c r="D76" s="490"/>
      <c r="E76" s="42">
        <v>20.21</v>
      </c>
      <c r="F76" s="209">
        <v>4035</v>
      </c>
      <c r="G76" s="199">
        <f t="shared" si="50"/>
        <v>81547.350000000006</v>
      </c>
      <c r="H76" s="125" t="s">
        <v>79</v>
      </c>
      <c r="I76" s="207">
        <v>16</v>
      </c>
      <c r="J76" s="37">
        <v>2400</v>
      </c>
      <c r="K76" s="17">
        <f t="shared" si="42"/>
        <v>150</v>
      </c>
      <c r="L76" s="207">
        <v>16</v>
      </c>
      <c r="M76" s="18">
        <f t="shared" si="51"/>
        <v>2283.9622641509427</v>
      </c>
      <c r="N76" s="17">
        <f t="shared" si="43"/>
        <v>142.74764150943392</v>
      </c>
      <c r="O76" s="19">
        <f t="shared" si="44"/>
        <v>0</v>
      </c>
      <c r="P76" s="20">
        <f t="shared" si="45"/>
        <v>-7.2523584905660812</v>
      </c>
      <c r="Q76" s="198">
        <f t="shared" si="46"/>
        <v>0.95165094339622613</v>
      </c>
      <c r="R76" s="489"/>
      <c r="S76" s="40">
        <v>0.34097222222222223</v>
      </c>
      <c r="T76" s="40">
        <v>0.41458333333333336</v>
      </c>
      <c r="U76" s="199">
        <f t="shared" si="53"/>
        <v>5.9999999999999787</v>
      </c>
      <c r="V76" s="208">
        <f t="shared" si="52"/>
        <v>106.00000000000003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8"/>
        <v>-116.0377358490573</v>
      </c>
      <c r="AF76" s="198">
        <f t="shared" si="49"/>
        <v>0.95165094339622613</v>
      </c>
      <c r="AG76" s="489"/>
    </row>
    <row r="77" spans="1:33" ht="15.75" customHeight="1">
      <c r="A77" s="497" t="s">
        <v>75</v>
      </c>
      <c r="B77" s="209" t="s">
        <v>80</v>
      </c>
      <c r="C77" s="490" t="s">
        <v>119</v>
      </c>
      <c r="D77" s="490"/>
      <c r="E77" s="42">
        <v>19.02</v>
      </c>
      <c r="F77" s="209">
        <v>4000</v>
      </c>
      <c r="G77" s="199">
        <f t="shared" si="50"/>
        <v>76080</v>
      </c>
      <c r="H77" s="125">
        <v>2</v>
      </c>
      <c r="I77" s="207">
        <v>15</v>
      </c>
      <c r="J77" s="37">
        <v>2400</v>
      </c>
      <c r="K77" s="17">
        <f t="shared" si="42"/>
        <v>160</v>
      </c>
      <c r="L77" s="207">
        <v>15</v>
      </c>
      <c r="M77" s="18">
        <f t="shared" si="51"/>
        <v>2285.7142857142853</v>
      </c>
      <c r="N77" s="17">
        <f t="shared" si="43"/>
        <v>152.38095238095235</v>
      </c>
      <c r="O77" s="19">
        <f t="shared" si="44"/>
        <v>0</v>
      </c>
      <c r="P77" s="20">
        <f t="shared" si="45"/>
        <v>-7.6190476190476488</v>
      </c>
      <c r="Q77" s="198">
        <f t="shared" si="46"/>
        <v>0.95238095238095222</v>
      </c>
      <c r="R77" s="489"/>
      <c r="S77" s="40">
        <v>0.41875000000000001</v>
      </c>
      <c r="T77" s="40">
        <v>0.4916666666666667</v>
      </c>
      <c r="U77" s="199">
        <f t="shared" si="53"/>
        <v>5.9999999999999787</v>
      </c>
      <c r="V77" s="208">
        <f t="shared" si="52"/>
        <v>105.00000000000003</v>
      </c>
      <c r="W77" s="23">
        <f>T77</f>
        <v>0.4916666666666667</v>
      </c>
      <c r="X77" s="23">
        <f>S78</f>
        <v>0.53333333333333333</v>
      </c>
      <c r="Y77" s="23"/>
      <c r="Z77" s="23"/>
      <c r="AA77" s="491"/>
      <c r="AB77" s="491"/>
      <c r="AC77" s="154"/>
      <c r="AD77" s="25"/>
      <c r="AE77" s="19">
        <f t="shared" si="48"/>
        <v>-114.28571428571468</v>
      </c>
      <c r="AF77" s="198">
        <f t="shared" si="49"/>
        <v>0.95238095238095222</v>
      </c>
      <c r="AG77" s="489"/>
    </row>
    <row r="78" spans="1:33" ht="15.75" customHeight="1">
      <c r="A78" s="497" t="s">
        <v>75</v>
      </c>
      <c r="B78" s="209" t="s">
        <v>80</v>
      </c>
      <c r="C78" s="490" t="s">
        <v>119</v>
      </c>
      <c r="D78" s="490"/>
      <c r="E78" s="42">
        <v>19.02</v>
      </c>
      <c r="F78" s="209">
        <v>5295</v>
      </c>
      <c r="G78" s="199">
        <f t="shared" si="50"/>
        <v>100710.9</v>
      </c>
      <c r="H78" s="125" t="s">
        <v>79</v>
      </c>
      <c r="I78" s="207">
        <v>15</v>
      </c>
      <c r="J78" s="37">
        <v>2400</v>
      </c>
      <c r="K78" s="17">
        <f t="shared" si="42"/>
        <v>160</v>
      </c>
      <c r="L78" s="207">
        <v>15</v>
      </c>
      <c r="M78" s="18">
        <f t="shared" si="51"/>
        <v>2285.611510791367</v>
      </c>
      <c r="N78" s="17">
        <f t="shared" si="43"/>
        <v>152.37410071942446</v>
      </c>
      <c r="O78" s="19">
        <f t="shared" si="44"/>
        <v>0</v>
      </c>
      <c r="P78" s="20">
        <f t="shared" si="45"/>
        <v>-7.6258992805755383</v>
      </c>
      <c r="Q78" s="198">
        <f t="shared" si="46"/>
        <v>0.95233812949640284</v>
      </c>
      <c r="R78" s="489"/>
      <c r="S78" s="40">
        <v>0.53333333333333333</v>
      </c>
      <c r="T78" s="40">
        <v>0.62986111111111109</v>
      </c>
      <c r="U78" s="199">
        <f t="shared" si="53"/>
        <v>59.999999999999943</v>
      </c>
      <c r="V78" s="208">
        <f t="shared" si="52"/>
        <v>139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8"/>
        <v>-114.38848920863302</v>
      </c>
      <c r="AF78" s="198">
        <f t="shared" si="49"/>
        <v>0.95233812949640295</v>
      </c>
      <c r="AG78" s="489"/>
    </row>
    <row r="79" spans="1:33" ht="16.5" customHeight="1">
      <c r="A79" s="498" t="s">
        <v>75</v>
      </c>
      <c r="B79" s="42" t="s">
        <v>71</v>
      </c>
      <c r="C79" s="492"/>
      <c r="D79" s="493"/>
      <c r="E79" s="201"/>
      <c r="F79" s="44"/>
      <c r="G79" s="17"/>
      <c r="H79" s="209"/>
      <c r="I79" s="30">
        <v>16.166666666666668</v>
      </c>
      <c r="J79" s="37">
        <v>2400</v>
      </c>
      <c r="K79" s="17">
        <f t="shared" si="42"/>
        <v>148.45360824742266</v>
      </c>
      <c r="L79" s="30">
        <v>16.166666666666668</v>
      </c>
      <c r="M79" s="18">
        <f>AVERAGE(M73:M78)</f>
        <v>2290.8229586891925</v>
      </c>
      <c r="N79" s="17">
        <f t="shared" si="43"/>
        <v>141.70038919726963</v>
      </c>
      <c r="O79" s="19">
        <f t="shared" si="44"/>
        <v>0</v>
      </c>
      <c r="P79" s="20">
        <f t="shared" si="45"/>
        <v>-6.7532190501530351</v>
      </c>
      <c r="Q79" s="198">
        <f t="shared" si="46"/>
        <v>0.95450956612049687</v>
      </c>
      <c r="R79" s="489"/>
      <c r="S79" s="40"/>
      <c r="T79" s="40"/>
      <c r="U79" s="17"/>
      <c r="V79" s="208"/>
      <c r="W79" s="17"/>
      <c r="X79" s="17"/>
      <c r="Y79" s="31">
        <f>SUM(Y73:Y78)</f>
        <v>0</v>
      </c>
      <c r="Z79" s="31">
        <f>SUM(Z73:Z78)</f>
        <v>0</v>
      </c>
      <c r="AA79" s="495"/>
      <c r="AB79" s="495"/>
      <c r="AC79" s="31">
        <v>8</v>
      </c>
      <c r="AD79" s="31">
        <f>SUM(AD73:AD78)</f>
        <v>0</v>
      </c>
      <c r="AE79" s="19">
        <f t="shared" si="48"/>
        <v>-109.17704131080745</v>
      </c>
      <c r="AF79" s="198">
        <f t="shared" si="49"/>
        <v>0.95450956612049687</v>
      </c>
      <c r="AG79" s="489"/>
    </row>
    <row r="80" spans="1:33">
      <c r="D80" s="33"/>
      <c r="E80" s="33"/>
    </row>
  </sheetData>
  <mergeCells count="20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2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19:AB19"/>
    <mergeCell ref="A13:A22"/>
    <mergeCell ref="C13:D13"/>
    <mergeCell ref="R13:R22"/>
    <mergeCell ref="AA13:AB13"/>
    <mergeCell ref="AA20:AB20"/>
    <mergeCell ref="C21:D21"/>
    <mergeCell ref="AA21:AB21"/>
    <mergeCell ref="C22:D22"/>
    <mergeCell ref="AA22:AB22"/>
    <mergeCell ref="A23:A34"/>
    <mergeCell ref="C23:D23"/>
    <mergeCell ref="R23:R34"/>
    <mergeCell ref="AA23:AB23"/>
    <mergeCell ref="AA28:AB28"/>
    <mergeCell ref="C29:D29"/>
    <mergeCell ref="AA29:AB29"/>
    <mergeCell ref="C30:D30"/>
    <mergeCell ref="AA30:AB30"/>
    <mergeCell ref="C31:D31"/>
    <mergeCell ref="AA31:AB31"/>
    <mergeCell ref="A35:A41"/>
    <mergeCell ref="C35:D35"/>
    <mergeCell ref="R35:R41"/>
    <mergeCell ref="AA35:AB35"/>
    <mergeCell ref="A42:A48"/>
    <mergeCell ref="C42:D42"/>
    <mergeCell ref="R42:R48"/>
    <mergeCell ref="AA42:AB42"/>
    <mergeCell ref="AG23:AG34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C32:D32"/>
    <mergeCell ref="AA32:AB32"/>
    <mergeCell ref="C33:D33"/>
    <mergeCell ref="AA33:AB33"/>
    <mergeCell ref="C34:D34"/>
    <mergeCell ref="AA34:AB34"/>
    <mergeCell ref="AG42:AG48"/>
    <mergeCell ref="C43:D43"/>
    <mergeCell ref="AA43:AB43"/>
    <mergeCell ref="C44:D44"/>
    <mergeCell ref="AA44:AB44"/>
    <mergeCell ref="C45:D45"/>
    <mergeCell ref="AG35:AG41"/>
    <mergeCell ref="C36:D36"/>
    <mergeCell ref="AA36:AB36"/>
    <mergeCell ref="C37:D37"/>
    <mergeCell ref="AA37:AB37"/>
    <mergeCell ref="C38:D38"/>
    <mergeCell ref="C40:D40"/>
    <mergeCell ref="AA40:AB40"/>
    <mergeCell ref="C41:D41"/>
    <mergeCell ref="AA41:AB41"/>
    <mergeCell ref="AA38:AB38"/>
    <mergeCell ref="C39:D39"/>
    <mergeCell ref="AA39:AB39"/>
    <mergeCell ref="AG49:AG59"/>
    <mergeCell ref="C50:D50"/>
    <mergeCell ref="AA50:AB50"/>
    <mergeCell ref="C51:D51"/>
    <mergeCell ref="AA51:AB51"/>
    <mergeCell ref="C52:D52"/>
    <mergeCell ref="AA45:AB45"/>
    <mergeCell ref="C46:D46"/>
    <mergeCell ref="AA46:AB46"/>
    <mergeCell ref="C47:D47"/>
    <mergeCell ref="AA47:AB47"/>
    <mergeCell ref="C48:D48"/>
    <mergeCell ref="AA48:AB48"/>
    <mergeCell ref="C56:D56"/>
    <mergeCell ref="AA56:AB56"/>
    <mergeCell ref="C57:D57"/>
    <mergeCell ref="AA57:AB57"/>
    <mergeCell ref="C58:D58"/>
    <mergeCell ref="AA58:AB58"/>
    <mergeCell ref="AA52:AB52"/>
    <mergeCell ref="C53:D53"/>
    <mergeCell ref="AA53:AB53"/>
    <mergeCell ref="C54:D54"/>
    <mergeCell ref="AA54:AB54"/>
    <mergeCell ref="C55:D55"/>
    <mergeCell ref="AA55:AB55"/>
    <mergeCell ref="R49:R59"/>
    <mergeCell ref="AA49:AB49"/>
    <mergeCell ref="C59:D59"/>
    <mergeCell ref="AA59:AB59"/>
    <mergeCell ref="A60:A67"/>
    <mergeCell ref="C60:D60"/>
    <mergeCell ref="R60:R67"/>
    <mergeCell ref="AA60:AB60"/>
    <mergeCell ref="AA66:AB66"/>
    <mergeCell ref="C67:D67"/>
    <mergeCell ref="AA67:AB67"/>
    <mergeCell ref="A49:A59"/>
    <mergeCell ref="C49:D49"/>
    <mergeCell ref="AG68:AG72"/>
    <mergeCell ref="C69:D69"/>
    <mergeCell ref="AA69:AB69"/>
    <mergeCell ref="C70:D70"/>
    <mergeCell ref="AA70:AB70"/>
    <mergeCell ref="C71:D71"/>
    <mergeCell ref="AG60:AG67"/>
    <mergeCell ref="C61:D61"/>
    <mergeCell ref="AA61:AB61"/>
    <mergeCell ref="C62:D62"/>
    <mergeCell ref="AA62:AB62"/>
    <mergeCell ref="AA63:AB63"/>
    <mergeCell ref="AA64:AB64"/>
    <mergeCell ref="C65:D65"/>
    <mergeCell ref="AA65:AB65"/>
    <mergeCell ref="C66:D66"/>
    <mergeCell ref="AA71:AB71"/>
    <mergeCell ref="C72:D72"/>
    <mergeCell ref="AA72:AB72"/>
    <mergeCell ref="A73:A79"/>
    <mergeCell ref="C73:D73"/>
    <mergeCell ref="R73:R79"/>
    <mergeCell ref="AA73:AB73"/>
    <mergeCell ref="AA78:AB78"/>
    <mergeCell ref="C79:D79"/>
    <mergeCell ref="AA79:AB79"/>
    <mergeCell ref="A68:A72"/>
    <mergeCell ref="C68:D68"/>
    <mergeCell ref="R68:R72"/>
    <mergeCell ref="AA68:AB68"/>
    <mergeCell ref="AG73:AG7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</mergeCells>
  <phoneticPr fontId="3" type="noConversion"/>
  <conditionalFormatting sqref="O67:O68 O71:O79 O5:O10 O12:O14 O59:O65 O22:O54">
    <cfRule type="cellIs" dxfId="1055" priority="82" operator="greaterThan">
      <formula>0</formula>
    </cfRule>
  </conditionalFormatting>
  <conditionalFormatting sqref="P5:P8 P71 AE71 P73:P78 P35:P40 P68 P10 P12:P14 P23:P33 P60:P65 P42:P54 AE5:AE68 AE73:AE79">
    <cfRule type="cellIs" dxfId="1054" priority="86" operator="lessThan">
      <formula>0</formula>
    </cfRule>
  </conditionalFormatting>
  <conditionalFormatting sqref="AF71 Q67:Q68 Q71:Q79 Q5:Q10 Q12:Q14 Q59:Q65 Q22:Q54 AF5:AF68 AF73:AF79">
    <cfRule type="cellIs" dxfId="1053" priority="83" operator="greaterThan">
      <formula>1</formula>
    </cfRule>
    <cfRule type="cellIs" dxfId="1052" priority="84" operator="lessThan">
      <formula>0.8</formula>
    </cfRule>
  </conditionalFormatting>
  <conditionalFormatting sqref="AG13:AG14 R13:R14 AG71 R22:R28 AG22:AG28 AG67:AG68 R67:R68 R71:R79 AG5:AG10 R5:R10 R34:R54 AG34:AG54 AG59:AG65 R59:R65">
    <cfRule type="cellIs" dxfId="1051" priority="88" operator="lessThan">
      <formula>0.8</formula>
    </cfRule>
  </conditionalFormatting>
  <conditionalFormatting sqref="AG49">
    <cfRule type="cellIs" dxfId="1050" priority="90" operator="lessThan">
      <formula>0.8</formula>
    </cfRule>
  </conditionalFormatting>
  <conditionalFormatting sqref="AG23:AG28">
    <cfRule type="cellIs" dxfId="1049" priority="87" operator="lessThan">
      <formula>0.8</formula>
    </cfRule>
  </conditionalFormatting>
  <conditionalFormatting sqref="AG35">
    <cfRule type="cellIs" dxfId="1048" priority="89" operator="lessThan">
      <formula>0.8</formula>
    </cfRule>
  </conditionalFormatting>
  <conditionalFormatting sqref="AG42:AG47">
    <cfRule type="cellIs" dxfId="1047" priority="85" operator="lessThan">
      <formula>0.8</formula>
    </cfRule>
  </conditionalFormatting>
  <conditionalFormatting sqref="AE72">
    <cfRule type="cellIs" dxfId="1046" priority="81" operator="lessThan">
      <formula>0</formula>
    </cfRule>
  </conditionalFormatting>
  <conditionalFormatting sqref="AF72">
    <cfRule type="cellIs" dxfId="1045" priority="79" operator="greaterThan">
      <formula>1</formula>
    </cfRule>
    <cfRule type="cellIs" dxfId="1044" priority="80" operator="lessThan">
      <formula>0.8</formula>
    </cfRule>
  </conditionalFormatting>
  <conditionalFormatting sqref="O15:O16">
    <cfRule type="cellIs" dxfId="1043" priority="74" operator="greaterThan">
      <formula>0</formula>
    </cfRule>
  </conditionalFormatting>
  <conditionalFormatting sqref="P15:P16">
    <cfRule type="cellIs" dxfId="1042" priority="77" operator="lessThan">
      <formula>0</formula>
    </cfRule>
  </conditionalFormatting>
  <conditionalFormatting sqref="Q15:Q16">
    <cfRule type="cellIs" dxfId="1041" priority="75" operator="greaterThan">
      <formula>1</formula>
    </cfRule>
    <cfRule type="cellIs" dxfId="1040" priority="76" operator="lessThan">
      <formula>0.8</formula>
    </cfRule>
  </conditionalFormatting>
  <conditionalFormatting sqref="R15:R16 AG15:AG16">
    <cfRule type="cellIs" dxfId="1039" priority="78" operator="lessThan">
      <formula>0.8</formula>
    </cfRule>
  </conditionalFormatting>
  <conditionalFormatting sqref="O11">
    <cfRule type="cellIs" dxfId="1038" priority="70" operator="greaterThan">
      <formula>0</formula>
    </cfRule>
  </conditionalFormatting>
  <conditionalFormatting sqref="P11">
    <cfRule type="cellIs" dxfId="1037" priority="73" operator="lessThan">
      <formula>0</formula>
    </cfRule>
  </conditionalFormatting>
  <conditionalFormatting sqref="Q11">
    <cfRule type="cellIs" dxfId="1036" priority="71" operator="greaterThan">
      <formula>1</formula>
    </cfRule>
    <cfRule type="cellIs" dxfId="1035" priority="72" operator="lessThan">
      <formula>0.8</formula>
    </cfRule>
  </conditionalFormatting>
  <conditionalFormatting sqref="O66">
    <cfRule type="cellIs" dxfId="1034" priority="65" operator="greaterThan">
      <formula>0</formula>
    </cfRule>
  </conditionalFormatting>
  <conditionalFormatting sqref="P66">
    <cfRule type="cellIs" dxfId="1033" priority="68" operator="lessThan">
      <formula>0</formula>
    </cfRule>
  </conditionalFormatting>
  <conditionalFormatting sqref="Q66">
    <cfRule type="cellIs" dxfId="1032" priority="66" operator="greaterThan">
      <formula>1</formula>
    </cfRule>
    <cfRule type="cellIs" dxfId="1031" priority="67" operator="lessThan">
      <formula>0.8</formula>
    </cfRule>
  </conditionalFormatting>
  <conditionalFormatting sqref="R66 AG66">
    <cfRule type="cellIs" dxfId="1030" priority="69" operator="lessThan">
      <formula>0.8</formula>
    </cfRule>
  </conditionalFormatting>
  <conditionalFormatting sqref="AG30 R30">
    <cfRule type="cellIs" dxfId="1029" priority="64" operator="lessThan">
      <formula>0.8</formula>
    </cfRule>
  </conditionalFormatting>
  <conditionalFormatting sqref="O70">
    <cfRule type="cellIs" dxfId="1028" priority="59" operator="greaterThan">
      <formula>0</formula>
    </cfRule>
  </conditionalFormatting>
  <conditionalFormatting sqref="P70 AE70">
    <cfRule type="cellIs" dxfId="1027" priority="62" operator="lessThan">
      <formula>0</formula>
    </cfRule>
  </conditionalFormatting>
  <conditionalFormatting sqref="Q70 AF70">
    <cfRule type="cellIs" dxfId="1026" priority="60" operator="greaterThan">
      <formula>1</formula>
    </cfRule>
    <cfRule type="cellIs" dxfId="1025" priority="61" operator="lessThan">
      <formula>0.8</formula>
    </cfRule>
  </conditionalFormatting>
  <conditionalFormatting sqref="R70 AG70">
    <cfRule type="cellIs" dxfId="1024" priority="63" operator="lessThan">
      <formula>0.8</formula>
    </cfRule>
  </conditionalFormatting>
  <conditionalFormatting sqref="O17:O18">
    <cfRule type="cellIs" dxfId="1023" priority="54" operator="greaterThan">
      <formula>0</formula>
    </cfRule>
  </conditionalFormatting>
  <conditionalFormatting sqref="P17:P18">
    <cfRule type="cellIs" dxfId="1022" priority="57" operator="lessThan">
      <formula>0</formula>
    </cfRule>
  </conditionalFormatting>
  <conditionalFormatting sqref="Q17:Q18">
    <cfRule type="cellIs" dxfId="1021" priority="55" operator="greaterThan">
      <formula>1</formula>
    </cfRule>
    <cfRule type="cellIs" dxfId="1020" priority="56" operator="lessThan">
      <formula>0.8</formula>
    </cfRule>
  </conditionalFormatting>
  <conditionalFormatting sqref="R17:R18 AG17:AG18">
    <cfRule type="cellIs" dxfId="1019" priority="58" operator="lessThan">
      <formula>0.8</formula>
    </cfRule>
  </conditionalFormatting>
  <conditionalFormatting sqref="O55">
    <cfRule type="cellIs" dxfId="1018" priority="48" operator="greaterThan">
      <formula>0</formula>
    </cfRule>
  </conditionalFormatting>
  <conditionalFormatting sqref="P55">
    <cfRule type="cellIs" dxfId="1017" priority="52" operator="lessThan">
      <formula>0</formula>
    </cfRule>
  </conditionalFormatting>
  <conditionalFormatting sqref="Q55">
    <cfRule type="cellIs" dxfId="1016" priority="49" operator="greaterThan">
      <formula>1</formula>
    </cfRule>
    <cfRule type="cellIs" dxfId="1015" priority="50" operator="lessThan">
      <formula>0.8</formula>
    </cfRule>
  </conditionalFormatting>
  <conditionalFormatting sqref="R55 AG55">
    <cfRule type="cellIs" dxfId="1014" priority="53" operator="lessThan">
      <formula>0.8</formula>
    </cfRule>
  </conditionalFormatting>
  <conditionalFormatting sqref="AG55">
    <cfRule type="cellIs" dxfId="1013" priority="51" operator="lessThan">
      <formula>0.8</formula>
    </cfRule>
  </conditionalFormatting>
  <conditionalFormatting sqref="O56">
    <cfRule type="cellIs" dxfId="1012" priority="42" operator="greaterThan">
      <formula>0</formula>
    </cfRule>
  </conditionalFormatting>
  <conditionalFormatting sqref="P56">
    <cfRule type="cellIs" dxfId="1011" priority="46" operator="lessThan">
      <formula>0</formula>
    </cfRule>
  </conditionalFormatting>
  <conditionalFormatting sqref="Q56">
    <cfRule type="cellIs" dxfId="1010" priority="43" operator="greaterThan">
      <formula>1</formula>
    </cfRule>
    <cfRule type="cellIs" dxfId="1009" priority="44" operator="lessThan">
      <formula>0.8</formula>
    </cfRule>
  </conditionalFormatting>
  <conditionalFormatting sqref="R56 AG56">
    <cfRule type="cellIs" dxfId="1008" priority="47" operator="lessThan">
      <formula>0.8</formula>
    </cfRule>
  </conditionalFormatting>
  <conditionalFormatting sqref="AG56">
    <cfRule type="cellIs" dxfId="1007" priority="45" operator="lessThan">
      <formula>0.8</formula>
    </cfRule>
  </conditionalFormatting>
  <conditionalFormatting sqref="AG31 R31">
    <cfRule type="cellIs" dxfId="1006" priority="41" operator="lessThan">
      <formula>0.8</formula>
    </cfRule>
  </conditionalFormatting>
  <conditionalFormatting sqref="AG33 R33">
    <cfRule type="cellIs" dxfId="1005" priority="40" operator="lessThan">
      <formula>0.8</formula>
    </cfRule>
  </conditionalFormatting>
  <conditionalFormatting sqref="R29 AG29">
    <cfRule type="cellIs" dxfId="1004" priority="39" operator="lessThan">
      <formula>0.8</formula>
    </cfRule>
  </conditionalFormatting>
  <conditionalFormatting sqref="AG29">
    <cfRule type="cellIs" dxfId="1003" priority="38" operator="lessThan">
      <formula>0.8</formula>
    </cfRule>
  </conditionalFormatting>
  <conditionalFormatting sqref="O57">
    <cfRule type="cellIs" dxfId="1002" priority="32" operator="greaterThan">
      <formula>0</formula>
    </cfRule>
  </conditionalFormatting>
  <conditionalFormatting sqref="P57">
    <cfRule type="cellIs" dxfId="1001" priority="36" operator="lessThan">
      <formula>0</formula>
    </cfRule>
  </conditionalFormatting>
  <conditionalFormatting sqref="Q57">
    <cfRule type="cellIs" dxfId="1000" priority="33" operator="greaterThan">
      <formula>1</formula>
    </cfRule>
    <cfRule type="cellIs" dxfId="999" priority="34" operator="lessThan">
      <formula>0.8</formula>
    </cfRule>
  </conditionalFormatting>
  <conditionalFormatting sqref="R57 AG57">
    <cfRule type="cellIs" dxfId="998" priority="37" operator="lessThan">
      <formula>0.8</formula>
    </cfRule>
  </conditionalFormatting>
  <conditionalFormatting sqref="AG57">
    <cfRule type="cellIs" dxfId="997" priority="35" operator="lessThan">
      <formula>0.8</formula>
    </cfRule>
  </conditionalFormatting>
  <conditionalFormatting sqref="O58">
    <cfRule type="cellIs" dxfId="996" priority="26" operator="greaterThan">
      <formula>0</formula>
    </cfRule>
  </conditionalFormatting>
  <conditionalFormatting sqref="P58">
    <cfRule type="cellIs" dxfId="995" priority="30" operator="lessThan">
      <formula>0</formula>
    </cfRule>
  </conditionalFormatting>
  <conditionalFormatting sqref="Q58">
    <cfRule type="cellIs" dxfId="994" priority="27" operator="greaterThan">
      <formula>1</formula>
    </cfRule>
    <cfRule type="cellIs" dxfId="993" priority="28" operator="lessThan">
      <formula>0.8</formula>
    </cfRule>
  </conditionalFormatting>
  <conditionalFormatting sqref="R58 AG58">
    <cfRule type="cellIs" dxfId="992" priority="31" operator="lessThan">
      <formula>0.8</formula>
    </cfRule>
  </conditionalFormatting>
  <conditionalFormatting sqref="AG58">
    <cfRule type="cellIs" dxfId="991" priority="29" operator="lessThan">
      <formula>0.8</formula>
    </cfRule>
  </conditionalFormatting>
  <conditionalFormatting sqref="O69">
    <cfRule type="cellIs" dxfId="990" priority="21" operator="greaterThan">
      <formula>0</formula>
    </cfRule>
  </conditionalFormatting>
  <conditionalFormatting sqref="P69 AE69">
    <cfRule type="cellIs" dxfId="989" priority="24" operator="lessThan">
      <formula>0</formula>
    </cfRule>
  </conditionalFormatting>
  <conditionalFormatting sqref="Q69 AF69">
    <cfRule type="cellIs" dxfId="988" priority="22" operator="greaterThan">
      <formula>1</formula>
    </cfRule>
    <cfRule type="cellIs" dxfId="987" priority="23" operator="lessThan">
      <formula>0.8</formula>
    </cfRule>
  </conditionalFormatting>
  <conditionalFormatting sqref="R69 AG69">
    <cfRule type="cellIs" dxfId="986" priority="25" operator="lessThan">
      <formula>0.8</formula>
    </cfRule>
  </conditionalFormatting>
  <conditionalFormatting sqref="O19">
    <cfRule type="cellIs" dxfId="985" priority="16" operator="greaterThan">
      <formula>0</formula>
    </cfRule>
  </conditionalFormatting>
  <conditionalFormatting sqref="P19">
    <cfRule type="cellIs" dxfId="984" priority="19" operator="lessThan">
      <formula>0</formula>
    </cfRule>
  </conditionalFormatting>
  <conditionalFormatting sqref="Q19">
    <cfRule type="cellIs" dxfId="983" priority="17" operator="greaterThan">
      <formula>1</formula>
    </cfRule>
    <cfRule type="cellIs" dxfId="982" priority="18" operator="lessThan">
      <formula>0.8</formula>
    </cfRule>
  </conditionalFormatting>
  <conditionalFormatting sqref="AG19 R19">
    <cfRule type="cellIs" dxfId="981" priority="20" operator="lessThan">
      <formula>0.8</formula>
    </cfRule>
  </conditionalFormatting>
  <conditionalFormatting sqref="O20:O21">
    <cfRule type="cellIs" dxfId="980" priority="11" operator="greaterThan">
      <formula>0</formula>
    </cfRule>
  </conditionalFormatting>
  <conditionalFormatting sqref="P20:P21">
    <cfRule type="cellIs" dxfId="979" priority="14" operator="lessThan">
      <formula>0</formula>
    </cfRule>
  </conditionalFormatting>
  <conditionalFormatting sqref="Q20:Q21">
    <cfRule type="cellIs" dxfId="978" priority="12" operator="greaterThan">
      <formula>1</formula>
    </cfRule>
    <cfRule type="cellIs" dxfId="977" priority="13" operator="lessThan">
      <formula>0.8</formula>
    </cfRule>
  </conditionalFormatting>
  <conditionalFormatting sqref="AG20 R20">
    <cfRule type="cellIs" dxfId="976" priority="15" operator="lessThan">
      <formula>0.8</formula>
    </cfRule>
  </conditionalFormatting>
  <conditionalFormatting sqref="P9">
    <cfRule type="cellIs" dxfId="975" priority="10" operator="lessThan">
      <formula>0</formula>
    </cfRule>
  </conditionalFormatting>
  <conditionalFormatting sqref="P22">
    <cfRule type="cellIs" dxfId="974" priority="9" operator="lessThan">
      <formula>0</formula>
    </cfRule>
  </conditionalFormatting>
  <conditionalFormatting sqref="P34">
    <cfRule type="cellIs" dxfId="973" priority="8" operator="lessThan">
      <formula>0</formula>
    </cfRule>
  </conditionalFormatting>
  <conditionalFormatting sqref="P41">
    <cfRule type="cellIs" dxfId="972" priority="7" operator="lessThan">
      <formula>0</formula>
    </cfRule>
  </conditionalFormatting>
  <conditionalFormatting sqref="P59">
    <cfRule type="cellIs" dxfId="971" priority="6" operator="lessThan">
      <formula>0</formula>
    </cfRule>
  </conditionalFormatting>
  <conditionalFormatting sqref="P67">
    <cfRule type="cellIs" dxfId="970" priority="5" operator="lessThan">
      <formula>0</formula>
    </cfRule>
  </conditionalFormatting>
  <conditionalFormatting sqref="P72">
    <cfRule type="cellIs" dxfId="969" priority="4" operator="lessThan">
      <formula>0</formula>
    </cfRule>
  </conditionalFormatting>
  <conditionalFormatting sqref="P79">
    <cfRule type="cellIs" dxfId="968" priority="3" operator="lessThan">
      <formula>0</formula>
    </cfRule>
  </conditionalFormatting>
  <conditionalFormatting sqref="AG21 R21">
    <cfRule type="cellIs" dxfId="967" priority="2" operator="lessThan">
      <formula>0.8</formula>
    </cfRule>
  </conditionalFormatting>
  <conditionalFormatting sqref="AG32 R32">
    <cfRule type="cellIs" dxfId="966" priority="1" operator="lessThan">
      <formula>0.8</formula>
    </cfRule>
  </conditionalFormatting>
  <dataValidations count="1">
    <dataValidation type="list" allowBlank="1" showInputMessage="1" showErrorMessage="1" sqref="AB9 AA5:AB8 AA9:AA71 AB11:AB68 AA72:AB79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T10" sqref="T10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968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969</v>
      </c>
      <c r="C3" s="478" t="str">
        <f>TEXT('0111 4度C'!A2,"yyyy.mm.ddaaaa")</f>
        <v>2026.01.11星期日</v>
      </c>
      <c r="D3" s="479"/>
      <c r="E3" s="56" t="s">
        <v>970</v>
      </c>
      <c r="F3" s="480">
        <f>'0111 4度C'!D1</f>
        <v>188760</v>
      </c>
      <c r="G3" s="481"/>
      <c r="H3" s="56" t="s">
        <v>971</v>
      </c>
      <c r="I3" s="482">
        <f>'0111 4度C'!F1</f>
        <v>6507144.4799999995</v>
      </c>
      <c r="J3" s="483"/>
      <c r="K3" s="57"/>
      <c r="L3" s="58"/>
      <c r="M3" s="59"/>
      <c r="N3" s="59"/>
    </row>
    <row r="4" spans="2:17" ht="28.5" customHeight="1">
      <c r="B4" s="484" t="s">
        <v>972</v>
      </c>
      <c r="C4" s="470" t="s">
        <v>525</v>
      </c>
      <c r="D4" s="471"/>
      <c r="E4" s="487" t="s">
        <v>973</v>
      </c>
      <c r="F4" s="488"/>
      <c r="G4" s="487" t="s">
        <v>974</v>
      </c>
      <c r="H4" s="488"/>
      <c r="I4" s="487" t="s">
        <v>975</v>
      </c>
      <c r="J4" s="488"/>
      <c r="K4" s="468" t="s">
        <v>976</v>
      </c>
      <c r="L4" s="469"/>
      <c r="M4" s="469" t="s">
        <v>977</v>
      </c>
      <c r="N4" s="469"/>
    </row>
    <row r="5" spans="2:17" ht="28.5" customHeight="1">
      <c r="B5" s="485"/>
      <c r="C5" s="470" t="s">
        <v>978</v>
      </c>
      <c r="D5" s="471"/>
      <c r="E5" s="470" t="s">
        <v>979</v>
      </c>
      <c r="F5" s="471"/>
      <c r="G5" s="472" t="s">
        <v>980</v>
      </c>
      <c r="H5" s="473"/>
      <c r="I5" s="474" t="s">
        <v>981</v>
      </c>
      <c r="J5" s="475"/>
      <c r="K5" s="60" t="s">
        <v>982</v>
      </c>
      <c r="L5" s="61" t="s">
        <v>983</v>
      </c>
      <c r="M5" s="60" t="s">
        <v>984</v>
      </c>
      <c r="N5" s="61" t="s">
        <v>985</v>
      </c>
    </row>
    <row r="6" spans="2:17" ht="28.5" customHeight="1">
      <c r="B6" s="485"/>
      <c r="C6" s="470" t="s">
        <v>144</v>
      </c>
      <c r="D6" s="471"/>
      <c r="E6" s="462">
        <f>AVERAGE(D13:M13)</f>
        <v>145.41719665966579</v>
      </c>
      <c r="F6" s="463">
        <f>AVERAGE(D31:O31,D13:J13)</f>
        <v>148.3347061524062</v>
      </c>
      <c r="G6" s="464">
        <f>AVERAGE(D13:J13)</f>
        <v>148.3347061524062</v>
      </c>
      <c r="H6" s="465"/>
      <c r="I6" s="464">
        <f>AVERAGE(K13:M13)</f>
        <v>138.60967450993823</v>
      </c>
      <c r="J6" s="465"/>
      <c r="K6" s="466">
        <f>'0111 4度C'!Y2</f>
        <v>0</v>
      </c>
      <c r="L6" s="451">
        <f>'0111 4度C'!Z2</f>
        <v>0</v>
      </c>
      <c r="M6" s="467">
        <f>'0111 4度C'!AC2</f>
        <v>47</v>
      </c>
      <c r="N6" s="451">
        <f>'0111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139.17742685074987</v>
      </c>
      <c r="F7" s="455">
        <f>AVERAGE(D32:O32,D14:J14)</f>
        <v>141.8779964485372</v>
      </c>
      <c r="G7" s="456">
        <f>AVERAGE(D14:J14)</f>
        <v>141.8779964485372</v>
      </c>
      <c r="H7" s="457"/>
      <c r="I7" s="456">
        <f>AVERAGE(K14:M14)</f>
        <v>132.87609778924605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0.95593143474634701</v>
      </c>
      <c r="F8" s="459">
        <f>AVERAGE(D15:J15,D33:O33)</f>
        <v>0.95476924526853202</v>
      </c>
      <c r="G8" s="460">
        <f>AVERAGE(D15:J15)</f>
        <v>0.95476924526853202</v>
      </c>
      <c r="H8" s="461"/>
      <c r="I8" s="460">
        <f>AVERAGE(K15:M15)</f>
        <v>0.95864321019458221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986</v>
      </c>
      <c r="N9" s="59"/>
      <c r="O9" s="59"/>
      <c r="P9" s="59"/>
      <c r="Q9" s="59"/>
    </row>
    <row r="10" spans="2:17" ht="30" customHeight="1">
      <c r="B10" s="434" t="s">
        <v>987</v>
      </c>
      <c r="C10" s="435"/>
      <c r="D10" s="436" t="s">
        <v>988</v>
      </c>
      <c r="E10" s="437"/>
      <c r="F10" s="437"/>
      <c r="G10" s="437"/>
      <c r="H10" s="437"/>
      <c r="I10" s="437"/>
      <c r="J10" s="438"/>
      <c r="K10" s="439" t="s">
        <v>989</v>
      </c>
      <c r="L10" s="440"/>
      <c r="M10" s="441"/>
      <c r="P10" s="65"/>
      <c r="Q10" s="65"/>
    </row>
    <row r="11" spans="2:17" ht="17.25" customHeight="1">
      <c r="B11" s="442" t="s">
        <v>990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991</v>
      </c>
      <c r="C13" s="72" t="s">
        <v>992</v>
      </c>
      <c r="D13" s="73">
        <f>SUMIFS('0111 4度C'!$K:$K,'0111 4度C'!$A:$A,"新豐6線",'0111 4度C'!$B:$B,"平均")</f>
        <v>109.58904109589041</v>
      </c>
      <c r="E13" s="74">
        <f>SUMIFS('0111 4度C'!$K:$K,'0111 4度C'!$A:$A,"新豐2線",'0111 4度C'!$B:$B,"平均")</f>
        <v>83.333333333333329</v>
      </c>
      <c r="F13" s="75">
        <f>SUMIFS('0111 4度C'!$K:$K,'0111 4度C'!$A:$A,"新豐5線",'0111 4度C'!$B:$B,"平均")</f>
        <v>109.99999999999999</v>
      </c>
      <c r="G13" s="75">
        <f>SUMIFS('0111 4度C'!$K:$K,'0111 4度C'!$A:$A,"新豐7線",'0111 4度C'!$B:$B,"平均")</f>
        <v>114.75409836065573</v>
      </c>
      <c r="H13" s="75">
        <f>SUMIFS('0111 4度C'!$K:$K,'0111 4度C'!$A:$A,"新豐3線",'0111 4度C'!$B:$B,"平均")</f>
        <v>267.24137931034483</v>
      </c>
      <c r="I13" s="75">
        <f>SUMIFS('0111 4度C'!$K:$K,'0111 4度C'!$A:$A,"新豐1線",'0111 4度C'!$B:$B,"平均")</f>
        <v>108.52713178294574</v>
      </c>
      <c r="J13" s="76">
        <f>SUMIFS('0111 4度C'!$K:$K,'0111 4度C'!$A:$A,"新豐10線",'0111 4度C'!$B:$B,"平均")</f>
        <v>244.89795918367346</v>
      </c>
      <c r="K13" s="77">
        <f>SUMIFS('0111 4度C'!$K:$K,'0111 4度C'!$A:$A,"新豐8線",'0111 4度C'!$B:$B,"平均")</f>
        <v>130.23255813953489</v>
      </c>
      <c r="L13" s="78">
        <f>SUMIFS('0111 4度C'!$K:$K,'0111 4度C'!$A:$A,"新豐9線",'0111 4度C'!$B:$B,"平均")</f>
        <v>137.14285714285714</v>
      </c>
      <c r="M13" s="76">
        <f>SUMIFS('0111 4度C'!$K:$K,'0111 4度C'!$A:$A,"新豐4線",'0111 4度C'!$B:$B,"平均")</f>
        <v>148.45360824742266</v>
      </c>
    </row>
    <row r="14" spans="2:17" ht="39.6" customHeight="1">
      <c r="B14" s="447"/>
      <c r="C14" s="79" t="s">
        <v>993</v>
      </c>
      <c r="D14" s="80">
        <f>SUMIFS('0111 4度C'!$N:$N,'0111 4度C'!$A:$A,"新豐6線",'0111 4度C'!$B:$B,"平均")</f>
        <v>105.69340860515665</v>
      </c>
      <c r="E14" s="81">
        <f>SUMIFS('0111 4度C'!$N:$N,'0111 4度C'!$A:$A,"新豐2線",'0111 4度C'!$B:$B,"平均")</f>
        <v>79.635079927287734</v>
      </c>
      <c r="F14" s="81">
        <f>SUMIFS('0111 4度C'!$N:$N,'0111 4度C'!$A:$A,"新豐5線",'0111 4度C'!$B:$B,"平均")</f>
        <v>105.95793978450048</v>
      </c>
      <c r="G14" s="81">
        <f>SUMIFS('0111 4度C'!$N:$N,'0111 4度C'!$A:$A,"新豐7線",'0111 4度C'!$B:$B,"平均")</f>
        <v>110.38896655863869</v>
      </c>
      <c r="H14" s="81">
        <f>SUMIFS('0111 4度C'!$N:$N,'0111 4度C'!$A:$A,"新豐3線",'0111 4度C'!$B:$B,"平均")</f>
        <v>256.5188800557728</v>
      </c>
      <c r="I14" s="81">
        <f>SUMIFS('0111 4度C'!$N:$N,'0111 4度C'!$A:$A,"新豐1線",'0111 4度C'!$B:$B,"平均")</f>
        <v>99.494174162780311</v>
      </c>
      <c r="J14" s="82">
        <f>SUMIFS('0111 4度C'!$N:$N,'0111 4度C'!$A:$A,"新豐10線",'0111 4度C'!$B:$B,"平均")</f>
        <v>235.45752604562367</v>
      </c>
      <c r="K14" s="83">
        <f>SUMIFS('0111 4度C'!$N:$N,'0111 4度C'!$A:$A,"新豐8線",'0111 4度C'!$B:$B,"平均")</f>
        <v>124.61370967492915</v>
      </c>
      <c r="L14" s="84">
        <f>SUMIFS('0111 4度C'!$N:$N,'0111 4度C'!$A:$A,"新豐9線",'0111 4度C'!$B:$B,"平均")</f>
        <v>131.90702048266374</v>
      </c>
      <c r="M14" s="82">
        <f>SUMIFS('0111 4度C'!$N:$N,'0111 4度C'!$A:$A,"新豐4線",'0111 4度C'!$B:$B,"平均")</f>
        <v>142.10756321014526</v>
      </c>
    </row>
    <row r="15" spans="2:17" ht="40.15" customHeight="1">
      <c r="B15" s="448"/>
      <c r="C15" s="85" t="s">
        <v>994</v>
      </c>
      <c r="D15" s="86">
        <f t="shared" ref="D15:M15" si="0">D14/D13</f>
        <v>0.96445235352205438</v>
      </c>
      <c r="E15" s="87">
        <f t="shared" si="0"/>
        <v>0.95562095912745282</v>
      </c>
      <c r="F15" s="87">
        <f t="shared" si="0"/>
        <v>0.96325399804091361</v>
      </c>
      <c r="G15" s="87">
        <f t="shared" si="0"/>
        <v>0.96196099429670856</v>
      </c>
      <c r="H15" s="87">
        <f t="shared" si="0"/>
        <v>0.95987709956353695</v>
      </c>
      <c r="I15" s="87">
        <f t="shared" si="0"/>
        <v>0.91676774764276137</v>
      </c>
      <c r="J15" s="88">
        <f t="shared" si="0"/>
        <v>0.96145156468629667</v>
      </c>
      <c r="K15" s="86">
        <f t="shared" si="0"/>
        <v>0.95685527071820597</v>
      </c>
      <c r="L15" s="87">
        <f t="shared" si="0"/>
        <v>0.96182202435275643</v>
      </c>
      <c r="M15" s="88">
        <f t="shared" si="0"/>
        <v>0.9572523355127841</v>
      </c>
    </row>
    <row r="16" spans="2:17" ht="17.25" customHeight="1">
      <c r="B16" s="449" t="s">
        <v>446</v>
      </c>
      <c r="C16" s="89" t="s">
        <v>995</v>
      </c>
      <c r="D16" s="90">
        <f>VLOOKUP("新豐6線",'0111 4度C'!$A:$T,19,0)</f>
        <v>0.70833333333333337</v>
      </c>
      <c r="E16" s="91">
        <f>VLOOKUP("新豐2線",'0111 4度C'!$A:$T,19,0)</f>
        <v>0.16666666666666666</v>
      </c>
      <c r="F16" s="91">
        <f>VLOOKUP("新豐5線",'0111 4度C'!$A:$T,19,0)</f>
        <v>0.20833333333333334</v>
      </c>
      <c r="G16" s="91">
        <f>VLOOKUP("新豐7線",'0111 4度C'!$A:$T,19,0)</f>
        <v>0.20833333333333334</v>
      </c>
      <c r="H16" s="91">
        <f>VLOOKUP("新豐3線",'0111 4度C'!$A:$T,19,0)</f>
        <v>8.3333333333333329E-2</v>
      </c>
      <c r="I16" s="91">
        <f>VLOOKUP("新豐1線",'0111 4度C'!$A:$T,19,0)</f>
        <v>0.20833333333333334</v>
      </c>
      <c r="J16" s="92">
        <f>VLOOKUP("新豐10線",'0111 4度C'!$A:$T,19,0)</f>
        <v>0.20833333333333334</v>
      </c>
      <c r="K16" s="93">
        <f>VLOOKUP("新豐8線",'0111 4度C'!$A:$T,19,0)</f>
        <v>8.3333333333333329E-2</v>
      </c>
      <c r="L16" s="94">
        <f>VLOOKUP("新豐9線",'0111 4度C'!$A:$T,19,0)</f>
        <v>8.3333333333333329E-2</v>
      </c>
      <c r="M16" s="95">
        <f>VLOOKUP("新豐4線",'0111 4度C'!$A:$T,19,0)</f>
        <v>8.3333333333333329E-2</v>
      </c>
    </row>
    <row r="17" spans="2:13" ht="17.25" customHeight="1">
      <c r="B17" s="450"/>
      <c r="C17" s="89" t="s">
        <v>996</v>
      </c>
      <c r="D17" s="93">
        <f>LOOKUP(2,1/(('0111 4度C'!$A:$A="新豐6線")*('0111 4度C'!$T:$T&lt;&gt;"")),'0111 4度C'!$T:$T)</f>
        <v>0.86805555555555547</v>
      </c>
      <c r="E17" s="91">
        <f>LOOKUP(2,1/(('0111 4度C'!$A:$A="新豐2線")*('0111 4度C'!$T:$T&lt;&gt;"")),'0111 4度C'!$T:$T)</f>
        <v>0.45555555555555549</v>
      </c>
      <c r="F17" s="91">
        <f>LOOKUP(2,1/(('0111 4度C'!$A:$A="新豐5線")*('0111 4度C'!$T:$T&lt;&gt;"")),'0111 4度C'!$T:$T)</f>
        <v>0.9770833333333333</v>
      </c>
      <c r="G17" s="91">
        <f>LOOKUP(2,1/(('0111 4度C'!$A:$A="新豐7線")*('0111 4度C'!$T:$T&lt;&gt;"")),'0111 4度C'!$T:$T)</f>
        <v>0.98541666666666661</v>
      </c>
      <c r="H17" s="91">
        <f>LOOKUP(2,1/(('0111 4度C'!$A:$A="新豐3線")*('0111 4度C'!$T:$T&lt;&gt;"")),'0111 4度C'!$T:$T)</f>
        <v>0.65763888888888877</v>
      </c>
      <c r="I17" s="91">
        <f>LOOKUP(2,1/(('0111 4度C'!$A:$A="新豐1線")*('0111 4度C'!$T:$T&lt;&gt;"")),'0111 4度C'!$T:$T)</f>
        <v>0.85069444444444442</v>
      </c>
      <c r="J17" s="92">
        <f>LOOKUP(2,1/(('0111 4度C'!$A:$A="新豐10線")*('0111 4度C'!$T:$T&lt;&gt;"")),'0111 4度C'!$T:$T)</f>
        <v>0.58819444444444435</v>
      </c>
      <c r="K17" s="90">
        <f>LOOKUP(2,1/(('0111 4度C'!$A:$A="新豐8線")*('0111 4度C'!$T:$T&lt;&gt;"")),'0111 4度C'!$T:$T)</f>
        <v>0.68541666666666656</v>
      </c>
      <c r="L17" s="91">
        <f>LOOKUP(2,1/(('0111 4度C'!$A:$A="新豐9線")*('0111 4度C'!$T:$T&lt;&gt;"")),'0111 4度C'!$T:$T)</f>
        <v>0.57916666666666661</v>
      </c>
      <c r="M17" s="92">
        <f>LOOKUP(2,1/(('0111 4度C'!$A:$A="新豐4線")*('0111 4度C'!$T:$T&lt;&gt;"")),'0111 4度C'!$T:$T)</f>
        <v>0.66249999999999998</v>
      </c>
    </row>
    <row r="18" spans="2:13" ht="17.25" customHeight="1">
      <c r="B18" s="428" t="s">
        <v>997</v>
      </c>
      <c r="C18" s="96" t="s">
        <v>998</v>
      </c>
      <c r="D18" s="97">
        <f>SUMIFS('0111 4度C'!$Y:$Y,'0111 4度C'!$A:$A,"新豐6線",'0111 4度C'!$B:$B,"平均")</f>
        <v>0</v>
      </c>
      <c r="E18" s="98">
        <f>SUMIFS('0111 4度C'!$Y:$Y,'0111 4度C'!$A:$A,"新豐2線",'0111 4度C'!$B:$B,"平均")</f>
        <v>0</v>
      </c>
      <c r="F18" s="98">
        <f>SUMIFS('0111 4度C'!$Y:$Y,'0111 4度C'!$A:$A,"新豐5線",'0111 4度C'!$B:$B,"平均")</f>
        <v>0</v>
      </c>
      <c r="G18" s="98">
        <f>SUMIFS('0111 4度C'!$Y:$Y,'0111 4度C'!$A:$A,"新豐7線",'0111 4度C'!$B:$B,"平均")</f>
        <v>0</v>
      </c>
      <c r="H18" s="98">
        <f>SUMIFS('0111 4度C'!$Y:$Y,'0111 4度C'!$A:$A,"新豐3線",'0111 4度C'!$B:$B,"平均")</f>
        <v>0</v>
      </c>
      <c r="I18" s="98">
        <f>SUMIFS('0111 4度C'!$Y:$Y,'0111 4度C'!$A:$A,"新豐1線",'0111 4度C'!$B:$B,"平均")</f>
        <v>0</v>
      </c>
      <c r="J18" s="99">
        <f>SUMIFS('0111 4度C'!$Y:$Y,'0111 4度C'!$A:$A,"新豐10線",'0111 4度C'!$B:$B,"平均")</f>
        <v>0</v>
      </c>
      <c r="K18" s="100">
        <f>SUMIFS('0111 4度C'!$Y:$Y,'0111 4度C'!$A:$A,"新豐8線",'0111 4度C'!$B:$B,"平均")</f>
        <v>0</v>
      </c>
      <c r="L18" s="98">
        <f>SUMIFS('0111 4度C'!$Y:$Y,'0111 4度C'!$A:$A,"新豐9線",'0111 4度C'!$B:$B,"平均")</f>
        <v>0</v>
      </c>
      <c r="M18" s="99">
        <f>SUMIFS('0111 4度C'!$Y:$Y,'0111 4度C'!$A:$A,"新豐4線",'0111 4度C'!$B:$B,"平均")</f>
        <v>0</v>
      </c>
    </row>
    <row r="19" spans="2:13" ht="17.25" customHeight="1">
      <c r="B19" s="429"/>
      <c r="C19" s="96" t="s">
        <v>999</v>
      </c>
      <c r="D19" s="97">
        <f>SUMIFS('0111 4度C'!$Z:$Z,'0111 4度C'!$A:$A,"新豐6線",'0111 4度C'!$B:$B,"平均")</f>
        <v>0</v>
      </c>
      <c r="E19" s="98">
        <f>SUMIFS('0111 4度C'!$Z:$Z,'0111 4度C'!$A:$A,"新豐2線",'0111 4度C'!$B:$B,"平均")</f>
        <v>0</v>
      </c>
      <c r="F19" s="98">
        <f>SUMIFS('0111 4度C'!$Z:$Z,'0111 4度C'!$A:$A,"新豐5線",'0111 4度C'!$B:$B,"平均")</f>
        <v>0</v>
      </c>
      <c r="G19" s="98">
        <f>SUMIFS('0111 4度C'!$Z:$Z,'0111 4度C'!$A:$A,"新豐7線",'0111 4度C'!$B:$B,"平均")</f>
        <v>0</v>
      </c>
      <c r="H19" s="98">
        <f>SUMIFS('0111 4度C'!$Z:$Z,'0111 4度C'!$A:$A,"新豐3線",'0111 4度C'!$B:$B,"平均")</f>
        <v>0</v>
      </c>
      <c r="I19" s="98">
        <f>SUMIFS('0111 4度C'!$Z:$Z,'0111 4度C'!$A:$A,"新豐1線",'0111 4度C'!$B:$B,"平均")</f>
        <v>0</v>
      </c>
      <c r="J19" s="99">
        <f>SUMIFS('0111 4度C'!$Z:$Z,'0111 4度C'!$A:$A,"新豐10線",'0111 4度C'!$B:$B,"平均")</f>
        <v>0</v>
      </c>
      <c r="K19" s="100">
        <f>SUMIFS('0111 4度C'!$Z:$Z,'0111 4度C'!$A:$A,"新豐8線",'0111 4度C'!$B:$B,"平均")</f>
        <v>0</v>
      </c>
      <c r="L19" s="98">
        <f>SUMIFS('0111 4度C'!$Z:$Z,'0111 4度C'!$A:$A,"新豐9線",'0111 4度C'!$B:$B,"平均")</f>
        <v>0</v>
      </c>
      <c r="M19" s="99">
        <f>SUMIFS('0111 4度C'!$Z:$Z,'0111 4度C'!$A:$A,"新豐4線",'0111 4度C'!$B:$B,"平均")</f>
        <v>0</v>
      </c>
    </row>
    <row r="20" spans="2:13" ht="17.25" customHeight="1">
      <c r="B20" s="428" t="s">
        <v>1000</v>
      </c>
      <c r="C20" s="96" t="s">
        <v>998</v>
      </c>
      <c r="D20" s="97">
        <f>SUMIFS('0111 4度C'!$AC:$AC,'0111 4度C'!$A:$A,"新豐6線",'0111 4度C'!$B:$B,"平均")</f>
        <v>2</v>
      </c>
      <c r="E20" s="98">
        <f>SUMIFS('0111 4度C'!$AC:$AC,'0111 4度C'!$A:$A,"新豐2線",'0111 4度C'!$B:$B,"平均")</f>
        <v>3</v>
      </c>
      <c r="F20" s="98">
        <f>SUMIFS('0111 4度C'!$AC:$AC,'0111 4度C'!$A:$A,"新豐5線",'0111 4度C'!$B:$B,"平均")</f>
        <v>4</v>
      </c>
      <c r="G20" s="98">
        <f>SUMIFS('0111 4度C'!$AC:$AC,'0111 4度C'!$A:$A,"新豐7線",'0111 4度C'!$B:$B,"平均")</f>
        <v>5</v>
      </c>
      <c r="H20" s="98">
        <f>SUMIFS('0111 4度C'!$AC:$AC,'0111 4度C'!$A:$A,"新豐3線",'0111 4度C'!$B:$B,"平均")</f>
        <v>1</v>
      </c>
      <c r="I20" s="98">
        <f>SUMIFS('0111 4度C'!$AC:$AC,'0111 4度C'!$A:$A,"新豐1線",'0111 4度C'!$B:$B,"平均")</f>
        <v>5</v>
      </c>
      <c r="J20" s="99">
        <f>SUMIFS('0111 4度C'!$AC:$AC,'0111 4度C'!$A:$A,"新豐10線",'0111 4度C'!$B:$B,"平均")</f>
        <v>2</v>
      </c>
      <c r="K20" s="100">
        <f>SUMIFS('0111 4度C'!$AC:$AC,'0111 4度C'!$A:$A,"新豐8線",'0111 4度C'!$B:$B,"平均")</f>
        <v>9</v>
      </c>
      <c r="L20" s="98">
        <f>SUMIFS('0111 4度C'!$AC:$AC,'0111 4度C'!$A:$A,"新豐9線",'0111 4度C'!$B:$B,"平均")</f>
        <v>7</v>
      </c>
      <c r="M20" s="99">
        <f>SUMIFS('0111 4度C'!$AC:$AC,'0111 4度C'!$A:$A,"新豐4線",'0111 4度C'!$B:$B,"平均")</f>
        <v>9</v>
      </c>
    </row>
    <row r="21" spans="2:13" ht="17.25" customHeight="1">
      <c r="B21" s="429"/>
      <c r="C21" s="96" t="s">
        <v>1001</v>
      </c>
      <c r="D21" s="97">
        <f>SUMIFS('0111 4度C'!$AD:$AD,'0111 4度C'!$A:$A,"新豐6線",'0111 4度C'!$B:$B,"平均")</f>
        <v>0</v>
      </c>
      <c r="E21" s="98">
        <f>SUMIFS('0111 4度C'!$AD:$AD,'0111 4度C'!$A:$A,"新豐2線",'0111 4度C'!$B:$B,"平均")</f>
        <v>0</v>
      </c>
      <c r="F21" s="98">
        <f>SUMIFS('0111 4度C'!$AD:$AD,'0111 4度C'!$A:$A,"新豐5線",'0111 4度C'!$B:$B,"平均")</f>
        <v>0</v>
      </c>
      <c r="G21" s="98">
        <f>SUMIFS('0111 4度C'!$AD:$AD,'0111 4度C'!$A:$A,"新豐7線",'0111 4度C'!$B:$B,"平均")</f>
        <v>0</v>
      </c>
      <c r="H21" s="98">
        <f>SUMIFS('0111 4度C'!$AD:$AD,'0111 4度C'!$A:$A,"新豐3線",'0111 4度C'!$B:$B,"平均")</f>
        <v>0</v>
      </c>
      <c r="I21" s="98">
        <f>SUMIFS('0111 4度C'!$AD:$AD,'0111 4度C'!$A:$A,"新豐1線",'0111 4度C'!$B:$B,"平均")</f>
        <v>0</v>
      </c>
      <c r="J21" s="99">
        <f>SUMIFS('0111 4度C'!$AD:$AD,'0111 4度C'!$A:$A,"新豐10線",'0111 4度C'!$B:$B,"平均")</f>
        <v>0</v>
      </c>
      <c r="K21" s="100">
        <f>SUMIFS('0111 4度C'!$AD:$AD,'0111 4度C'!$A:$A,"新豐8線",'0111 4度C'!$B:$B,"平均")</f>
        <v>0</v>
      </c>
      <c r="L21" s="98">
        <f>SUMIFS('0111 4度C'!$AD:$AD,'0111 4度C'!$A:$A,"新豐9線",'0111 4度C'!$B:$B,"平均")</f>
        <v>0</v>
      </c>
      <c r="M21" s="99">
        <f>SUMIFS('0111 4度C'!$AD:$AD,'0111 4度C'!$A:$A,"新豐4線",'0111 4度C'!$B:$B,"平均")</f>
        <v>0</v>
      </c>
    </row>
    <row r="22" spans="2:13" ht="17.25" customHeight="1">
      <c r="B22" s="430" t="s">
        <v>1002</v>
      </c>
      <c r="C22" s="431"/>
      <c r="D22" s="101">
        <f>SUMIFS('0111 4度C'!$I:$I,'0111 4度C'!$A:$A,"新豐6線",'0111 4度C'!$B:$B,"平均")</f>
        <v>18.25</v>
      </c>
      <c r="E22" s="102">
        <f>SUMIFS('0111 4度C'!$I:$I,'0111 4度C'!$A:$A,"新豐2線",'0111 4度C'!$B:$B,"平均")</f>
        <v>18</v>
      </c>
      <c r="F22" s="102">
        <f>SUMIFS('0111 4度C'!$I:$I,'0111 4度C'!$A:$A,"新豐5線",'0111 4度C'!$B:$B,"平均")</f>
        <v>16.666666666666668</v>
      </c>
      <c r="G22" s="102">
        <f>SUMIFS('0111 4度C'!$I:$I,'0111 4度C'!$A:$A,"新豐7線",'0111 4度C'!$B:$B,"平均")</f>
        <v>16.636363636363637</v>
      </c>
      <c r="H22" s="102">
        <f>SUMIFS('0111 4度C'!$I:$I,'0111 4度C'!$A:$A,"新豐3線",'0111 4度C'!$B:$B,"平均")</f>
        <v>10.545454545454545</v>
      </c>
      <c r="I22" s="102">
        <f>SUMIFS('0111 4度C'!$I:$I,'0111 4度C'!$A:$A,"新豐1線",'0111 4度C'!$B:$B,"平均")</f>
        <v>18.428571428571427</v>
      </c>
      <c r="J22" s="103">
        <f>SUMIFS('0111 4度C'!$I:$I,'0111 4度C'!$A:$A,"新豐10線",'0111 4度C'!$B:$B,"平均")</f>
        <v>9.8000000000000007</v>
      </c>
      <c r="K22" s="101">
        <f>SUMIFS('0111 4度C'!$I:$I,'0111 4度C'!$A:$A,"新豐8線",'0111 4度C'!$B:$B,"平均")</f>
        <v>18.428571428571427</v>
      </c>
      <c r="L22" s="102">
        <f>SUMIFS('0111 4度C'!$I:$I,'0111 4度C'!$A:$A,"新豐9線",'0111 4度C'!$B:$B,"平均")</f>
        <v>17.5</v>
      </c>
      <c r="M22" s="103">
        <f>SUMIFS('0111 4度C'!$I:$I,'0111 4度C'!$A:$A,"新豐4線",'0111 4度C'!$B:$B,"平均")</f>
        <v>16.166666666666668</v>
      </c>
    </row>
    <row r="23" spans="2:13" ht="17.25" customHeight="1">
      <c r="B23" s="430" t="s">
        <v>1003</v>
      </c>
      <c r="C23" s="431"/>
      <c r="D23" s="104" t="s">
        <v>157</v>
      </c>
      <c r="E23" s="105" t="s">
        <v>158</v>
      </c>
      <c r="F23" s="105" t="s">
        <v>1004</v>
      </c>
      <c r="G23" s="105" t="s">
        <v>1004</v>
      </c>
      <c r="H23" s="105" t="s">
        <v>159</v>
      </c>
      <c r="I23" s="105" t="s">
        <v>157</v>
      </c>
      <c r="J23" s="106" t="s">
        <v>159</v>
      </c>
      <c r="K23" s="104" t="s">
        <v>1005</v>
      </c>
      <c r="L23" s="105" t="s">
        <v>1005</v>
      </c>
      <c r="M23" s="106" t="s">
        <v>1005</v>
      </c>
    </row>
    <row r="24" spans="2:13" ht="17.25" customHeight="1">
      <c r="B24" s="430" t="s">
        <v>1006</v>
      </c>
      <c r="C24" s="431"/>
      <c r="D24" s="104"/>
      <c r="E24" s="105"/>
      <c r="F24" s="105" t="s">
        <v>1007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1008</v>
      </c>
      <c r="C25" s="433"/>
      <c r="D25" s="107"/>
      <c r="E25" s="108" t="s">
        <v>1009</v>
      </c>
      <c r="F25" s="426" t="s">
        <v>1010</v>
      </c>
      <c r="G25" s="427"/>
      <c r="H25" s="108" t="s">
        <v>1011</v>
      </c>
      <c r="I25" s="108" t="s">
        <v>1012</v>
      </c>
      <c r="J25" s="109" t="s">
        <v>1011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5"/>
  <sheetViews>
    <sheetView zoomScale="80" zoomScaleNormal="80" workbookViewId="0">
      <pane ySplit="4" topLeftCell="A68" activePane="bottomLeft" state="frozen"/>
      <selection activeCell="T10" sqref="T10"/>
      <selection pane="bottomLeft" sqref="A1:N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1013</v>
      </c>
      <c r="B1" s="1"/>
      <c r="C1" s="2" t="s">
        <v>1014</v>
      </c>
      <c r="D1" s="3">
        <f>SUM(F5:F84)</f>
        <v>188760</v>
      </c>
      <c r="E1" s="186" t="s">
        <v>1015</v>
      </c>
      <c r="F1" s="1">
        <f>SUM(G5:G84)</f>
        <v>6507144.4799999995</v>
      </c>
      <c r="G1" s="1" t="s">
        <v>1016</v>
      </c>
      <c r="H1" s="5">
        <f>L9+L12+L63+L71+L22+L77+L42+L51+L34+L84</f>
        <v>160.42229437229437</v>
      </c>
      <c r="I1" s="542" t="s">
        <v>1017</v>
      </c>
      <c r="J1" s="542"/>
      <c r="K1" s="542"/>
      <c r="L1" s="542" t="s">
        <v>1018</v>
      </c>
      <c r="M1" s="542"/>
      <c r="N1" s="542"/>
      <c r="O1" s="542" t="s">
        <v>1019</v>
      </c>
      <c r="P1" s="542"/>
      <c r="Q1" s="542"/>
      <c r="R1" s="542"/>
      <c r="S1" s="542" t="s">
        <v>1020</v>
      </c>
      <c r="T1" s="542"/>
      <c r="U1" s="542"/>
      <c r="V1" s="542"/>
      <c r="W1" s="542"/>
      <c r="X1" s="542"/>
      <c r="Y1" s="6" t="s">
        <v>1021</v>
      </c>
      <c r="Z1" s="7" t="s">
        <v>1022</v>
      </c>
      <c r="AA1" s="543" t="s">
        <v>1023</v>
      </c>
      <c r="AB1" s="543"/>
      <c r="AC1" s="8" t="s">
        <v>1021</v>
      </c>
      <c r="AD1" s="7" t="s">
        <v>1024</v>
      </c>
      <c r="AE1" s="542" t="s">
        <v>1025</v>
      </c>
      <c r="AF1" s="544"/>
      <c r="AG1" s="544"/>
    </row>
    <row r="2" spans="1:33" ht="26.25" customHeight="1">
      <c r="A2" s="49">
        <v>46033</v>
      </c>
      <c r="B2" s="50" t="s">
        <v>473</v>
      </c>
      <c r="C2" s="2" t="s">
        <v>1026</v>
      </c>
      <c r="D2" s="10">
        <f>AVERAGE(N9,N12,N63,N71,N22,N77,N34,N42,N51,N84)</f>
        <v>139.17742685074987</v>
      </c>
      <c r="E2" s="11" t="s">
        <v>14</v>
      </c>
      <c r="F2" s="12">
        <f>F1/D1</f>
        <v>34.47311125238398</v>
      </c>
      <c r="G2" s="1" t="s">
        <v>1027</v>
      </c>
      <c r="H2" s="197">
        <f>COUNT(H5:H84)</f>
        <v>11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SUM(Y9+Y12+Y22+Y34+Y42+Y51+Y63+Y71+Y77+Y84)</f>
        <v>0</v>
      </c>
      <c r="Z2" s="14">
        <f>SUM(Z9+Z12+Z22+Z34+Z42+Z51+Z63+Z71+Z77+Z84)</f>
        <v>0</v>
      </c>
      <c r="AA2" s="543"/>
      <c r="AB2" s="543"/>
      <c r="AC2" s="14">
        <f>SUM(AC9+AC12+AC22+AC34+AC42+AC51+AC63+AC71+AC77+AC84)</f>
        <v>47</v>
      </c>
      <c r="AD2" s="14">
        <f>SUM(AD9+AD12+AD22+AD34+AD42+AD51+AD63+AD71+AD77+AD84)</f>
        <v>0</v>
      </c>
      <c r="AE2" s="544"/>
      <c r="AF2" s="544"/>
      <c r="AG2" s="544"/>
    </row>
    <row r="3" spans="1:33" ht="40.5" customHeight="1">
      <c r="A3" s="491" t="s">
        <v>1028</v>
      </c>
      <c r="B3" s="491" t="s">
        <v>1029</v>
      </c>
      <c r="C3" s="491" t="s">
        <v>1030</v>
      </c>
      <c r="D3" s="491"/>
      <c r="E3" s="540" t="s">
        <v>1031</v>
      </c>
      <c r="F3" s="491" t="s">
        <v>1032</v>
      </c>
      <c r="G3" s="540" t="s">
        <v>1033</v>
      </c>
      <c r="H3" s="533" t="s">
        <v>1034</v>
      </c>
      <c r="I3" s="531" t="s">
        <v>1035</v>
      </c>
      <c r="J3" s="528" t="s">
        <v>1036</v>
      </c>
      <c r="K3" s="538" t="s">
        <v>1026</v>
      </c>
      <c r="L3" s="531" t="s">
        <v>1035</v>
      </c>
      <c r="M3" s="528" t="s">
        <v>1036</v>
      </c>
      <c r="N3" s="538" t="s">
        <v>1026</v>
      </c>
      <c r="O3" s="531" t="s">
        <v>1035</v>
      </c>
      <c r="P3" s="538" t="s">
        <v>1026</v>
      </c>
      <c r="Q3" s="529" t="s">
        <v>1037</v>
      </c>
      <c r="R3" s="507" t="s">
        <v>1038</v>
      </c>
      <c r="S3" s="539" t="s">
        <v>27</v>
      </c>
      <c r="T3" s="539"/>
      <c r="U3" s="533" t="s">
        <v>28</v>
      </c>
      <c r="V3" s="533" t="s">
        <v>1039</v>
      </c>
      <c r="W3" s="491" t="s">
        <v>1040</v>
      </c>
      <c r="X3" s="491"/>
      <c r="Y3" s="534" t="s">
        <v>1041</v>
      </c>
      <c r="Z3" s="495"/>
      <c r="AA3" s="535" t="s">
        <v>1042</v>
      </c>
      <c r="AB3" s="536"/>
      <c r="AC3" s="534" t="s">
        <v>1043</v>
      </c>
      <c r="AD3" s="495"/>
      <c r="AE3" s="528" t="s">
        <v>1036</v>
      </c>
      <c r="AF3" s="529" t="s">
        <v>1044</v>
      </c>
      <c r="AG3" s="507" t="s">
        <v>1038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96" t="s">
        <v>37</v>
      </c>
      <c r="T4" s="196" t="s">
        <v>38</v>
      </c>
      <c r="U4" s="533"/>
      <c r="V4" s="533"/>
      <c r="W4" s="186" t="s">
        <v>1045</v>
      </c>
      <c r="X4" s="186" t="s">
        <v>1046</v>
      </c>
      <c r="Y4" s="189" t="s">
        <v>1047</v>
      </c>
      <c r="Z4" s="189" t="s">
        <v>1048</v>
      </c>
      <c r="AA4" s="537"/>
      <c r="AB4" s="536"/>
      <c r="AC4" s="189" t="s">
        <v>1049</v>
      </c>
      <c r="AD4" s="189" t="s">
        <v>1050</v>
      </c>
      <c r="AE4" s="528"/>
      <c r="AF4" s="529"/>
      <c r="AG4" s="507"/>
    </row>
    <row r="5" spans="1:33">
      <c r="A5" s="530" t="s">
        <v>1051</v>
      </c>
      <c r="B5" s="42" t="s">
        <v>103</v>
      </c>
      <c r="C5" s="532" t="s">
        <v>120</v>
      </c>
      <c r="D5" s="532"/>
      <c r="E5" s="42">
        <v>50.67</v>
      </c>
      <c r="F5" s="196">
        <v>1575</v>
      </c>
      <c r="G5" s="186">
        <f t="shared" ref="G5:G8" si="0">E5*F5</f>
        <v>79805.25</v>
      </c>
      <c r="H5" s="125" t="s">
        <v>79</v>
      </c>
      <c r="I5" s="194">
        <v>17</v>
      </c>
      <c r="J5" s="37">
        <v>2000</v>
      </c>
      <c r="K5" s="17">
        <f t="shared" ref="K5:K68" si="1">J5/I5</f>
        <v>117.64705882352941</v>
      </c>
      <c r="L5" s="194">
        <v>17</v>
      </c>
      <c r="M5" s="18">
        <f t="shared" ref="M5:M8" si="2">F5/V5*60</f>
        <v>1928.5714285714291</v>
      </c>
      <c r="N5" s="17">
        <f t="shared" ref="N5:N68" si="3">M5/L5</f>
        <v>113.44537815126054</v>
      </c>
      <c r="O5" s="19">
        <f t="shared" ref="O5:O68" si="4">L5-I5</f>
        <v>0</v>
      </c>
      <c r="P5" s="20">
        <f t="shared" ref="P5:P68" si="5">N5-K5</f>
        <v>-4.2016806722688642</v>
      </c>
      <c r="Q5" s="185">
        <f t="shared" ref="Q5:Q68" si="6">N5/K5</f>
        <v>0.96428571428571463</v>
      </c>
      <c r="R5" s="489">
        <f>Q9</f>
        <v>0.96445235352205438</v>
      </c>
      <c r="S5" s="40">
        <v>0.70833333333333337</v>
      </c>
      <c r="T5" s="40">
        <v>0.74236111111111114</v>
      </c>
      <c r="U5" s="186"/>
      <c r="V5" s="195">
        <f t="shared" ref="V5:V8" si="7">(T5-S5)*24*60</f>
        <v>48.999999999999986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-71.428571428570876</v>
      </c>
      <c r="AF5" s="185">
        <f t="shared" ref="AF5:AF68" si="9">M5/J5</f>
        <v>0.96428571428571452</v>
      </c>
      <c r="AG5" s="489">
        <f>AF9</f>
        <v>0.96445235352205438</v>
      </c>
    </row>
    <row r="6" spans="1:33">
      <c r="A6" s="531" t="s">
        <v>1051</v>
      </c>
      <c r="B6" s="42" t="s">
        <v>103</v>
      </c>
      <c r="C6" s="532" t="s">
        <v>121</v>
      </c>
      <c r="D6" s="532"/>
      <c r="E6" s="42">
        <v>54.09</v>
      </c>
      <c r="F6" s="196">
        <v>1581</v>
      </c>
      <c r="G6" s="186">
        <f t="shared" si="0"/>
        <v>85516.290000000008</v>
      </c>
      <c r="H6" s="125" t="s">
        <v>79</v>
      </c>
      <c r="I6" s="194">
        <v>19</v>
      </c>
      <c r="J6" s="37">
        <v>2000</v>
      </c>
      <c r="K6" s="17">
        <f t="shared" si="1"/>
        <v>105.26315789473684</v>
      </c>
      <c r="L6" s="194">
        <v>19</v>
      </c>
      <c r="M6" s="18">
        <f t="shared" si="2"/>
        <v>1935.9183673469395</v>
      </c>
      <c r="N6" s="17">
        <f t="shared" si="3"/>
        <v>101.89044038668102</v>
      </c>
      <c r="O6" s="19">
        <f t="shared" si="4"/>
        <v>0</v>
      </c>
      <c r="P6" s="20">
        <f t="shared" si="5"/>
        <v>-3.3727175080558141</v>
      </c>
      <c r="Q6" s="185">
        <f t="shared" si="6"/>
        <v>0.96795918367346978</v>
      </c>
      <c r="R6" s="489"/>
      <c r="S6" s="40">
        <v>0.74791666666666667</v>
      </c>
      <c r="T6" s="40">
        <v>0.78194444444444444</v>
      </c>
      <c r="U6" s="186">
        <f t="shared" ref="U6:U8" si="10">IF(S6=TIME(17,0,0),"",(S6-T5)*24*60)</f>
        <v>7.9999999999999716</v>
      </c>
      <c r="V6" s="195">
        <f t="shared" si="7"/>
        <v>48.999999999999986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-64.081632653060524</v>
      </c>
      <c r="AF6" s="185">
        <f t="shared" si="9"/>
        <v>0.96795918367346978</v>
      </c>
      <c r="AG6" s="489"/>
    </row>
    <row r="7" spans="1:33">
      <c r="A7" s="531" t="s">
        <v>1052</v>
      </c>
      <c r="B7" s="42" t="s">
        <v>103</v>
      </c>
      <c r="C7" s="523" t="s">
        <v>515</v>
      </c>
      <c r="D7" s="524"/>
      <c r="E7" s="42">
        <v>50.67</v>
      </c>
      <c r="F7" s="196">
        <v>1980</v>
      </c>
      <c r="G7" s="186">
        <f t="shared" si="0"/>
        <v>100326.6</v>
      </c>
      <c r="H7" s="125" t="s">
        <v>79</v>
      </c>
      <c r="I7" s="194">
        <v>21</v>
      </c>
      <c r="J7" s="37">
        <v>2000</v>
      </c>
      <c r="K7" s="17">
        <f t="shared" si="1"/>
        <v>95.238095238095241</v>
      </c>
      <c r="L7" s="194">
        <v>21</v>
      </c>
      <c r="M7" s="18">
        <f t="shared" si="2"/>
        <v>1916.1290322580662</v>
      </c>
      <c r="N7" s="17">
        <f t="shared" si="3"/>
        <v>91.244239631336484</v>
      </c>
      <c r="O7" s="19">
        <f t="shared" si="4"/>
        <v>0</v>
      </c>
      <c r="P7" s="20">
        <f t="shared" si="5"/>
        <v>-3.9938556067587569</v>
      </c>
      <c r="Q7" s="185">
        <f t="shared" si="6"/>
        <v>0.95806451612903309</v>
      </c>
      <c r="R7" s="489"/>
      <c r="S7" s="40">
        <v>0.78680555555555554</v>
      </c>
      <c r="T7" s="40">
        <v>0.82986111111111105</v>
      </c>
      <c r="U7" s="186">
        <f t="shared" si="10"/>
        <v>6.9999999999999751</v>
      </c>
      <c r="V7" s="195">
        <f t="shared" si="7"/>
        <v>61.999999999999943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-83.870967741933782</v>
      </c>
      <c r="AF7" s="185">
        <f t="shared" si="9"/>
        <v>0.95806451612903309</v>
      </c>
      <c r="AG7" s="489"/>
    </row>
    <row r="8" spans="1:33">
      <c r="A8" s="531" t="s">
        <v>1051</v>
      </c>
      <c r="B8" s="42" t="s">
        <v>103</v>
      </c>
      <c r="C8" s="523" t="s">
        <v>122</v>
      </c>
      <c r="D8" s="524"/>
      <c r="E8" s="42">
        <v>50.29</v>
      </c>
      <c r="F8" s="196">
        <v>1548</v>
      </c>
      <c r="G8" s="186">
        <f t="shared" si="0"/>
        <v>77848.92</v>
      </c>
      <c r="H8" s="125" t="s">
        <v>79</v>
      </c>
      <c r="I8" s="194">
        <v>16</v>
      </c>
      <c r="J8" s="37">
        <v>2000</v>
      </c>
      <c r="K8" s="17">
        <f t="shared" si="1"/>
        <v>125</v>
      </c>
      <c r="L8" s="194">
        <v>16</v>
      </c>
      <c r="M8" s="18">
        <f t="shared" si="2"/>
        <v>1935.0000000000005</v>
      </c>
      <c r="N8" s="17">
        <f t="shared" si="3"/>
        <v>120.93750000000003</v>
      </c>
      <c r="O8" s="19">
        <f t="shared" si="4"/>
        <v>0</v>
      </c>
      <c r="P8" s="20">
        <f t="shared" si="5"/>
        <v>-4.0624999999999716</v>
      </c>
      <c r="Q8" s="185">
        <f t="shared" si="6"/>
        <v>0.96750000000000025</v>
      </c>
      <c r="R8" s="489"/>
      <c r="S8" s="40">
        <v>0.83472222222222214</v>
      </c>
      <c r="T8" s="40">
        <v>0.86805555555555547</v>
      </c>
      <c r="U8" s="186">
        <f t="shared" si="10"/>
        <v>6.9999999999999751</v>
      </c>
      <c r="V8" s="195">
        <f t="shared" si="7"/>
        <v>47.999999999999986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-64.999999999999545</v>
      </c>
      <c r="AF8" s="185">
        <f t="shared" si="9"/>
        <v>0.96750000000000025</v>
      </c>
      <c r="AG8" s="489"/>
    </row>
    <row r="9" spans="1:33">
      <c r="A9" s="531" t="s">
        <v>1051</v>
      </c>
      <c r="B9" s="42" t="s">
        <v>1053</v>
      </c>
      <c r="C9" s="494"/>
      <c r="D9" s="494"/>
      <c r="E9" s="188"/>
      <c r="F9" s="44"/>
      <c r="G9" s="17"/>
      <c r="H9" s="196"/>
      <c r="I9" s="30">
        <v>18.25</v>
      </c>
      <c r="J9" s="37">
        <v>2000</v>
      </c>
      <c r="K9" s="17">
        <f t="shared" si="1"/>
        <v>109.58904109589041</v>
      </c>
      <c r="L9" s="30">
        <v>18.25</v>
      </c>
      <c r="M9" s="18">
        <f>AVERAGE(M5:M8)</f>
        <v>1928.9047070441088</v>
      </c>
      <c r="N9" s="17">
        <f t="shared" si="3"/>
        <v>105.69340860515665</v>
      </c>
      <c r="O9" s="19">
        <f t="shared" si="4"/>
        <v>0</v>
      </c>
      <c r="P9" s="20">
        <f t="shared" si="5"/>
        <v>-3.8956324907337603</v>
      </c>
      <c r="Q9" s="185">
        <f t="shared" si="6"/>
        <v>0.96445235352205438</v>
      </c>
      <c r="R9" s="489"/>
      <c r="S9" s="40"/>
      <c r="T9" s="40"/>
      <c r="U9" s="186"/>
      <c r="V9" s="195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f>SUM(AC5:AC8)</f>
        <v>2</v>
      </c>
      <c r="AD9" s="31">
        <f>SUM(AD5:AD8)</f>
        <v>0</v>
      </c>
      <c r="AE9" s="19">
        <f t="shared" si="8"/>
        <v>-71.095292955891182</v>
      </c>
      <c r="AF9" s="185">
        <f t="shared" si="9"/>
        <v>0.96445235352205438</v>
      </c>
      <c r="AG9" s="489"/>
    </row>
    <row r="10" spans="1:33" ht="15.75" customHeight="1">
      <c r="A10" s="527" t="s">
        <v>1054</v>
      </c>
      <c r="B10" s="42" t="s">
        <v>100</v>
      </c>
      <c r="C10" s="523" t="s">
        <v>124</v>
      </c>
      <c r="D10" s="524"/>
      <c r="E10" s="42">
        <v>39.619999999999997</v>
      </c>
      <c r="F10" s="196">
        <v>3511</v>
      </c>
      <c r="G10" s="186">
        <f t="shared" ref="G10:G11" si="11">E10*F10</f>
        <v>139105.81999999998</v>
      </c>
      <c r="H10" s="125" t="s">
        <v>79</v>
      </c>
      <c r="I10" s="194">
        <v>19</v>
      </c>
      <c r="J10" s="37">
        <v>1500</v>
      </c>
      <c r="K10" s="17">
        <f t="shared" si="1"/>
        <v>78.94736842105263</v>
      </c>
      <c r="L10" s="194">
        <v>19</v>
      </c>
      <c r="M10" s="18">
        <f t="shared" ref="M10:M11" si="12">F10/V10*60</f>
        <v>1433.0612244897959</v>
      </c>
      <c r="N10" s="17">
        <f t="shared" si="3"/>
        <v>75.424274973147149</v>
      </c>
      <c r="O10" s="19">
        <f t="shared" si="4"/>
        <v>0</v>
      </c>
      <c r="P10" s="20">
        <f t="shared" si="5"/>
        <v>-3.523093447905481</v>
      </c>
      <c r="Q10" s="185">
        <f t="shared" si="6"/>
        <v>0.95537414965986389</v>
      </c>
      <c r="R10" s="489">
        <f>Q12</f>
        <v>0.95562095912745282</v>
      </c>
      <c r="S10" s="40">
        <v>0.16666666666666666</v>
      </c>
      <c r="T10" s="40">
        <v>0.26874999999999999</v>
      </c>
      <c r="U10" s="186"/>
      <c r="V10" s="195">
        <f t="shared" ref="V10:V11" si="13">(T10-S10)*24*60</f>
        <v>147</v>
      </c>
      <c r="W10" s="23">
        <f>T10</f>
        <v>0.26874999999999999</v>
      </c>
      <c r="X10" s="23">
        <f>S11</f>
        <v>0.28749999999999998</v>
      </c>
      <c r="Y10" s="23"/>
      <c r="Z10" s="23"/>
      <c r="AA10" s="491"/>
      <c r="AB10" s="491"/>
      <c r="AC10" s="154">
        <v>3</v>
      </c>
      <c r="AD10" s="25"/>
      <c r="AE10" s="19">
        <f t="shared" si="8"/>
        <v>-66.938775510204096</v>
      </c>
      <c r="AF10" s="185">
        <f t="shared" si="9"/>
        <v>0.95537414965986389</v>
      </c>
      <c r="AG10" s="489">
        <f>AF12</f>
        <v>0.95562095912745282</v>
      </c>
    </row>
    <row r="11" spans="1:33" ht="15.75" customHeight="1">
      <c r="A11" s="527" t="s">
        <v>1055</v>
      </c>
      <c r="B11" s="42" t="s">
        <v>100</v>
      </c>
      <c r="C11" s="523" t="s">
        <v>125</v>
      </c>
      <c r="D11" s="524"/>
      <c r="E11" s="42">
        <v>39.799999999999997</v>
      </c>
      <c r="F11" s="196">
        <v>5783</v>
      </c>
      <c r="G11" s="186">
        <f t="shared" si="11"/>
        <v>230163.4</v>
      </c>
      <c r="H11" s="125" t="s">
        <v>79</v>
      </c>
      <c r="I11" s="194">
        <v>17</v>
      </c>
      <c r="J11" s="37">
        <v>1500</v>
      </c>
      <c r="K11" s="17">
        <f t="shared" si="1"/>
        <v>88.235294117647058</v>
      </c>
      <c r="L11" s="194">
        <v>17</v>
      </c>
      <c r="M11" s="18">
        <f t="shared" si="12"/>
        <v>1433.8016528925623</v>
      </c>
      <c r="N11" s="17">
        <f t="shared" si="3"/>
        <v>84.341273699562493</v>
      </c>
      <c r="O11" s="19">
        <f t="shared" si="4"/>
        <v>0</v>
      </c>
      <c r="P11" s="20">
        <f t="shared" si="5"/>
        <v>-3.8940204180845654</v>
      </c>
      <c r="Q11" s="185">
        <f t="shared" si="6"/>
        <v>0.95586776859504163</v>
      </c>
      <c r="R11" s="489"/>
      <c r="S11" s="40">
        <v>0.28749999999999998</v>
      </c>
      <c r="T11" s="40">
        <v>0.45555555555555549</v>
      </c>
      <c r="U11" s="186">
        <f t="shared" ref="U11" si="14">IF(S11=TIME(17,0,0),"",(S11-T10)*24*60)</f>
        <v>26.999999999999986</v>
      </c>
      <c r="V11" s="195">
        <f t="shared" si="13"/>
        <v>241.99999999999994</v>
      </c>
      <c r="W11" s="23"/>
      <c r="X11" s="23"/>
      <c r="Y11" s="23"/>
      <c r="Z11" s="23"/>
      <c r="AA11" s="491"/>
      <c r="AB11" s="491"/>
      <c r="AC11" s="154"/>
      <c r="AD11" s="25"/>
      <c r="AE11" s="19">
        <f t="shared" si="8"/>
        <v>-66.198347107437712</v>
      </c>
      <c r="AF11" s="185">
        <f t="shared" si="9"/>
        <v>0.95586776859504152</v>
      </c>
      <c r="AG11" s="489"/>
    </row>
    <row r="12" spans="1:33" ht="16.5" customHeight="1">
      <c r="A12" s="527" t="s">
        <v>1054</v>
      </c>
      <c r="B12" s="42" t="s">
        <v>1056</v>
      </c>
      <c r="C12" s="494"/>
      <c r="D12" s="494"/>
      <c r="E12" s="188"/>
      <c r="F12" s="37"/>
      <c r="G12" s="18"/>
      <c r="H12" s="196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1433.4314386911792</v>
      </c>
      <c r="N12" s="17">
        <f t="shared" si="3"/>
        <v>79.635079927287734</v>
      </c>
      <c r="O12" s="19">
        <f t="shared" si="4"/>
        <v>0</v>
      </c>
      <c r="P12" s="20">
        <f t="shared" si="5"/>
        <v>-3.6982534060455947</v>
      </c>
      <c r="Q12" s="185">
        <f t="shared" si="6"/>
        <v>0.95562095912745282</v>
      </c>
      <c r="R12" s="489"/>
      <c r="S12" s="40"/>
      <c r="T12" s="40"/>
      <c r="U12" s="17"/>
      <c r="V12" s="195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f>SUM(AC10:AC11)</f>
        <v>3</v>
      </c>
      <c r="AD12" s="31">
        <f>SUM(AD10:AD11)</f>
        <v>0</v>
      </c>
      <c r="AE12" s="19">
        <f t="shared" si="8"/>
        <v>-66.56856130882079</v>
      </c>
      <c r="AF12" s="185">
        <f t="shared" si="9"/>
        <v>0.95562095912745282</v>
      </c>
      <c r="AG12" s="489"/>
    </row>
    <row r="13" spans="1:33" ht="16.5" customHeight="1">
      <c r="A13" s="525" t="s">
        <v>1057</v>
      </c>
      <c r="B13" s="196" t="s">
        <v>126</v>
      </c>
      <c r="C13" s="515" t="s">
        <v>127</v>
      </c>
      <c r="D13" s="515"/>
      <c r="E13" s="42">
        <v>41</v>
      </c>
      <c r="F13" s="196">
        <v>2421</v>
      </c>
      <c r="G13" s="186">
        <f t="shared" ref="G13:G21" si="15">E13*F13</f>
        <v>99261</v>
      </c>
      <c r="H13" s="125" t="s">
        <v>79</v>
      </c>
      <c r="I13" s="194">
        <v>26</v>
      </c>
      <c r="J13" s="37">
        <v>1500</v>
      </c>
      <c r="K13" s="17">
        <f t="shared" si="1"/>
        <v>57.692307692307693</v>
      </c>
      <c r="L13" s="194">
        <v>26</v>
      </c>
      <c r="M13" s="18">
        <f t="shared" ref="M13:M21" si="16">F13/V13*60</f>
        <v>1438.2178217821781</v>
      </c>
      <c r="N13" s="17">
        <f t="shared" si="3"/>
        <v>55.316070068545315</v>
      </c>
      <c r="O13" s="19">
        <f t="shared" si="4"/>
        <v>0</v>
      </c>
      <c r="P13" s="20">
        <f t="shared" si="5"/>
        <v>-2.3762376237623783</v>
      </c>
      <c r="Q13" s="185">
        <f t="shared" si="6"/>
        <v>0.95881188118811878</v>
      </c>
      <c r="R13" s="489">
        <f>Q22</f>
        <v>0.96325399804091361</v>
      </c>
      <c r="S13" s="40">
        <v>0.20833333333333334</v>
      </c>
      <c r="T13" s="40">
        <v>0.27847222222222223</v>
      </c>
      <c r="U13" s="186"/>
      <c r="V13" s="195">
        <f t="shared" ref="V13:V21" si="17">(T13-S13)*24*60</f>
        <v>101</v>
      </c>
      <c r="W13" s="28"/>
      <c r="X13" s="28"/>
      <c r="Y13" s="28"/>
      <c r="Z13" s="28"/>
      <c r="AA13" s="491"/>
      <c r="AB13" s="491"/>
      <c r="AC13" s="154">
        <v>4</v>
      </c>
      <c r="AD13" s="25"/>
      <c r="AE13" s="19">
        <f t="shared" si="8"/>
        <v>-61.782178217821865</v>
      </c>
      <c r="AF13" s="185">
        <f t="shared" si="9"/>
        <v>0.95881188118811878</v>
      </c>
      <c r="AG13" s="489">
        <f>AF22</f>
        <v>0.96325399804091361</v>
      </c>
    </row>
    <row r="14" spans="1:33" ht="16.5" customHeight="1">
      <c r="A14" s="526" t="s">
        <v>1057</v>
      </c>
      <c r="B14" s="196" t="s">
        <v>128</v>
      </c>
      <c r="C14" s="515" t="s">
        <v>129</v>
      </c>
      <c r="D14" s="515"/>
      <c r="E14" s="42">
        <v>72.400000000000006</v>
      </c>
      <c r="F14" s="196">
        <v>782</v>
      </c>
      <c r="G14" s="186">
        <f t="shared" si="15"/>
        <v>56616.800000000003</v>
      </c>
      <c r="H14" s="125" t="s">
        <v>79</v>
      </c>
      <c r="I14" s="194">
        <v>18</v>
      </c>
      <c r="J14" s="37">
        <v>1500</v>
      </c>
      <c r="K14" s="17">
        <f t="shared" si="1"/>
        <v>83.333333333333329</v>
      </c>
      <c r="L14" s="194">
        <v>18</v>
      </c>
      <c r="M14" s="18">
        <f t="shared" si="16"/>
        <v>1466.2500000000018</v>
      </c>
      <c r="N14" s="17">
        <f t="shared" si="3"/>
        <v>81.458333333333428</v>
      </c>
      <c r="O14" s="19">
        <f t="shared" si="4"/>
        <v>0</v>
      </c>
      <c r="P14" s="20">
        <f t="shared" si="5"/>
        <v>-1.8749999999999005</v>
      </c>
      <c r="Q14" s="185">
        <f t="shared" si="6"/>
        <v>0.97750000000000115</v>
      </c>
      <c r="R14" s="489"/>
      <c r="S14" s="40">
        <v>0.28263888888888888</v>
      </c>
      <c r="T14" s="40">
        <v>0.30486111111111108</v>
      </c>
      <c r="U14" s="186">
        <f t="shared" ref="U14:U21" si="18">IF(S14=TIME(17,0,0),"",(S14-T13)*24*60)</f>
        <v>5.9999999999999787</v>
      </c>
      <c r="V14" s="195">
        <f t="shared" si="17"/>
        <v>31.999999999999964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-33.749999999998181</v>
      </c>
      <c r="AF14" s="185">
        <f t="shared" si="9"/>
        <v>0.97750000000000126</v>
      </c>
      <c r="AG14" s="489"/>
    </row>
    <row r="15" spans="1:33" ht="16.5" customHeight="1">
      <c r="A15" s="526" t="s">
        <v>1057</v>
      </c>
      <c r="B15" s="196" t="s">
        <v>130</v>
      </c>
      <c r="C15" s="515" t="s">
        <v>131</v>
      </c>
      <c r="D15" s="515"/>
      <c r="E15" s="42">
        <v>50.67</v>
      </c>
      <c r="F15" s="196">
        <v>1353</v>
      </c>
      <c r="G15" s="186">
        <f t="shared" si="15"/>
        <v>68556.510000000009</v>
      </c>
      <c r="H15" s="125" t="s">
        <v>79</v>
      </c>
      <c r="I15" s="194">
        <v>16</v>
      </c>
      <c r="J15" s="37">
        <v>1500</v>
      </c>
      <c r="K15" s="17">
        <f t="shared" si="1"/>
        <v>93.75</v>
      </c>
      <c r="L15" s="194">
        <v>16</v>
      </c>
      <c r="M15" s="18">
        <f t="shared" si="16"/>
        <v>1449.642857142856</v>
      </c>
      <c r="N15" s="17">
        <f t="shared" si="3"/>
        <v>90.602678571428498</v>
      </c>
      <c r="O15" s="19">
        <f t="shared" si="4"/>
        <v>0</v>
      </c>
      <c r="P15" s="20">
        <f t="shared" si="5"/>
        <v>-3.1473214285715017</v>
      </c>
      <c r="Q15" s="185">
        <f t="shared" si="6"/>
        <v>0.96642857142857064</v>
      </c>
      <c r="R15" s="489"/>
      <c r="S15" s="40">
        <v>0.30902777777777773</v>
      </c>
      <c r="T15" s="40">
        <v>0.34791666666666665</v>
      </c>
      <c r="U15" s="186">
        <f t="shared" si="18"/>
        <v>5.9999999999999787</v>
      </c>
      <c r="V15" s="195">
        <f t="shared" si="17"/>
        <v>56.000000000000043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-50.357142857144026</v>
      </c>
      <c r="AF15" s="185">
        <f t="shared" si="9"/>
        <v>0.96642857142857064</v>
      </c>
      <c r="AG15" s="489"/>
    </row>
    <row r="16" spans="1:33" ht="16.5" customHeight="1">
      <c r="A16" s="526" t="s">
        <v>1057</v>
      </c>
      <c r="B16" s="196" t="s">
        <v>103</v>
      </c>
      <c r="C16" s="515" t="s">
        <v>123</v>
      </c>
      <c r="D16" s="515"/>
      <c r="E16" s="42">
        <v>50.98</v>
      </c>
      <c r="F16" s="196">
        <v>800</v>
      </c>
      <c r="G16" s="186">
        <f t="shared" si="15"/>
        <v>40784</v>
      </c>
      <c r="H16" s="125">
        <v>2</v>
      </c>
      <c r="I16" s="194">
        <v>16</v>
      </c>
      <c r="J16" s="37">
        <v>2000</v>
      </c>
      <c r="K16" s="17">
        <f t="shared" si="1"/>
        <v>125</v>
      </c>
      <c r="L16" s="194">
        <v>16</v>
      </c>
      <c r="M16" s="18">
        <f t="shared" si="16"/>
        <v>1919.9999999999945</v>
      </c>
      <c r="N16" s="17">
        <f t="shared" si="3"/>
        <v>119.99999999999966</v>
      </c>
      <c r="O16" s="19">
        <f t="shared" si="4"/>
        <v>0</v>
      </c>
      <c r="P16" s="20">
        <f t="shared" si="5"/>
        <v>-5.0000000000003411</v>
      </c>
      <c r="Q16" s="185">
        <f t="shared" si="6"/>
        <v>0.9599999999999973</v>
      </c>
      <c r="R16" s="489"/>
      <c r="S16" s="40">
        <v>0.70833333333333337</v>
      </c>
      <c r="T16" s="40">
        <v>0.72569444444444453</v>
      </c>
      <c r="U16" s="186" t="str">
        <f t="shared" si="18"/>
        <v/>
      </c>
      <c r="V16" s="195">
        <f t="shared" si="17"/>
        <v>25.000000000000071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-80.000000000005457</v>
      </c>
      <c r="AF16" s="185">
        <f t="shared" si="9"/>
        <v>0.9599999999999973</v>
      </c>
      <c r="AG16" s="489"/>
    </row>
    <row r="17" spans="1:33" ht="16.5" customHeight="1">
      <c r="A17" s="526" t="s">
        <v>1057</v>
      </c>
      <c r="B17" s="196" t="s">
        <v>103</v>
      </c>
      <c r="C17" s="515" t="s">
        <v>132</v>
      </c>
      <c r="D17" s="515"/>
      <c r="E17" s="42">
        <v>50.92</v>
      </c>
      <c r="F17" s="196">
        <v>900</v>
      </c>
      <c r="G17" s="186">
        <f t="shared" si="15"/>
        <v>45828</v>
      </c>
      <c r="H17" s="125">
        <v>2</v>
      </c>
      <c r="I17" s="194">
        <v>15</v>
      </c>
      <c r="J17" s="37">
        <v>2000</v>
      </c>
      <c r="K17" s="17">
        <f t="shared" si="1"/>
        <v>133.33333333333334</v>
      </c>
      <c r="L17" s="194">
        <v>15</v>
      </c>
      <c r="M17" s="18">
        <f t="shared" si="16"/>
        <v>1928.5714285714246</v>
      </c>
      <c r="N17" s="17">
        <f t="shared" si="3"/>
        <v>128.5714285714283</v>
      </c>
      <c r="O17" s="19">
        <f t="shared" si="4"/>
        <v>0</v>
      </c>
      <c r="P17" s="20">
        <f t="shared" si="5"/>
        <v>-4.7619047619050434</v>
      </c>
      <c r="Q17" s="185">
        <f t="shared" si="6"/>
        <v>0.96428571428571219</v>
      </c>
      <c r="R17" s="489"/>
      <c r="S17" s="40">
        <v>0.73055555555555562</v>
      </c>
      <c r="T17" s="40">
        <v>0.75000000000000011</v>
      </c>
      <c r="U17" s="186">
        <f t="shared" si="18"/>
        <v>6.9999999999999751</v>
      </c>
      <c r="V17" s="195">
        <f t="shared" si="17"/>
        <v>28.00000000000006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-71.428571428575424</v>
      </c>
      <c r="AF17" s="185">
        <f t="shared" si="9"/>
        <v>0.9642857142857123</v>
      </c>
      <c r="AG17" s="489"/>
    </row>
    <row r="18" spans="1:33" ht="16.5" customHeight="1">
      <c r="A18" s="526" t="s">
        <v>1057</v>
      </c>
      <c r="B18" s="196" t="s">
        <v>103</v>
      </c>
      <c r="C18" s="521" t="s">
        <v>133</v>
      </c>
      <c r="D18" s="522"/>
      <c r="E18" s="42">
        <v>50.67</v>
      </c>
      <c r="F18" s="196">
        <v>1835</v>
      </c>
      <c r="G18" s="186">
        <f t="shared" si="15"/>
        <v>92979.45</v>
      </c>
      <c r="H18" s="125" t="s">
        <v>79</v>
      </c>
      <c r="I18" s="194">
        <v>15</v>
      </c>
      <c r="J18" s="37">
        <v>2000</v>
      </c>
      <c r="K18" s="17">
        <f t="shared" si="1"/>
        <v>133.33333333333334</v>
      </c>
      <c r="L18" s="194">
        <v>15</v>
      </c>
      <c r="M18" s="18">
        <f t="shared" si="16"/>
        <v>1931.5789473684226</v>
      </c>
      <c r="N18" s="17">
        <f t="shared" si="3"/>
        <v>128.77192982456151</v>
      </c>
      <c r="O18" s="19">
        <f t="shared" si="4"/>
        <v>0</v>
      </c>
      <c r="P18" s="20">
        <f t="shared" si="5"/>
        <v>-4.5614035087718321</v>
      </c>
      <c r="Q18" s="185">
        <f t="shared" si="6"/>
        <v>0.96578947368421131</v>
      </c>
      <c r="R18" s="489"/>
      <c r="S18" s="40">
        <v>0.75555555555555565</v>
      </c>
      <c r="T18" s="40">
        <v>0.79513888888888895</v>
      </c>
      <c r="U18" s="186">
        <f t="shared" si="18"/>
        <v>7.9999999999999716</v>
      </c>
      <c r="V18" s="195">
        <f t="shared" si="17"/>
        <v>56.999999999999957</v>
      </c>
      <c r="W18" s="23"/>
      <c r="X18" s="23"/>
      <c r="Y18" s="26"/>
      <c r="Z18" s="26"/>
      <c r="AA18" s="503"/>
      <c r="AB18" s="504"/>
      <c r="AC18" s="154"/>
      <c r="AD18" s="25"/>
      <c r="AE18" s="19">
        <f t="shared" si="8"/>
        <v>-68.421052631577368</v>
      </c>
      <c r="AF18" s="185">
        <f t="shared" si="9"/>
        <v>0.96578947368421131</v>
      </c>
      <c r="AG18" s="489"/>
    </row>
    <row r="19" spans="1:33" ht="16.5" customHeight="1">
      <c r="A19" s="526" t="s">
        <v>1057</v>
      </c>
      <c r="B19" s="196" t="s">
        <v>103</v>
      </c>
      <c r="C19" s="192" t="s">
        <v>134</v>
      </c>
      <c r="D19" s="193"/>
      <c r="E19" s="42">
        <v>57.3</v>
      </c>
      <c r="F19" s="196">
        <v>2264</v>
      </c>
      <c r="G19" s="186">
        <f t="shared" si="15"/>
        <v>129727.2</v>
      </c>
      <c r="H19" s="125" t="s">
        <v>79</v>
      </c>
      <c r="I19" s="194">
        <v>13</v>
      </c>
      <c r="J19" s="37">
        <v>2000</v>
      </c>
      <c r="K19" s="17">
        <f t="shared" si="1"/>
        <v>153.84615384615384</v>
      </c>
      <c r="L19" s="194">
        <v>13</v>
      </c>
      <c r="M19" s="18">
        <f t="shared" si="16"/>
        <v>1913.2394366197163</v>
      </c>
      <c r="N19" s="17">
        <f t="shared" si="3"/>
        <v>147.17226435536278</v>
      </c>
      <c r="O19" s="19">
        <f t="shared" si="4"/>
        <v>0</v>
      </c>
      <c r="P19" s="20">
        <f t="shared" si="5"/>
        <v>-6.6738894907910549</v>
      </c>
      <c r="Q19" s="185">
        <f t="shared" si="6"/>
        <v>0.95661971830985815</v>
      </c>
      <c r="R19" s="489"/>
      <c r="S19" s="40">
        <v>0.7993055555555556</v>
      </c>
      <c r="T19" s="40">
        <v>0.8486111111111112</v>
      </c>
      <c r="U19" s="186">
        <f t="shared" si="18"/>
        <v>5.9999999999999787</v>
      </c>
      <c r="V19" s="195">
        <f t="shared" si="17"/>
        <v>71.000000000000071</v>
      </c>
      <c r="W19" s="23">
        <f>T19</f>
        <v>0.8486111111111112</v>
      </c>
      <c r="X19" s="23">
        <f>S20</f>
        <v>0.88958333333333339</v>
      </c>
      <c r="Y19" s="26"/>
      <c r="Z19" s="26"/>
      <c r="AA19" s="503"/>
      <c r="AB19" s="504"/>
      <c r="AC19" s="154"/>
      <c r="AD19" s="25"/>
      <c r="AE19" s="19">
        <f t="shared" si="8"/>
        <v>-86.760563380283656</v>
      </c>
      <c r="AF19" s="185">
        <f t="shared" si="9"/>
        <v>0.95661971830985815</v>
      </c>
      <c r="AG19" s="489"/>
    </row>
    <row r="20" spans="1:33" ht="16.5" customHeight="1">
      <c r="A20" s="526" t="s">
        <v>1057</v>
      </c>
      <c r="B20" s="196" t="s">
        <v>103</v>
      </c>
      <c r="C20" s="192" t="s">
        <v>123</v>
      </c>
      <c r="D20" s="193"/>
      <c r="E20" s="42">
        <v>50.98</v>
      </c>
      <c r="F20" s="196">
        <v>2009</v>
      </c>
      <c r="G20" s="186">
        <f t="shared" si="15"/>
        <v>102418.81999999999</v>
      </c>
      <c r="H20" s="125" t="s">
        <v>79</v>
      </c>
      <c r="I20" s="194">
        <v>16</v>
      </c>
      <c r="J20" s="37">
        <v>2000</v>
      </c>
      <c r="K20" s="17">
        <f t="shared" si="1"/>
        <v>125</v>
      </c>
      <c r="L20" s="194">
        <v>16</v>
      </c>
      <c r="M20" s="18">
        <f t="shared" si="16"/>
        <v>1913.3333333333353</v>
      </c>
      <c r="N20" s="17">
        <f t="shared" si="3"/>
        <v>119.58333333333346</v>
      </c>
      <c r="O20" s="19">
        <f t="shared" si="4"/>
        <v>0</v>
      </c>
      <c r="P20" s="20">
        <f t="shared" si="5"/>
        <v>-5.4166666666665435</v>
      </c>
      <c r="Q20" s="185">
        <f t="shared" si="6"/>
        <v>0.95666666666666766</v>
      </c>
      <c r="R20" s="489"/>
      <c r="S20" s="40">
        <v>0.88958333333333339</v>
      </c>
      <c r="T20" s="40">
        <v>0.93333333333333335</v>
      </c>
      <c r="U20" s="186">
        <f t="shared" si="18"/>
        <v>58.99999999999995</v>
      </c>
      <c r="V20" s="195">
        <f t="shared" si="17"/>
        <v>62.999999999999936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-86.666666666664696</v>
      </c>
      <c r="AF20" s="185">
        <f t="shared" si="9"/>
        <v>0.95666666666666766</v>
      </c>
      <c r="AG20" s="489"/>
    </row>
    <row r="21" spans="1:33" ht="16.5" customHeight="1">
      <c r="A21" s="526" t="s">
        <v>1057</v>
      </c>
      <c r="B21" s="196" t="s">
        <v>103</v>
      </c>
      <c r="C21" s="521" t="s">
        <v>132</v>
      </c>
      <c r="D21" s="522"/>
      <c r="E21" s="42">
        <v>50.92</v>
      </c>
      <c r="F21" s="196">
        <v>1804</v>
      </c>
      <c r="G21" s="186">
        <f t="shared" si="15"/>
        <v>91859.680000000008</v>
      </c>
      <c r="H21" s="125" t="s">
        <v>79</v>
      </c>
      <c r="I21" s="194">
        <v>15</v>
      </c>
      <c r="J21" s="37">
        <v>2000</v>
      </c>
      <c r="K21" s="17">
        <f t="shared" si="1"/>
        <v>133.33333333333334</v>
      </c>
      <c r="L21" s="194">
        <v>15</v>
      </c>
      <c r="M21" s="18">
        <f t="shared" si="16"/>
        <v>1932.8571428571443</v>
      </c>
      <c r="N21" s="17">
        <f t="shared" si="3"/>
        <v>128.85714285714295</v>
      </c>
      <c r="O21" s="19">
        <f t="shared" si="4"/>
        <v>0</v>
      </c>
      <c r="P21" s="20">
        <f t="shared" si="5"/>
        <v>-4.4761904761903963</v>
      </c>
      <c r="Q21" s="185">
        <f t="shared" si="6"/>
        <v>0.96642857142857208</v>
      </c>
      <c r="R21" s="489"/>
      <c r="S21" s="40">
        <v>0.93819444444444444</v>
      </c>
      <c r="T21" s="40">
        <v>0.9770833333333333</v>
      </c>
      <c r="U21" s="186">
        <f t="shared" si="18"/>
        <v>6.9999999999999751</v>
      </c>
      <c r="V21" s="195">
        <f t="shared" si="17"/>
        <v>55.999999999999957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-67.142857142855746</v>
      </c>
      <c r="AF21" s="185">
        <f t="shared" si="9"/>
        <v>0.96642857142857208</v>
      </c>
      <c r="AG21" s="489"/>
    </row>
    <row r="22" spans="1:33" ht="16.5" customHeight="1">
      <c r="A22" s="526" t="s">
        <v>1057</v>
      </c>
      <c r="B22" s="42" t="s">
        <v>1053</v>
      </c>
      <c r="C22" s="494"/>
      <c r="D22" s="494"/>
      <c r="E22" s="188"/>
      <c r="F22" s="44"/>
      <c r="G22" s="17"/>
      <c r="H22" s="196"/>
      <c r="I22" s="30">
        <v>16.666666666666668</v>
      </c>
      <c r="J22" s="37">
        <v>1833.3333333333333</v>
      </c>
      <c r="K22" s="17">
        <f t="shared" si="1"/>
        <v>109.99999999999999</v>
      </c>
      <c r="L22" s="30">
        <v>16.666666666666668</v>
      </c>
      <c r="M22" s="18">
        <f>AVERAGE(M13:M21)</f>
        <v>1765.9656630750083</v>
      </c>
      <c r="N22" s="17">
        <f t="shared" si="3"/>
        <v>105.95793978450048</v>
      </c>
      <c r="O22" s="19">
        <f t="shared" si="4"/>
        <v>0</v>
      </c>
      <c r="P22" s="20">
        <f t="shared" si="5"/>
        <v>-4.0420602154995038</v>
      </c>
      <c r="Q22" s="185">
        <f t="shared" si="6"/>
        <v>0.96325399804091361</v>
      </c>
      <c r="R22" s="489"/>
      <c r="S22" s="40"/>
      <c r="T22" s="40"/>
      <c r="U22" s="186"/>
      <c r="V22" s="195"/>
      <c r="W22" s="17"/>
      <c r="X22" s="17"/>
      <c r="Y22" s="31">
        <f>SUM(Y13:Y21)</f>
        <v>0</v>
      </c>
      <c r="Z22" s="31">
        <f>SUM(Z13:Z21)</f>
        <v>0</v>
      </c>
      <c r="AA22" s="495"/>
      <c r="AB22" s="495"/>
      <c r="AC22" s="31">
        <f>SUM(AC13:AC21)</f>
        <v>4</v>
      </c>
      <c r="AD22" s="31">
        <f>SUM(AD13:AD21)</f>
        <v>0</v>
      </c>
      <c r="AE22" s="19">
        <f t="shared" si="8"/>
        <v>-67.367670258325006</v>
      </c>
      <c r="AF22" s="185">
        <f t="shared" si="9"/>
        <v>0.96325399804091361</v>
      </c>
      <c r="AG22" s="489"/>
    </row>
    <row r="23" spans="1:33" ht="15.75" customHeight="1">
      <c r="A23" s="519" t="s">
        <v>1058</v>
      </c>
      <c r="B23" s="42" t="s">
        <v>126</v>
      </c>
      <c r="C23" s="515" t="s">
        <v>135</v>
      </c>
      <c r="D23" s="515"/>
      <c r="E23" s="42">
        <v>43.14</v>
      </c>
      <c r="F23" s="196">
        <v>1046</v>
      </c>
      <c r="G23" s="186">
        <f t="shared" ref="G23:G33" si="19">E23*F23</f>
        <v>45124.44</v>
      </c>
      <c r="H23" s="125" t="s">
        <v>79</v>
      </c>
      <c r="I23" s="194">
        <v>17</v>
      </c>
      <c r="J23" s="37">
        <v>2000</v>
      </c>
      <c r="K23" s="17">
        <f t="shared" si="1"/>
        <v>117.64705882352941</v>
      </c>
      <c r="L23" s="194">
        <v>17</v>
      </c>
      <c r="M23" s="18">
        <f t="shared" ref="M23:M33" si="20">F23/V23*60</f>
        <v>1961.2499999999995</v>
      </c>
      <c r="N23" s="17">
        <f t="shared" si="3"/>
        <v>115.36764705882351</v>
      </c>
      <c r="O23" s="19">
        <f t="shared" si="4"/>
        <v>0</v>
      </c>
      <c r="P23" s="20">
        <f t="shared" si="5"/>
        <v>-2.2794117647058982</v>
      </c>
      <c r="Q23" s="185">
        <f t="shared" si="6"/>
        <v>0.98062499999999986</v>
      </c>
      <c r="R23" s="489">
        <f>Q34</f>
        <v>0.96196099429670856</v>
      </c>
      <c r="S23" s="40">
        <v>0.20833333333333334</v>
      </c>
      <c r="T23" s="40">
        <v>0.23055555555555557</v>
      </c>
      <c r="U23" s="186"/>
      <c r="V23" s="195">
        <f t="shared" ref="V23:V33" si="21">(T23-S23)*24*60</f>
        <v>32.000000000000007</v>
      </c>
      <c r="W23" s="28"/>
      <c r="X23" s="28"/>
      <c r="Y23" s="28"/>
      <c r="Z23" s="28"/>
      <c r="AA23" s="491"/>
      <c r="AB23" s="491"/>
      <c r="AC23" s="154">
        <v>5</v>
      </c>
      <c r="AD23" s="25"/>
      <c r="AE23" s="19">
        <f t="shared" si="8"/>
        <v>-38.750000000000455</v>
      </c>
      <c r="AF23" s="185">
        <f t="shared" si="9"/>
        <v>0.98062499999999975</v>
      </c>
      <c r="AG23" s="489">
        <f>AF34</f>
        <v>0.96196099429670867</v>
      </c>
    </row>
    <row r="24" spans="1:33" ht="15.75" customHeight="1">
      <c r="A24" s="520" t="s">
        <v>1059</v>
      </c>
      <c r="B24" s="42" t="s">
        <v>130</v>
      </c>
      <c r="C24" s="515" t="s">
        <v>136</v>
      </c>
      <c r="D24" s="515"/>
      <c r="E24" s="42">
        <v>49.9</v>
      </c>
      <c r="F24" s="196">
        <v>1018</v>
      </c>
      <c r="G24" s="186">
        <f t="shared" si="19"/>
        <v>50798.2</v>
      </c>
      <c r="H24" s="125" t="s">
        <v>79</v>
      </c>
      <c r="I24" s="194">
        <v>17</v>
      </c>
      <c r="J24" s="37">
        <v>2000</v>
      </c>
      <c r="K24" s="17">
        <f t="shared" si="1"/>
        <v>117.64705882352941</v>
      </c>
      <c r="L24" s="194">
        <v>17</v>
      </c>
      <c r="M24" s="18">
        <f t="shared" si="20"/>
        <v>1908.7499999999995</v>
      </c>
      <c r="N24" s="17">
        <f t="shared" si="3"/>
        <v>112.27941176470586</v>
      </c>
      <c r="O24" s="19">
        <f t="shared" si="4"/>
        <v>0</v>
      </c>
      <c r="P24" s="20">
        <f t="shared" si="5"/>
        <v>-5.3676470588235503</v>
      </c>
      <c r="Q24" s="185">
        <f t="shared" si="6"/>
        <v>0.95437499999999986</v>
      </c>
      <c r="R24" s="489"/>
      <c r="S24" s="40">
        <v>0.23611111111111113</v>
      </c>
      <c r="T24" s="40">
        <v>0.25833333333333336</v>
      </c>
      <c r="U24" s="186">
        <f t="shared" ref="U24:U33" si="22">IF(S24=TIME(17,0,0),"",(S24-T23)*24*60)</f>
        <v>8.0000000000000107</v>
      </c>
      <c r="V24" s="195">
        <f t="shared" si="21"/>
        <v>32.000000000000007</v>
      </c>
      <c r="W24" s="23"/>
      <c r="X24" s="186"/>
      <c r="Y24" s="186"/>
      <c r="Z24" s="186"/>
      <c r="AA24" s="491"/>
      <c r="AB24" s="491"/>
      <c r="AC24" s="154"/>
      <c r="AD24" s="25"/>
      <c r="AE24" s="19">
        <f t="shared" si="8"/>
        <v>-91.250000000000455</v>
      </c>
      <c r="AF24" s="185">
        <f t="shared" si="9"/>
        <v>0.95437499999999975</v>
      </c>
      <c r="AG24" s="489"/>
    </row>
    <row r="25" spans="1:33" ht="15.75" customHeight="1">
      <c r="A25" s="520" t="s">
        <v>1059</v>
      </c>
      <c r="B25" s="42" t="s">
        <v>103</v>
      </c>
      <c r="C25" s="515" t="s">
        <v>137</v>
      </c>
      <c r="D25" s="515"/>
      <c r="E25" s="42">
        <v>57.73</v>
      </c>
      <c r="F25" s="196">
        <v>3156</v>
      </c>
      <c r="G25" s="186">
        <f t="shared" si="19"/>
        <v>182195.88</v>
      </c>
      <c r="H25" s="125" t="s">
        <v>79</v>
      </c>
      <c r="I25" s="194">
        <v>14</v>
      </c>
      <c r="J25" s="37">
        <v>2000</v>
      </c>
      <c r="K25" s="17">
        <f t="shared" si="1"/>
        <v>142.85714285714286</v>
      </c>
      <c r="L25" s="194">
        <v>14</v>
      </c>
      <c r="M25" s="18">
        <f t="shared" si="20"/>
        <v>1912.7272727272734</v>
      </c>
      <c r="N25" s="17">
        <f t="shared" si="3"/>
        <v>136.62337662337669</v>
      </c>
      <c r="O25" s="19">
        <f t="shared" si="4"/>
        <v>0</v>
      </c>
      <c r="P25" s="20">
        <f t="shared" si="5"/>
        <v>-6.2337662337661754</v>
      </c>
      <c r="Q25" s="185">
        <f t="shared" si="6"/>
        <v>0.95636363636363675</v>
      </c>
      <c r="R25" s="489"/>
      <c r="S25" s="40">
        <v>0.26319444444444445</v>
      </c>
      <c r="T25" s="40">
        <v>0.33194444444444443</v>
      </c>
      <c r="U25" s="186">
        <f t="shared" si="22"/>
        <v>6.9999999999999751</v>
      </c>
      <c r="V25" s="195">
        <f t="shared" si="21"/>
        <v>98.999999999999972</v>
      </c>
      <c r="W25" s="23"/>
      <c r="X25" s="186"/>
      <c r="Y25" s="186"/>
      <c r="Z25" s="186"/>
      <c r="AA25" s="491"/>
      <c r="AB25" s="491"/>
      <c r="AC25" s="154"/>
      <c r="AD25" s="25"/>
      <c r="AE25" s="19">
        <f t="shared" si="8"/>
        <v>-87.27272727272657</v>
      </c>
      <c r="AF25" s="185">
        <f t="shared" si="9"/>
        <v>0.95636363636363675</v>
      </c>
      <c r="AG25" s="489"/>
    </row>
    <row r="26" spans="1:33" ht="15.75" customHeight="1">
      <c r="A26" s="520" t="s">
        <v>1059</v>
      </c>
      <c r="B26" s="42" t="s">
        <v>103</v>
      </c>
      <c r="C26" s="515" t="s">
        <v>138</v>
      </c>
      <c r="D26" s="515"/>
      <c r="E26" s="42">
        <v>53.68</v>
      </c>
      <c r="F26" s="196">
        <v>1791</v>
      </c>
      <c r="G26" s="186">
        <f t="shared" si="19"/>
        <v>96140.88</v>
      </c>
      <c r="H26" s="125" t="s">
        <v>79</v>
      </c>
      <c r="I26" s="194">
        <v>16</v>
      </c>
      <c r="J26" s="37">
        <v>2000</v>
      </c>
      <c r="K26" s="17">
        <f t="shared" si="1"/>
        <v>125</v>
      </c>
      <c r="L26" s="194">
        <v>16</v>
      </c>
      <c r="M26" s="18">
        <f t="shared" si="20"/>
        <v>1918.92857142857</v>
      </c>
      <c r="N26" s="17">
        <f t="shared" si="3"/>
        <v>119.93303571428562</v>
      </c>
      <c r="O26" s="19">
        <f t="shared" si="4"/>
        <v>0</v>
      </c>
      <c r="P26" s="20">
        <f t="shared" si="5"/>
        <v>-5.0669642857143771</v>
      </c>
      <c r="Q26" s="185">
        <f t="shared" si="6"/>
        <v>0.95946428571428499</v>
      </c>
      <c r="R26" s="489"/>
      <c r="S26" s="40">
        <v>0.33680555555555552</v>
      </c>
      <c r="T26" s="40">
        <v>0.37569444444444444</v>
      </c>
      <c r="U26" s="186">
        <f t="shared" si="22"/>
        <v>6.9999999999999751</v>
      </c>
      <c r="V26" s="195">
        <f t="shared" si="21"/>
        <v>56.000000000000043</v>
      </c>
      <c r="W26" s="23"/>
      <c r="X26" s="186"/>
      <c r="Y26" s="186"/>
      <c r="Z26" s="186"/>
      <c r="AA26" s="491"/>
      <c r="AB26" s="491"/>
      <c r="AC26" s="154"/>
      <c r="AD26" s="25"/>
      <c r="AE26" s="19">
        <f t="shared" si="8"/>
        <v>-81.071428571430033</v>
      </c>
      <c r="AF26" s="185">
        <f t="shared" si="9"/>
        <v>0.95946428571428499</v>
      </c>
      <c r="AG26" s="489"/>
    </row>
    <row r="27" spans="1:33" ht="15.75" customHeight="1">
      <c r="A27" s="520" t="s">
        <v>1059</v>
      </c>
      <c r="B27" s="42" t="s">
        <v>103</v>
      </c>
      <c r="C27" s="515" t="s">
        <v>139</v>
      </c>
      <c r="D27" s="515"/>
      <c r="E27" s="42">
        <v>49.91</v>
      </c>
      <c r="F27" s="196">
        <v>906</v>
      </c>
      <c r="G27" s="186">
        <f t="shared" si="19"/>
        <v>45218.46</v>
      </c>
      <c r="H27" s="125" t="s">
        <v>79</v>
      </c>
      <c r="I27" s="194">
        <v>17</v>
      </c>
      <c r="J27" s="37">
        <v>2000</v>
      </c>
      <c r="K27" s="17">
        <f t="shared" si="1"/>
        <v>117.64705882352941</v>
      </c>
      <c r="L27" s="194">
        <v>17</v>
      </c>
      <c r="M27" s="18">
        <f t="shared" si="20"/>
        <v>1941.4285714285729</v>
      </c>
      <c r="N27" s="17">
        <f t="shared" si="3"/>
        <v>114.20168067226899</v>
      </c>
      <c r="O27" s="19">
        <f t="shared" si="4"/>
        <v>0</v>
      </c>
      <c r="P27" s="20">
        <f t="shared" si="5"/>
        <v>-3.4453781512604138</v>
      </c>
      <c r="Q27" s="185">
        <f t="shared" si="6"/>
        <v>0.97071428571428653</v>
      </c>
      <c r="R27" s="489"/>
      <c r="S27" s="40">
        <v>0.37986111111111109</v>
      </c>
      <c r="T27" s="40">
        <v>0.39930555555555552</v>
      </c>
      <c r="U27" s="186">
        <f t="shared" si="22"/>
        <v>5.9999999999999787</v>
      </c>
      <c r="V27" s="195">
        <f t="shared" si="21"/>
        <v>27.999999999999979</v>
      </c>
      <c r="W27" s="23"/>
      <c r="X27" s="186"/>
      <c r="Y27" s="186"/>
      <c r="Z27" s="186"/>
      <c r="AA27" s="491"/>
      <c r="AB27" s="491"/>
      <c r="AC27" s="154"/>
      <c r="AD27" s="25"/>
      <c r="AE27" s="19">
        <f t="shared" si="8"/>
        <v>-58.571428571427077</v>
      </c>
      <c r="AF27" s="185">
        <f t="shared" si="9"/>
        <v>0.97071428571428642</v>
      </c>
      <c r="AG27" s="489"/>
    </row>
    <row r="28" spans="1:33" ht="15.75" customHeight="1">
      <c r="A28" s="520" t="s">
        <v>1059</v>
      </c>
      <c r="B28" s="42" t="s">
        <v>103</v>
      </c>
      <c r="C28" s="515" t="s">
        <v>140</v>
      </c>
      <c r="D28" s="515"/>
      <c r="E28" s="42">
        <v>50.49</v>
      </c>
      <c r="F28" s="196">
        <v>700</v>
      </c>
      <c r="G28" s="186">
        <f t="shared" si="19"/>
        <v>35343</v>
      </c>
      <c r="H28" s="125">
        <v>2</v>
      </c>
      <c r="I28" s="194">
        <v>15</v>
      </c>
      <c r="J28" s="37">
        <v>2000</v>
      </c>
      <c r="K28" s="17">
        <f t="shared" si="1"/>
        <v>133.33333333333334</v>
      </c>
      <c r="L28" s="194">
        <v>15</v>
      </c>
      <c r="M28" s="18">
        <f t="shared" si="20"/>
        <v>1909.0909090909158</v>
      </c>
      <c r="N28" s="17">
        <f t="shared" si="3"/>
        <v>127.27272727272772</v>
      </c>
      <c r="O28" s="19">
        <f t="shared" si="4"/>
        <v>0</v>
      </c>
      <c r="P28" s="20">
        <f t="shared" si="5"/>
        <v>-6.0606060606056218</v>
      </c>
      <c r="Q28" s="185">
        <f t="shared" si="6"/>
        <v>0.95454545454545781</v>
      </c>
      <c r="R28" s="489"/>
      <c r="S28" s="40">
        <v>0.70833333333333337</v>
      </c>
      <c r="T28" s="40">
        <v>0.72361111111111109</v>
      </c>
      <c r="U28" s="186" t="str">
        <f t="shared" si="22"/>
        <v/>
      </c>
      <c r="V28" s="195">
        <f t="shared" si="21"/>
        <v>21.999999999999922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-90.909090909084171</v>
      </c>
      <c r="AF28" s="185">
        <f t="shared" si="9"/>
        <v>0.95454545454545792</v>
      </c>
      <c r="AG28" s="489"/>
    </row>
    <row r="29" spans="1:33" ht="15.75" customHeight="1">
      <c r="A29" s="520" t="s">
        <v>1059</v>
      </c>
      <c r="B29" s="42" t="s">
        <v>103</v>
      </c>
      <c r="C29" s="515" t="s">
        <v>141</v>
      </c>
      <c r="D29" s="515"/>
      <c r="E29" s="42">
        <v>57.73</v>
      </c>
      <c r="F29" s="196">
        <v>1301</v>
      </c>
      <c r="G29" s="186">
        <f t="shared" si="19"/>
        <v>75106.73</v>
      </c>
      <c r="H29" s="125" t="s">
        <v>79</v>
      </c>
      <c r="I29" s="194">
        <v>16</v>
      </c>
      <c r="J29" s="37">
        <v>1500</v>
      </c>
      <c r="K29" s="17">
        <f t="shared" si="1"/>
        <v>93.75</v>
      </c>
      <c r="L29" s="194">
        <v>16</v>
      </c>
      <c r="M29" s="18">
        <f t="shared" si="20"/>
        <v>1445.5555555555563</v>
      </c>
      <c r="N29" s="17">
        <f t="shared" si="3"/>
        <v>90.347222222222271</v>
      </c>
      <c r="O29" s="19">
        <f t="shared" si="4"/>
        <v>0</v>
      </c>
      <c r="P29" s="20">
        <f t="shared" si="5"/>
        <v>-3.4027777777777288</v>
      </c>
      <c r="Q29" s="185">
        <f t="shared" si="6"/>
        <v>0.96370370370370417</v>
      </c>
      <c r="R29" s="489"/>
      <c r="S29" s="40">
        <v>0.72847222222222219</v>
      </c>
      <c r="T29" s="40">
        <v>0.76597222222222217</v>
      </c>
      <c r="U29" s="186">
        <f t="shared" si="22"/>
        <v>6.9999999999999751</v>
      </c>
      <c r="V29" s="195">
        <f t="shared" si="21"/>
        <v>53.999999999999972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-54.444444444443661</v>
      </c>
      <c r="AF29" s="185">
        <f t="shared" si="9"/>
        <v>0.96370370370370417</v>
      </c>
      <c r="AG29" s="489"/>
    </row>
    <row r="30" spans="1:33" ht="15.75" customHeight="1">
      <c r="A30" s="520" t="s">
        <v>1059</v>
      </c>
      <c r="B30" s="42" t="s">
        <v>103</v>
      </c>
      <c r="C30" s="521" t="s">
        <v>108</v>
      </c>
      <c r="D30" s="522"/>
      <c r="E30" s="42">
        <v>54.29</v>
      </c>
      <c r="F30" s="196">
        <v>800</v>
      </c>
      <c r="G30" s="186">
        <f t="shared" si="19"/>
        <v>43432</v>
      </c>
      <c r="H30" s="125">
        <v>2</v>
      </c>
      <c r="I30" s="194">
        <v>20</v>
      </c>
      <c r="J30" s="37">
        <v>2000</v>
      </c>
      <c r="K30" s="17">
        <f t="shared" si="1"/>
        <v>100</v>
      </c>
      <c r="L30" s="194">
        <v>20</v>
      </c>
      <c r="M30" s="18">
        <f t="shared" si="20"/>
        <v>1919.9999999999945</v>
      </c>
      <c r="N30" s="17">
        <f t="shared" si="3"/>
        <v>95.99999999999973</v>
      </c>
      <c r="O30" s="19">
        <f t="shared" si="4"/>
        <v>0</v>
      </c>
      <c r="P30" s="20">
        <f t="shared" si="5"/>
        <v>-4.00000000000027</v>
      </c>
      <c r="Q30" s="185">
        <f t="shared" si="6"/>
        <v>0.9599999999999973</v>
      </c>
      <c r="R30" s="489"/>
      <c r="S30" s="40">
        <v>0.76944444444444438</v>
      </c>
      <c r="T30" s="40">
        <v>0.78680555555555554</v>
      </c>
      <c r="U30" s="186">
        <f t="shared" si="22"/>
        <v>4.9999999999999822</v>
      </c>
      <c r="V30" s="195">
        <f t="shared" si="21"/>
        <v>25.000000000000071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-80.000000000005457</v>
      </c>
      <c r="AF30" s="185">
        <f t="shared" si="9"/>
        <v>0.9599999999999973</v>
      </c>
      <c r="AG30" s="489"/>
    </row>
    <row r="31" spans="1:33" ht="15.75" customHeight="1">
      <c r="A31" s="520" t="s">
        <v>1059</v>
      </c>
      <c r="B31" s="42" t="s">
        <v>103</v>
      </c>
      <c r="C31" s="521" t="s">
        <v>142</v>
      </c>
      <c r="D31" s="522"/>
      <c r="E31" s="42">
        <v>53.68</v>
      </c>
      <c r="F31" s="196">
        <v>2294</v>
      </c>
      <c r="G31" s="186">
        <f t="shared" si="19"/>
        <v>123141.92</v>
      </c>
      <c r="H31" s="125" t="s">
        <v>79</v>
      </c>
      <c r="I31" s="194">
        <v>16</v>
      </c>
      <c r="J31" s="37">
        <v>1500</v>
      </c>
      <c r="K31" s="17">
        <f t="shared" si="1"/>
        <v>93.75</v>
      </c>
      <c r="L31" s="194">
        <v>16</v>
      </c>
      <c r="M31" s="18">
        <f t="shared" si="20"/>
        <v>1433.7500000000005</v>
      </c>
      <c r="N31" s="17">
        <f t="shared" si="3"/>
        <v>89.609375000000028</v>
      </c>
      <c r="O31" s="19">
        <f t="shared" si="4"/>
        <v>0</v>
      </c>
      <c r="P31" s="20">
        <f t="shared" si="5"/>
        <v>-4.1406249999999716</v>
      </c>
      <c r="Q31" s="185">
        <f t="shared" si="6"/>
        <v>0.95583333333333365</v>
      </c>
      <c r="R31" s="489"/>
      <c r="S31" s="40">
        <v>0.79097222222222219</v>
      </c>
      <c r="T31" s="40">
        <v>0.85763888888888884</v>
      </c>
      <c r="U31" s="186">
        <f t="shared" si="22"/>
        <v>5.9999999999999787</v>
      </c>
      <c r="V31" s="195">
        <f t="shared" si="21"/>
        <v>95.999999999999972</v>
      </c>
      <c r="W31" s="23">
        <f>T31</f>
        <v>0.85763888888888884</v>
      </c>
      <c r="X31" s="23">
        <f>S32</f>
        <v>0.89583333333333326</v>
      </c>
      <c r="Y31" s="26"/>
      <c r="Z31" s="26"/>
      <c r="AA31" s="503"/>
      <c r="AB31" s="504"/>
      <c r="AC31" s="154"/>
      <c r="AD31" s="25"/>
      <c r="AE31" s="19">
        <f t="shared" si="8"/>
        <v>-66.249999999999545</v>
      </c>
      <c r="AF31" s="185">
        <f t="shared" si="9"/>
        <v>0.95583333333333365</v>
      </c>
      <c r="AG31" s="489"/>
    </row>
    <row r="32" spans="1:33" ht="15.75" customHeight="1">
      <c r="A32" s="520" t="s">
        <v>1060</v>
      </c>
      <c r="B32" s="42" t="s">
        <v>103</v>
      </c>
      <c r="C32" s="521" t="s">
        <v>140</v>
      </c>
      <c r="D32" s="522"/>
      <c r="E32" s="42">
        <v>50.49</v>
      </c>
      <c r="F32" s="196">
        <v>1606</v>
      </c>
      <c r="G32" s="186">
        <f t="shared" si="19"/>
        <v>81086.94</v>
      </c>
      <c r="H32" s="125" t="s">
        <v>79</v>
      </c>
      <c r="I32" s="194">
        <v>15</v>
      </c>
      <c r="J32" s="37">
        <v>2000</v>
      </c>
      <c r="K32" s="17">
        <f t="shared" si="1"/>
        <v>133.33333333333334</v>
      </c>
      <c r="L32" s="194">
        <v>15</v>
      </c>
      <c r="M32" s="18">
        <f t="shared" si="20"/>
        <v>1927.2000000000007</v>
      </c>
      <c r="N32" s="17">
        <f t="shared" si="3"/>
        <v>128.48000000000005</v>
      </c>
      <c r="O32" s="19">
        <f t="shared" si="4"/>
        <v>0</v>
      </c>
      <c r="P32" s="20">
        <f t="shared" si="5"/>
        <v>-4.8533333333332962</v>
      </c>
      <c r="Q32" s="185">
        <f t="shared" si="6"/>
        <v>0.96360000000000023</v>
      </c>
      <c r="R32" s="489"/>
      <c r="S32" s="40">
        <v>0.89583333333333326</v>
      </c>
      <c r="T32" s="40">
        <v>0.93055555555555547</v>
      </c>
      <c r="U32" s="186">
        <f t="shared" si="22"/>
        <v>54.999999999999964</v>
      </c>
      <c r="V32" s="195">
        <f t="shared" si="21"/>
        <v>49.999999999999986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-72.799999999999272</v>
      </c>
      <c r="AF32" s="185">
        <f t="shared" si="9"/>
        <v>0.96360000000000035</v>
      </c>
      <c r="AG32" s="489"/>
    </row>
    <row r="33" spans="1:33" ht="15.75" customHeight="1">
      <c r="A33" s="520" t="s">
        <v>307</v>
      </c>
      <c r="B33" s="42" t="s">
        <v>103</v>
      </c>
      <c r="C33" s="521" t="s">
        <v>108</v>
      </c>
      <c r="D33" s="522"/>
      <c r="E33" s="42">
        <v>54.29</v>
      </c>
      <c r="F33" s="196">
        <v>2307</v>
      </c>
      <c r="G33" s="186">
        <f t="shared" si="19"/>
        <v>125247.03</v>
      </c>
      <c r="H33" s="125" t="s">
        <v>79</v>
      </c>
      <c r="I33" s="194">
        <v>20</v>
      </c>
      <c r="J33" s="37">
        <v>2000</v>
      </c>
      <c r="K33" s="17">
        <f t="shared" si="1"/>
        <v>100</v>
      </c>
      <c r="L33" s="194">
        <v>20</v>
      </c>
      <c r="M33" s="18">
        <f t="shared" si="20"/>
        <v>1922.4999999999986</v>
      </c>
      <c r="N33" s="17">
        <f t="shared" si="3"/>
        <v>96.124999999999929</v>
      </c>
      <c r="O33" s="19">
        <f t="shared" si="4"/>
        <v>0</v>
      </c>
      <c r="P33" s="20">
        <f t="shared" si="5"/>
        <v>-3.8750000000000711</v>
      </c>
      <c r="Q33" s="185">
        <f t="shared" si="6"/>
        <v>0.96124999999999927</v>
      </c>
      <c r="R33" s="489"/>
      <c r="S33" s="40">
        <v>0.93541666666666656</v>
      </c>
      <c r="T33" s="40">
        <v>0.98541666666666661</v>
      </c>
      <c r="U33" s="186">
        <f t="shared" si="22"/>
        <v>6.9999999999999751</v>
      </c>
      <c r="V33" s="195">
        <f t="shared" si="21"/>
        <v>72.000000000000057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-77.500000000001364</v>
      </c>
      <c r="AF33" s="185">
        <f t="shared" si="9"/>
        <v>0.96124999999999927</v>
      </c>
      <c r="AG33" s="489"/>
    </row>
    <row r="34" spans="1:33" ht="15.75" customHeight="1">
      <c r="A34" s="520" t="s">
        <v>307</v>
      </c>
      <c r="B34" s="42" t="s">
        <v>299</v>
      </c>
      <c r="C34" s="494"/>
      <c r="D34" s="494"/>
      <c r="E34" s="188"/>
      <c r="F34" s="196"/>
      <c r="G34" s="186"/>
      <c r="H34" s="196"/>
      <c r="I34" s="30">
        <v>16.636363636363637</v>
      </c>
      <c r="J34" s="37">
        <v>1909.090909090909</v>
      </c>
      <c r="K34" s="17">
        <f t="shared" si="1"/>
        <v>114.75409836065573</v>
      </c>
      <c r="L34" s="30">
        <v>16.636363636363637</v>
      </c>
      <c r="M34" s="18">
        <f>AVERAGE(M23:M33)</f>
        <v>1836.4709891118982</v>
      </c>
      <c r="N34" s="17">
        <f t="shared" si="3"/>
        <v>110.38896655863869</v>
      </c>
      <c r="O34" s="19">
        <f t="shared" si="4"/>
        <v>0</v>
      </c>
      <c r="P34" s="20">
        <f t="shared" si="5"/>
        <v>-4.3651318020170464</v>
      </c>
      <c r="Q34" s="185">
        <f t="shared" si="6"/>
        <v>0.96196099429670856</v>
      </c>
      <c r="R34" s="489"/>
      <c r="S34" s="40"/>
      <c r="T34" s="40"/>
      <c r="U34" s="17"/>
      <c r="V34" s="195"/>
      <c r="W34" s="17"/>
      <c r="X34" s="17"/>
      <c r="Y34" s="31">
        <f>SUM(Y23:Y33)</f>
        <v>0</v>
      </c>
      <c r="Z34" s="31">
        <f>SUM(Z23:Z33)</f>
        <v>0</v>
      </c>
      <c r="AA34" s="495"/>
      <c r="AB34" s="495"/>
      <c r="AC34" s="31">
        <f>SUM(AC23:AC33)</f>
        <v>5</v>
      </c>
      <c r="AD34" s="31">
        <f>SUM(AD23:AD33)</f>
        <v>0</v>
      </c>
      <c r="AE34" s="19">
        <f t="shared" si="8"/>
        <v>-72.619919979010774</v>
      </c>
      <c r="AF34" s="185">
        <f t="shared" si="9"/>
        <v>0.96196099429670867</v>
      </c>
      <c r="AG34" s="489"/>
    </row>
    <row r="35" spans="1:33" ht="15.75" customHeight="1">
      <c r="A35" s="518" t="s">
        <v>1061</v>
      </c>
      <c r="B35" s="42" t="s">
        <v>80</v>
      </c>
      <c r="C35" s="515" t="s">
        <v>81</v>
      </c>
      <c r="D35" s="515"/>
      <c r="E35" s="42">
        <v>31.29</v>
      </c>
      <c r="F35" s="196">
        <v>4000</v>
      </c>
      <c r="G35" s="186">
        <f t="shared" ref="G35:G41" si="23">E35*F35</f>
        <v>125160</v>
      </c>
      <c r="H35" s="125">
        <v>2</v>
      </c>
      <c r="I35" s="194">
        <v>18</v>
      </c>
      <c r="J35" s="37">
        <v>2400</v>
      </c>
      <c r="K35" s="17">
        <f t="shared" si="1"/>
        <v>133.33333333333334</v>
      </c>
      <c r="L35" s="194">
        <v>18</v>
      </c>
      <c r="M35" s="18">
        <f t="shared" ref="M35:M41" si="24">F35/V35*60</f>
        <v>2285.7142857142858</v>
      </c>
      <c r="N35" s="17">
        <f t="shared" si="3"/>
        <v>126.98412698412699</v>
      </c>
      <c r="O35" s="19">
        <f t="shared" si="4"/>
        <v>0</v>
      </c>
      <c r="P35" s="20">
        <f t="shared" si="5"/>
        <v>-6.3492063492063551</v>
      </c>
      <c r="Q35" s="185">
        <f t="shared" si="6"/>
        <v>0.95238095238095233</v>
      </c>
      <c r="R35" s="489">
        <f>Q42</f>
        <v>0.95685527071820597</v>
      </c>
      <c r="S35" s="40">
        <v>8.3333333333333329E-2</v>
      </c>
      <c r="T35" s="40">
        <v>0.15625</v>
      </c>
      <c r="U35" s="186"/>
      <c r="V35" s="195">
        <f t="shared" ref="V35:V41" si="25">(T35-S35)*24*60</f>
        <v>105</v>
      </c>
      <c r="W35" s="23">
        <f>T35</f>
        <v>0.15625</v>
      </c>
      <c r="X35" s="23">
        <f>S36</f>
        <v>0.17708333333333334</v>
      </c>
      <c r="Y35" s="23"/>
      <c r="Z35" s="23"/>
      <c r="AA35" s="491"/>
      <c r="AB35" s="491"/>
      <c r="AC35" s="154">
        <v>9</v>
      </c>
      <c r="AD35" s="25"/>
      <c r="AE35" s="19">
        <f t="shared" si="8"/>
        <v>-114.28571428571422</v>
      </c>
      <c r="AF35" s="185">
        <f t="shared" si="9"/>
        <v>0.95238095238095244</v>
      </c>
      <c r="AG35" s="489">
        <f>AF42</f>
        <v>0.95685527071820597</v>
      </c>
    </row>
    <row r="36" spans="1:33" ht="15.75" customHeight="1">
      <c r="A36" s="518" t="s">
        <v>1061</v>
      </c>
      <c r="B36" s="42" t="s">
        <v>80</v>
      </c>
      <c r="C36" s="515" t="s">
        <v>82</v>
      </c>
      <c r="D36" s="515"/>
      <c r="E36" s="42">
        <v>26.2</v>
      </c>
      <c r="F36" s="196">
        <v>3100</v>
      </c>
      <c r="G36" s="186">
        <f t="shared" si="23"/>
        <v>81220</v>
      </c>
      <c r="H36" s="125">
        <v>2</v>
      </c>
      <c r="I36" s="194">
        <v>20</v>
      </c>
      <c r="J36" s="37">
        <v>2400</v>
      </c>
      <c r="K36" s="17">
        <f t="shared" si="1"/>
        <v>120</v>
      </c>
      <c r="L36" s="194">
        <v>20</v>
      </c>
      <c r="M36" s="18">
        <f t="shared" si="24"/>
        <v>2296.296296296297</v>
      </c>
      <c r="N36" s="17">
        <f t="shared" si="3"/>
        <v>114.81481481481485</v>
      </c>
      <c r="O36" s="19">
        <f t="shared" si="4"/>
        <v>0</v>
      </c>
      <c r="P36" s="20">
        <f t="shared" si="5"/>
        <v>-5.1851851851851478</v>
      </c>
      <c r="Q36" s="185">
        <f t="shared" si="6"/>
        <v>0.95679012345679049</v>
      </c>
      <c r="R36" s="489"/>
      <c r="S36" s="40">
        <v>0.17708333333333334</v>
      </c>
      <c r="T36" s="40">
        <v>0.23333333333333334</v>
      </c>
      <c r="U36" s="186">
        <f t="shared" ref="U36:U41" si="26">(S36-T35)*24*60</f>
        <v>30.000000000000014</v>
      </c>
      <c r="V36" s="195">
        <f t="shared" si="25"/>
        <v>80.999999999999986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-103.70370370370301</v>
      </c>
      <c r="AF36" s="185">
        <f t="shared" si="9"/>
        <v>0.95679012345679038</v>
      </c>
      <c r="AG36" s="489"/>
    </row>
    <row r="37" spans="1:33" ht="15.75" customHeight="1">
      <c r="A37" s="518" t="s">
        <v>1061</v>
      </c>
      <c r="B37" s="42" t="s">
        <v>80</v>
      </c>
      <c r="C37" s="515" t="s">
        <v>83</v>
      </c>
      <c r="D37" s="515"/>
      <c r="E37" s="42">
        <v>25.99</v>
      </c>
      <c r="F37" s="196">
        <v>4834</v>
      </c>
      <c r="G37" s="186">
        <f t="shared" si="23"/>
        <v>125635.65999999999</v>
      </c>
      <c r="H37" s="125" t="s">
        <v>79</v>
      </c>
      <c r="I37" s="194">
        <v>14</v>
      </c>
      <c r="J37" s="37">
        <v>2400</v>
      </c>
      <c r="K37" s="17">
        <f t="shared" si="1"/>
        <v>171.42857142857142</v>
      </c>
      <c r="L37" s="194">
        <v>14</v>
      </c>
      <c r="M37" s="18">
        <f t="shared" si="24"/>
        <v>2301.9047619047624</v>
      </c>
      <c r="N37" s="17">
        <f t="shared" si="3"/>
        <v>164.42176870748304</v>
      </c>
      <c r="O37" s="19">
        <f t="shared" si="4"/>
        <v>0</v>
      </c>
      <c r="P37" s="20">
        <f t="shared" si="5"/>
        <v>-7.006802721088377</v>
      </c>
      <c r="Q37" s="185">
        <f t="shared" si="6"/>
        <v>0.95912698412698449</v>
      </c>
      <c r="R37" s="489"/>
      <c r="S37" s="40">
        <v>0.23750000000000002</v>
      </c>
      <c r="T37" s="40">
        <v>0.32500000000000001</v>
      </c>
      <c r="U37" s="186">
        <f t="shared" si="26"/>
        <v>6.0000000000000187</v>
      </c>
      <c r="V37" s="195">
        <f t="shared" si="25"/>
        <v>125.99999999999997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-98.095238095237619</v>
      </c>
      <c r="AF37" s="185">
        <f t="shared" si="9"/>
        <v>0.95912698412698427</v>
      </c>
      <c r="AG37" s="489"/>
    </row>
    <row r="38" spans="1:33" ht="15.75" customHeight="1">
      <c r="A38" s="518" t="s">
        <v>310</v>
      </c>
      <c r="B38" s="42" t="s">
        <v>80</v>
      </c>
      <c r="C38" s="515" t="s">
        <v>84</v>
      </c>
      <c r="D38" s="515"/>
      <c r="E38" s="42">
        <v>20.52</v>
      </c>
      <c r="F38" s="196">
        <v>4886</v>
      </c>
      <c r="G38" s="186">
        <f t="shared" si="23"/>
        <v>100260.72</v>
      </c>
      <c r="H38" s="125" t="s">
        <v>79</v>
      </c>
      <c r="I38" s="194">
        <v>18</v>
      </c>
      <c r="J38" s="37">
        <v>2400</v>
      </c>
      <c r="K38" s="17">
        <f t="shared" si="1"/>
        <v>133.33333333333334</v>
      </c>
      <c r="L38" s="194">
        <v>18</v>
      </c>
      <c r="M38" s="18">
        <f t="shared" si="24"/>
        <v>2290.3124999999995</v>
      </c>
      <c r="N38" s="17">
        <f t="shared" si="3"/>
        <v>127.23958333333331</v>
      </c>
      <c r="O38" s="19">
        <f t="shared" si="4"/>
        <v>0</v>
      </c>
      <c r="P38" s="20">
        <f t="shared" si="5"/>
        <v>-6.0937500000000284</v>
      </c>
      <c r="Q38" s="185">
        <f t="shared" si="6"/>
        <v>0.95429687499999982</v>
      </c>
      <c r="R38" s="489"/>
      <c r="S38" s="40">
        <v>0.3298611111111111</v>
      </c>
      <c r="T38" s="40">
        <v>0.41875000000000001</v>
      </c>
      <c r="U38" s="186">
        <f t="shared" si="26"/>
        <v>6.9999999999999751</v>
      </c>
      <c r="V38" s="195">
        <f t="shared" si="25"/>
        <v>128.00000000000003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-109.68750000000045</v>
      </c>
      <c r="AF38" s="185">
        <f t="shared" si="9"/>
        <v>0.95429687499999982</v>
      </c>
      <c r="AG38" s="489"/>
    </row>
    <row r="39" spans="1:33" ht="15.75" customHeight="1">
      <c r="A39" s="518" t="s">
        <v>310</v>
      </c>
      <c r="B39" s="42" t="s">
        <v>80</v>
      </c>
      <c r="C39" s="515" t="s">
        <v>85</v>
      </c>
      <c r="D39" s="515"/>
      <c r="E39" s="42">
        <v>25.98</v>
      </c>
      <c r="F39" s="196">
        <v>3768</v>
      </c>
      <c r="G39" s="186">
        <f t="shared" si="23"/>
        <v>97892.64</v>
      </c>
      <c r="H39" s="125" t="s">
        <v>79</v>
      </c>
      <c r="I39" s="194">
        <v>21</v>
      </c>
      <c r="J39" s="37">
        <v>2400</v>
      </c>
      <c r="K39" s="17">
        <f t="shared" si="1"/>
        <v>114.28571428571429</v>
      </c>
      <c r="L39" s="194">
        <v>21</v>
      </c>
      <c r="M39" s="18">
        <f t="shared" si="24"/>
        <v>2306.9387755102048</v>
      </c>
      <c r="N39" s="17">
        <f t="shared" si="3"/>
        <v>109.85422740524784</v>
      </c>
      <c r="O39" s="19">
        <f t="shared" si="4"/>
        <v>0</v>
      </c>
      <c r="P39" s="20">
        <f t="shared" si="5"/>
        <v>-4.4314868804664513</v>
      </c>
      <c r="Q39" s="185">
        <f t="shared" si="6"/>
        <v>0.96122448979591857</v>
      </c>
      <c r="R39" s="489"/>
      <c r="S39" s="40">
        <v>0.42291666666666666</v>
      </c>
      <c r="T39" s="40">
        <v>0.4909722222222222</v>
      </c>
      <c r="U39" s="186">
        <f t="shared" si="26"/>
        <v>5.9999999999999787</v>
      </c>
      <c r="V39" s="195">
        <f t="shared" si="25"/>
        <v>97.999999999999972</v>
      </c>
      <c r="W39" s="23">
        <f>T39</f>
        <v>0.4909722222222222</v>
      </c>
      <c r="X39" s="23">
        <f>S40</f>
        <v>0.53125</v>
      </c>
      <c r="Y39" s="23"/>
      <c r="Z39" s="23"/>
      <c r="AA39" s="491"/>
      <c r="AB39" s="491"/>
      <c r="AC39" s="154"/>
      <c r="AD39" s="25"/>
      <c r="AE39" s="19">
        <f t="shared" si="8"/>
        <v>-93.061224489795222</v>
      </c>
      <c r="AF39" s="185">
        <f t="shared" si="9"/>
        <v>0.96122448979591868</v>
      </c>
      <c r="AG39" s="489"/>
    </row>
    <row r="40" spans="1:33" ht="15.75" customHeight="1">
      <c r="A40" s="518" t="s">
        <v>310</v>
      </c>
      <c r="B40" s="42" t="s">
        <v>80</v>
      </c>
      <c r="C40" s="515" t="s">
        <v>81</v>
      </c>
      <c r="D40" s="515"/>
      <c r="E40" s="42">
        <v>31.29</v>
      </c>
      <c r="F40" s="196">
        <v>5838</v>
      </c>
      <c r="G40" s="186">
        <f t="shared" si="23"/>
        <v>182671.02</v>
      </c>
      <c r="H40" s="125" t="s">
        <v>79</v>
      </c>
      <c r="I40" s="194">
        <v>18</v>
      </c>
      <c r="J40" s="37">
        <v>2400</v>
      </c>
      <c r="K40" s="17">
        <f t="shared" si="1"/>
        <v>133.33333333333334</v>
      </c>
      <c r="L40" s="194">
        <v>18</v>
      </c>
      <c r="M40" s="18">
        <f t="shared" si="24"/>
        <v>2289.4117647058833</v>
      </c>
      <c r="N40" s="17">
        <f t="shared" si="3"/>
        <v>127.18954248366019</v>
      </c>
      <c r="O40" s="19">
        <f t="shared" si="4"/>
        <v>0</v>
      </c>
      <c r="P40" s="20">
        <f t="shared" si="5"/>
        <v>-6.1437908496731524</v>
      </c>
      <c r="Q40" s="185">
        <f t="shared" si="6"/>
        <v>0.95392156862745137</v>
      </c>
      <c r="R40" s="489"/>
      <c r="S40" s="40">
        <v>0.53125</v>
      </c>
      <c r="T40" s="40">
        <v>0.63749999999999996</v>
      </c>
      <c r="U40" s="186">
        <f t="shared" si="26"/>
        <v>58.000000000000036</v>
      </c>
      <c r="V40" s="195">
        <f t="shared" si="25"/>
        <v>152.99999999999994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-110.58823529411666</v>
      </c>
      <c r="AF40" s="185">
        <f t="shared" si="9"/>
        <v>0.95392156862745137</v>
      </c>
      <c r="AG40" s="489"/>
    </row>
    <row r="41" spans="1:33" ht="15.75" customHeight="1">
      <c r="A41" s="518" t="s">
        <v>1061</v>
      </c>
      <c r="B41" s="42" t="s">
        <v>80</v>
      </c>
      <c r="C41" s="515" t="s">
        <v>82</v>
      </c>
      <c r="D41" s="515"/>
      <c r="E41" s="42">
        <v>26.2</v>
      </c>
      <c r="F41" s="196">
        <v>2343</v>
      </c>
      <c r="G41" s="186">
        <f t="shared" si="23"/>
        <v>61386.6</v>
      </c>
      <c r="H41" s="125" t="s">
        <v>79</v>
      </c>
      <c r="I41" s="194">
        <v>20</v>
      </c>
      <c r="J41" s="37">
        <v>2400</v>
      </c>
      <c r="K41" s="17">
        <f t="shared" si="1"/>
        <v>120</v>
      </c>
      <c r="L41" s="194">
        <v>20</v>
      </c>
      <c r="M41" s="18">
        <f t="shared" si="24"/>
        <v>2304.5901639344283</v>
      </c>
      <c r="N41" s="17">
        <f t="shared" si="3"/>
        <v>115.22950819672141</v>
      </c>
      <c r="O41" s="19">
        <f t="shared" si="4"/>
        <v>0</v>
      </c>
      <c r="P41" s="20">
        <f t="shared" si="5"/>
        <v>-4.7704918032785883</v>
      </c>
      <c r="Q41" s="185">
        <f t="shared" si="6"/>
        <v>0.96024590163934509</v>
      </c>
      <c r="R41" s="489"/>
      <c r="S41" s="40">
        <v>0.64305555555555549</v>
      </c>
      <c r="T41" s="40">
        <v>0.68541666666666656</v>
      </c>
      <c r="U41" s="186">
        <f t="shared" si="26"/>
        <v>7.9999999999999716</v>
      </c>
      <c r="V41" s="195">
        <f t="shared" si="25"/>
        <v>60.999999999999943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-95.409836065571653</v>
      </c>
      <c r="AF41" s="185">
        <f t="shared" si="9"/>
        <v>0.96024590163934509</v>
      </c>
      <c r="AG41" s="489"/>
    </row>
    <row r="42" spans="1:33" ht="15.75" customHeight="1">
      <c r="A42" s="518" t="s">
        <v>310</v>
      </c>
      <c r="B42" s="42" t="s">
        <v>1053</v>
      </c>
      <c r="C42" s="494"/>
      <c r="D42" s="494"/>
      <c r="E42" s="188"/>
      <c r="F42" s="196"/>
      <c r="G42" s="186"/>
      <c r="H42" s="196"/>
      <c r="I42" s="30">
        <v>18.428571428571427</v>
      </c>
      <c r="J42" s="37">
        <v>2400</v>
      </c>
      <c r="K42" s="17">
        <f t="shared" si="1"/>
        <v>130.23255813953489</v>
      </c>
      <c r="L42" s="30">
        <v>18.428571428571427</v>
      </c>
      <c r="M42" s="18">
        <f>AVERAGE(M35:M41)</f>
        <v>2296.4526497236943</v>
      </c>
      <c r="N42" s="17">
        <f t="shared" si="3"/>
        <v>124.61370967492915</v>
      </c>
      <c r="O42" s="19">
        <f t="shared" si="4"/>
        <v>0</v>
      </c>
      <c r="P42" s="20">
        <f t="shared" si="5"/>
        <v>-5.6188484646057333</v>
      </c>
      <c r="Q42" s="185">
        <f t="shared" si="6"/>
        <v>0.95685527071820597</v>
      </c>
      <c r="R42" s="489"/>
      <c r="S42" s="40"/>
      <c r="T42" s="40"/>
      <c r="U42" s="186"/>
      <c r="V42" s="195"/>
      <c r="W42" s="186"/>
      <c r="X42" s="186"/>
      <c r="Y42" s="31">
        <f>SUM(Y35:Y41)</f>
        <v>0</v>
      </c>
      <c r="Z42" s="31">
        <f>SUM(Z35:Z41)</f>
        <v>0</v>
      </c>
      <c r="AA42" s="495"/>
      <c r="AB42" s="495"/>
      <c r="AC42" s="31">
        <f>SUM(AC35:AC41)</f>
        <v>9</v>
      </c>
      <c r="AD42" s="31">
        <f>SUM(AD35:AD41)</f>
        <v>0</v>
      </c>
      <c r="AE42" s="19">
        <f t="shared" si="8"/>
        <v>-103.54735027630568</v>
      </c>
      <c r="AF42" s="185">
        <f t="shared" si="9"/>
        <v>0.95685527071820597</v>
      </c>
      <c r="AG42" s="489"/>
    </row>
    <row r="43" spans="1:33" ht="15.75" customHeight="1">
      <c r="A43" s="516" t="s">
        <v>1062</v>
      </c>
      <c r="B43" s="42" t="s">
        <v>80</v>
      </c>
      <c r="C43" s="490" t="s">
        <v>86</v>
      </c>
      <c r="D43" s="490"/>
      <c r="E43" s="42">
        <v>22.69</v>
      </c>
      <c r="F43" s="196">
        <v>695</v>
      </c>
      <c r="G43" s="186">
        <f t="shared" ref="G43:G50" si="27">E43*F43</f>
        <v>15769.550000000001</v>
      </c>
      <c r="H43" s="125" t="s">
        <v>79</v>
      </c>
      <c r="I43" s="194">
        <v>15</v>
      </c>
      <c r="J43" s="37">
        <v>2400</v>
      </c>
      <c r="K43" s="17">
        <f t="shared" si="1"/>
        <v>160</v>
      </c>
      <c r="L43" s="194">
        <v>15</v>
      </c>
      <c r="M43" s="18">
        <f t="shared" ref="M43:M50" si="28">F43/V43*60</f>
        <v>2316.6666666666674</v>
      </c>
      <c r="N43" s="17">
        <f t="shared" si="3"/>
        <v>154.44444444444449</v>
      </c>
      <c r="O43" s="19">
        <f t="shared" si="4"/>
        <v>0</v>
      </c>
      <c r="P43" s="20">
        <f t="shared" si="5"/>
        <v>-5.5555555555555145</v>
      </c>
      <c r="Q43" s="185">
        <f t="shared" si="6"/>
        <v>0.96527777777777801</v>
      </c>
      <c r="R43" s="489">
        <f>Q51</f>
        <v>0.96182202435275643</v>
      </c>
      <c r="S43" s="40">
        <v>8.3333333333333329E-2</v>
      </c>
      <c r="T43" s="40">
        <v>9.5833333333333326E-2</v>
      </c>
      <c r="U43" s="186"/>
      <c r="V43" s="195">
        <f t="shared" ref="V43:V50" si="29">(T43-S43)*24*60</f>
        <v>17.999999999999996</v>
      </c>
      <c r="W43" s="28">
        <f>T43</f>
        <v>9.5833333333333326E-2</v>
      </c>
      <c r="X43" s="28">
        <f>S44</f>
        <v>0.11388888888888889</v>
      </c>
      <c r="Y43" s="28"/>
      <c r="Z43" s="28"/>
      <c r="AA43" s="491"/>
      <c r="AB43" s="491"/>
      <c r="AC43" s="154">
        <v>7</v>
      </c>
      <c r="AD43" s="25"/>
      <c r="AE43" s="19">
        <f t="shared" si="8"/>
        <v>-83.333333333332575</v>
      </c>
      <c r="AF43" s="185">
        <f t="shared" si="9"/>
        <v>0.96527777777777812</v>
      </c>
      <c r="AG43" s="489">
        <f>AF51</f>
        <v>0.96182202435275632</v>
      </c>
    </row>
    <row r="44" spans="1:33" ht="15.75" customHeight="1">
      <c r="A44" s="516" t="s">
        <v>314</v>
      </c>
      <c r="B44" s="42" t="s">
        <v>80</v>
      </c>
      <c r="C44" s="490" t="s">
        <v>87</v>
      </c>
      <c r="D44" s="490"/>
      <c r="E44" s="42">
        <v>26.2</v>
      </c>
      <c r="F44" s="196">
        <v>2600</v>
      </c>
      <c r="G44" s="186">
        <f t="shared" si="27"/>
        <v>68120</v>
      </c>
      <c r="H44" s="125">
        <v>2</v>
      </c>
      <c r="I44" s="194">
        <v>18</v>
      </c>
      <c r="J44" s="37">
        <v>2400</v>
      </c>
      <c r="K44" s="17">
        <f t="shared" si="1"/>
        <v>133.33333333333334</v>
      </c>
      <c r="L44" s="194">
        <v>18</v>
      </c>
      <c r="M44" s="18">
        <f t="shared" si="28"/>
        <v>2294.1176470588243</v>
      </c>
      <c r="N44" s="17">
        <f t="shared" si="3"/>
        <v>127.45098039215691</v>
      </c>
      <c r="O44" s="19">
        <f t="shared" si="4"/>
        <v>0</v>
      </c>
      <c r="P44" s="20">
        <f t="shared" si="5"/>
        <v>-5.8823529411764355</v>
      </c>
      <c r="Q44" s="185">
        <f t="shared" si="6"/>
        <v>0.95588235294117674</v>
      </c>
      <c r="R44" s="489"/>
      <c r="S44" s="40">
        <v>0.11388888888888889</v>
      </c>
      <c r="T44" s="40">
        <v>0.16111111111111109</v>
      </c>
      <c r="U44" s="186">
        <f t="shared" ref="U44:U50" si="30">(S44-T43)*24*60</f>
        <v>26.000000000000007</v>
      </c>
      <c r="V44" s="195">
        <f t="shared" si="29"/>
        <v>67.999999999999972</v>
      </c>
      <c r="W44" s="186"/>
      <c r="X44" s="186"/>
      <c r="Y44" s="186"/>
      <c r="Z44" s="186"/>
      <c r="AA44" s="491"/>
      <c r="AB44" s="491"/>
      <c r="AC44" s="154"/>
      <c r="AD44" s="25"/>
      <c r="AE44" s="19">
        <f t="shared" si="8"/>
        <v>-105.88235294117567</v>
      </c>
      <c r="AF44" s="185">
        <f t="shared" si="9"/>
        <v>0.95588235294117685</v>
      </c>
      <c r="AG44" s="489"/>
    </row>
    <row r="45" spans="1:33">
      <c r="A45" s="517" t="s">
        <v>1063</v>
      </c>
      <c r="B45" s="42" t="s">
        <v>80</v>
      </c>
      <c r="C45" s="490" t="s">
        <v>88</v>
      </c>
      <c r="D45" s="490"/>
      <c r="E45" s="42">
        <v>26.18</v>
      </c>
      <c r="F45" s="196">
        <v>2605</v>
      </c>
      <c r="G45" s="186">
        <f t="shared" si="27"/>
        <v>68198.899999999994</v>
      </c>
      <c r="H45" s="125" t="s">
        <v>79</v>
      </c>
      <c r="I45" s="194">
        <v>19</v>
      </c>
      <c r="J45" s="37">
        <v>2400</v>
      </c>
      <c r="K45" s="17">
        <f t="shared" si="1"/>
        <v>126.31578947368421</v>
      </c>
      <c r="L45" s="194">
        <v>19</v>
      </c>
      <c r="M45" s="18">
        <f t="shared" si="28"/>
        <v>2298.5294117647063</v>
      </c>
      <c r="N45" s="17">
        <f t="shared" si="3"/>
        <v>120.97523219814244</v>
      </c>
      <c r="O45" s="19">
        <f t="shared" si="4"/>
        <v>0</v>
      </c>
      <c r="P45" s="20">
        <f t="shared" si="5"/>
        <v>-5.3405572755417694</v>
      </c>
      <c r="Q45" s="185">
        <f t="shared" si="6"/>
        <v>0.95772058823529438</v>
      </c>
      <c r="R45" s="489"/>
      <c r="S45" s="40">
        <v>0.16666666666666666</v>
      </c>
      <c r="T45" s="40">
        <v>0.21388888888888888</v>
      </c>
      <c r="U45" s="186">
        <f t="shared" si="30"/>
        <v>8.0000000000000107</v>
      </c>
      <c r="V45" s="195">
        <f t="shared" si="29"/>
        <v>68</v>
      </c>
      <c r="W45" s="186"/>
      <c r="X45" s="186"/>
      <c r="Y45" s="186"/>
      <c r="Z45" s="186"/>
      <c r="AA45" s="491"/>
      <c r="AB45" s="491"/>
      <c r="AC45" s="154"/>
      <c r="AD45" s="25"/>
      <c r="AE45" s="19">
        <f t="shared" si="8"/>
        <v>-101.47058823529369</v>
      </c>
      <c r="AF45" s="185">
        <f t="shared" si="9"/>
        <v>0.95772058823529427</v>
      </c>
      <c r="AG45" s="489"/>
    </row>
    <row r="46" spans="1:33">
      <c r="A46" s="517" t="s">
        <v>314</v>
      </c>
      <c r="B46" s="42" t="s">
        <v>80</v>
      </c>
      <c r="C46" s="490" t="s">
        <v>89</v>
      </c>
      <c r="D46" s="490"/>
      <c r="E46" s="42">
        <v>26.39</v>
      </c>
      <c r="F46" s="196">
        <v>6820</v>
      </c>
      <c r="G46" s="186">
        <f t="shared" si="27"/>
        <v>179979.80000000002</v>
      </c>
      <c r="H46" s="125" t="s">
        <v>79</v>
      </c>
      <c r="I46" s="194">
        <v>19</v>
      </c>
      <c r="J46" s="37">
        <v>2400</v>
      </c>
      <c r="K46" s="17">
        <f t="shared" si="1"/>
        <v>126.31578947368421</v>
      </c>
      <c r="L46" s="194">
        <v>19</v>
      </c>
      <c r="M46" s="18">
        <f t="shared" si="28"/>
        <v>2286.0335195530724</v>
      </c>
      <c r="N46" s="17">
        <f t="shared" si="3"/>
        <v>120.31755366068802</v>
      </c>
      <c r="O46" s="19">
        <f t="shared" si="4"/>
        <v>0</v>
      </c>
      <c r="P46" s="20">
        <f t="shared" si="5"/>
        <v>-5.9982358129961852</v>
      </c>
      <c r="Q46" s="185">
        <f t="shared" si="6"/>
        <v>0.95251396648044684</v>
      </c>
      <c r="R46" s="489"/>
      <c r="S46" s="40">
        <v>0.21875</v>
      </c>
      <c r="T46" s="40">
        <v>0.34305555555555556</v>
      </c>
      <c r="U46" s="186">
        <f t="shared" si="30"/>
        <v>7.0000000000000151</v>
      </c>
      <c r="V46" s="195">
        <f t="shared" si="29"/>
        <v>179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-113.96648044692756</v>
      </c>
      <c r="AF46" s="185">
        <f t="shared" si="9"/>
        <v>0.95251396648044684</v>
      </c>
      <c r="AG46" s="489"/>
    </row>
    <row r="47" spans="1:33">
      <c r="A47" s="517" t="s">
        <v>314</v>
      </c>
      <c r="B47" s="42" t="s">
        <v>80</v>
      </c>
      <c r="C47" s="490" t="s">
        <v>90</v>
      </c>
      <c r="D47" s="490"/>
      <c r="E47" s="42">
        <v>22.69</v>
      </c>
      <c r="F47" s="196">
        <v>2447</v>
      </c>
      <c r="G47" s="186">
        <f t="shared" si="27"/>
        <v>55522.43</v>
      </c>
      <c r="H47" s="125" t="s">
        <v>79</v>
      </c>
      <c r="I47" s="194">
        <v>15</v>
      </c>
      <c r="J47" s="37">
        <v>2400</v>
      </c>
      <c r="K47" s="17">
        <f t="shared" si="1"/>
        <v>160</v>
      </c>
      <c r="L47" s="194">
        <v>15</v>
      </c>
      <c r="M47" s="18">
        <f t="shared" si="28"/>
        <v>2294.0624999999995</v>
      </c>
      <c r="N47" s="17">
        <f t="shared" si="3"/>
        <v>152.93749999999997</v>
      </c>
      <c r="O47" s="19">
        <f t="shared" si="4"/>
        <v>0</v>
      </c>
      <c r="P47" s="20">
        <f t="shared" si="5"/>
        <v>-7.0625000000000284</v>
      </c>
      <c r="Q47" s="185">
        <f t="shared" si="6"/>
        <v>0.95585937499999984</v>
      </c>
      <c r="R47" s="489"/>
      <c r="S47" s="40">
        <v>0.34722222222222221</v>
      </c>
      <c r="T47" s="40">
        <v>0.39166666666666666</v>
      </c>
      <c r="U47" s="186">
        <f t="shared" si="30"/>
        <v>5.9999999999999787</v>
      </c>
      <c r="V47" s="195">
        <f t="shared" si="29"/>
        <v>64.000000000000014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-105.93750000000045</v>
      </c>
      <c r="AF47" s="185">
        <f t="shared" si="9"/>
        <v>0.95585937499999984</v>
      </c>
      <c r="AG47" s="489"/>
    </row>
    <row r="48" spans="1:33">
      <c r="A48" s="517" t="s">
        <v>1062</v>
      </c>
      <c r="B48" s="42" t="s">
        <v>80</v>
      </c>
      <c r="C48" s="490" t="s">
        <v>91</v>
      </c>
      <c r="D48" s="490"/>
      <c r="E48" s="42">
        <v>24.45</v>
      </c>
      <c r="F48" s="196">
        <v>2926</v>
      </c>
      <c r="G48" s="186">
        <f t="shared" si="27"/>
        <v>71540.7</v>
      </c>
      <c r="H48" s="125" t="s">
        <v>79</v>
      </c>
      <c r="I48" s="194">
        <v>20</v>
      </c>
      <c r="J48" s="37">
        <v>2400</v>
      </c>
      <c r="K48" s="17">
        <f t="shared" si="1"/>
        <v>120</v>
      </c>
      <c r="L48" s="194">
        <v>20</v>
      </c>
      <c r="M48" s="18">
        <f t="shared" si="28"/>
        <v>2310.0000000000009</v>
      </c>
      <c r="N48" s="17">
        <f t="shared" si="3"/>
        <v>115.50000000000004</v>
      </c>
      <c r="O48" s="19">
        <f t="shared" si="4"/>
        <v>0</v>
      </c>
      <c r="P48" s="20">
        <f t="shared" si="5"/>
        <v>-4.4999999999999574</v>
      </c>
      <c r="Q48" s="185">
        <f t="shared" si="6"/>
        <v>0.96250000000000036</v>
      </c>
      <c r="R48" s="489"/>
      <c r="S48" s="40">
        <v>0.3972222222222222</v>
      </c>
      <c r="T48" s="40">
        <v>0.44999999999999996</v>
      </c>
      <c r="U48" s="186">
        <f t="shared" si="30"/>
        <v>7.9999999999999716</v>
      </c>
      <c r="V48" s="195">
        <f t="shared" si="29"/>
        <v>75.999999999999972</v>
      </c>
      <c r="W48" s="23"/>
      <c r="X48" s="23"/>
      <c r="Y48" s="23"/>
      <c r="Z48" s="23"/>
      <c r="AA48" s="491"/>
      <c r="AB48" s="491"/>
      <c r="AC48" s="154"/>
      <c r="AD48" s="25"/>
      <c r="AE48" s="19">
        <f t="shared" si="8"/>
        <v>-89.999999999999091</v>
      </c>
      <c r="AF48" s="185">
        <f t="shared" si="9"/>
        <v>0.96250000000000036</v>
      </c>
      <c r="AG48" s="489"/>
    </row>
    <row r="49" spans="1:33">
      <c r="A49" s="517" t="s">
        <v>1062</v>
      </c>
      <c r="B49" s="42" t="s">
        <v>80</v>
      </c>
      <c r="C49" s="490" t="s">
        <v>92</v>
      </c>
      <c r="D49" s="490"/>
      <c r="E49" s="42">
        <v>28.51</v>
      </c>
      <c r="F49" s="196">
        <v>436</v>
      </c>
      <c r="G49" s="186">
        <f t="shared" si="27"/>
        <v>12430.36</v>
      </c>
      <c r="H49" s="125" t="s">
        <v>79</v>
      </c>
      <c r="I49" s="194">
        <v>16</v>
      </c>
      <c r="J49" s="37">
        <v>2400</v>
      </c>
      <c r="K49" s="17">
        <f t="shared" si="1"/>
        <v>150</v>
      </c>
      <c r="L49" s="194">
        <v>16</v>
      </c>
      <c r="M49" s="18">
        <f t="shared" si="28"/>
        <v>2378.1818181818267</v>
      </c>
      <c r="N49" s="17">
        <f t="shared" si="3"/>
        <v>148.63636363636417</v>
      </c>
      <c r="O49" s="19">
        <f t="shared" si="4"/>
        <v>0</v>
      </c>
      <c r="P49" s="20">
        <f t="shared" si="5"/>
        <v>-1.363636363635834</v>
      </c>
      <c r="Q49" s="185">
        <f t="shared" si="6"/>
        <v>0.9909090909090944</v>
      </c>
      <c r="R49" s="489"/>
      <c r="S49" s="40">
        <v>0.45347222222222217</v>
      </c>
      <c r="T49" s="40">
        <v>0.46111111111111103</v>
      </c>
      <c r="U49" s="186">
        <f t="shared" si="30"/>
        <v>4.9999999999999822</v>
      </c>
      <c r="V49" s="195">
        <f t="shared" si="29"/>
        <v>10.999999999999961</v>
      </c>
      <c r="W49" s="23">
        <f>T49</f>
        <v>0.46111111111111103</v>
      </c>
      <c r="X49" s="23">
        <f>S50</f>
        <v>0.49930555555555545</v>
      </c>
      <c r="Y49" s="26"/>
      <c r="Z49" s="26"/>
      <c r="AA49" s="503"/>
      <c r="AB49" s="504"/>
      <c r="AC49" s="154"/>
      <c r="AD49" s="25"/>
      <c r="AE49" s="19">
        <f t="shared" si="8"/>
        <v>-21.818181818173343</v>
      </c>
      <c r="AF49" s="185">
        <f t="shared" si="9"/>
        <v>0.9909090909090944</v>
      </c>
      <c r="AG49" s="489"/>
    </row>
    <row r="50" spans="1:33">
      <c r="A50" s="517" t="s">
        <v>1062</v>
      </c>
      <c r="B50" s="42" t="s">
        <v>80</v>
      </c>
      <c r="C50" s="490" t="s">
        <v>87</v>
      </c>
      <c r="D50" s="490"/>
      <c r="E50" s="42">
        <v>26.2</v>
      </c>
      <c r="F50" s="196">
        <v>4388</v>
      </c>
      <c r="G50" s="186">
        <f t="shared" si="27"/>
        <v>114965.59999999999</v>
      </c>
      <c r="H50" s="125" t="s">
        <v>79</v>
      </c>
      <c r="I50" s="194">
        <v>18</v>
      </c>
      <c r="J50" s="37">
        <v>2400</v>
      </c>
      <c r="K50" s="17">
        <f t="shared" si="1"/>
        <v>133.33333333333334</v>
      </c>
      <c r="L50" s="194">
        <v>18</v>
      </c>
      <c r="M50" s="18">
        <f t="shared" si="28"/>
        <v>2289.3913043478246</v>
      </c>
      <c r="N50" s="17">
        <f t="shared" si="3"/>
        <v>127.18840579710137</v>
      </c>
      <c r="O50" s="19">
        <f t="shared" si="4"/>
        <v>0</v>
      </c>
      <c r="P50" s="20">
        <f t="shared" si="5"/>
        <v>-6.1449275362319753</v>
      </c>
      <c r="Q50" s="185">
        <f t="shared" si="6"/>
        <v>0.95391304347826023</v>
      </c>
      <c r="R50" s="489"/>
      <c r="S50" s="40">
        <v>0.49930555555555545</v>
      </c>
      <c r="T50" s="40">
        <v>0.57916666666666661</v>
      </c>
      <c r="U50" s="186">
        <f t="shared" si="30"/>
        <v>54.999999999999964</v>
      </c>
      <c r="V50" s="195">
        <f t="shared" si="29"/>
        <v>115.00000000000007</v>
      </c>
      <c r="W50" s="23"/>
      <c r="X50" s="23"/>
      <c r="Y50" s="26"/>
      <c r="Z50" s="26"/>
      <c r="AA50" s="503"/>
      <c r="AB50" s="504"/>
      <c r="AC50" s="154"/>
      <c r="AD50" s="25"/>
      <c r="AE50" s="19">
        <f t="shared" si="8"/>
        <v>-110.60869565217536</v>
      </c>
      <c r="AF50" s="185">
        <f t="shared" si="9"/>
        <v>0.95391304347826023</v>
      </c>
      <c r="AG50" s="489"/>
    </row>
    <row r="51" spans="1:33">
      <c r="A51" s="517" t="s">
        <v>314</v>
      </c>
      <c r="B51" s="44" t="s">
        <v>299</v>
      </c>
      <c r="C51" s="494"/>
      <c r="D51" s="494"/>
      <c r="E51" s="188"/>
      <c r="F51" s="44"/>
      <c r="G51" s="17"/>
      <c r="H51" s="196"/>
      <c r="I51" s="30">
        <v>17.5</v>
      </c>
      <c r="J51" s="37">
        <v>2400</v>
      </c>
      <c r="K51" s="17">
        <f t="shared" si="1"/>
        <v>137.14285714285714</v>
      </c>
      <c r="L51" s="30">
        <v>17.5</v>
      </c>
      <c r="M51" s="18">
        <f>AVERAGE(M43:M50)</f>
        <v>2308.3728584466153</v>
      </c>
      <c r="N51" s="17">
        <f t="shared" si="3"/>
        <v>131.90702048266374</v>
      </c>
      <c r="O51" s="19">
        <f t="shared" si="4"/>
        <v>0</v>
      </c>
      <c r="P51" s="20">
        <f t="shared" si="5"/>
        <v>-5.2358366601933994</v>
      </c>
      <c r="Q51" s="185">
        <f t="shared" si="6"/>
        <v>0.96182202435275643</v>
      </c>
      <c r="R51" s="489"/>
      <c r="S51" s="40"/>
      <c r="T51" s="40"/>
      <c r="U51" s="17"/>
      <c r="V51" s="195"/>
      <c r="W51" s="17"/>
      <c r="X51" s="17"/>
      <c r="Y51" s="31">
        <f>SUM(Y43:Y50)</f>
        <v>0</v>
      </c>
      <c r="Z51" s="31">
        <f>SUM(Z43:Z50)</f>
        <v>0</v>
      </c>
      <c r="AA51" s="495"/>
      <c r="AB51" s="495"/>
      <c r="AC51" s="31">
        <f>SUM(AC43:AC50)</f>
        <v>7</v>
      </c>
      <c r="AD51" s="31">
        <f>SUM(AD43:AD50)</f>
        <v>0</v>
      </c>
      <c r="AE51" s="19">
        <f t="shared" si="8"/>
        <v>-91.627141553384718</v>
      </c>
      <c r="AF51" s="185">
        <f t="shared" si="9"/>
        <v>0.96182202435275632</v>
      </c>
      <c r="AG51" s="489"/>
    </row>
    <row r="52" spans="1:33" ht="15.75" customHeight="1">
      <c r="A52" s="512" t="s">
        <v>1064</v>
      </c>
      <c r="B52" s="42" t="s">
        <v>93</v>
      </c>
      <c r="C52" s="501" t="s">
        <v>94</v>
      </c>
      <c r="D52" s="502"/>
      <c r="E52" s="42">
        <v>21.13</v>
      </c>
      <c r="F52" s="196">
        <v>6124</v>
      </c>
      <c r="G52" s="186">
        <f t="shared" ref="G52:G62" si="31">E52*F52</f>
        <v>129400.12</v>
      </c>
      <c r="H52" s="125" t="s">
        <v>79</v>
      </c>
      <c r="I52" s="194">
        <v>10</v>
      </c>
      <c r="J52" s="37">
        <v>3000</v>
      </c>
      <c r="K52" s="17">
        <f t="shared" si="1"/>
        <v>300</v>
      </c>
      <c r="L52" s="194">
        <v>10</v>
      </c>
      <c r="M52" s="18">
        <f t="shared" ref="M52:M62" si="32">F52/V52*60</f>
        <v>2870.625</v>
      </c>
      <c r="N52" s="18">
        <f t="shared" si="3"/>
        <v>287.0625</v>
      </c>
      <c r="O52" s="19">
        <f t="shared" si="4"/>
        <v>0</v>
      </c>
      <c r="P52" s="20">
        <f t="shared" si="5"/>
        <v>-12.9375</v>
      </c>
      <c r="Q52" s="185">
        <f t="shared" si="6"/>
        <v>0.95687500000000003</v>
      </c>
      <c r="R52" s="509">
        <f>Q63</f>
        <v>0.95987709956353695</v>
      </c>
      <c r="S52" s="40">
        <v>8.3333333333333329E-2</v>
      </c>
      <c r="T52" s="40">
        <v>0.17222222222222222</v>
      </c>
      <c r="U52" s="28"/>
      <c r="V52" s="195">
        <f t="shared" ref="V52:V62" si="33">(T52-S52)*24*60</f>
        <v>128</v>
      </c>
      <c r="W52" s="23">
        <f>T52</f>
        <v>0.17222222222222222</v>
      </c>
      <c r="X52" s="23">
        <f>S53</f>
        <v>0.19236111111111112</v>
      </c>
      <c r="Y52" s="26"/>
      <c r="Z52" s="26"/>
      <c r="AA52" s="503"/>
      <c r="AB52" s="504"/>
      <c r="AC52" s="154">
        <v>1</v>
      </c>
      <c r="AD52" s="25"/>
      <c r="AE52" s="19">
        <f t="shared" si="8"/>
        <v>-129.375</v>
      </c>
      <c r="AF52" s="185">
        <f t="shared" si="9"/>
        <v>0.95687500000000003</v>
      </c>
      <c r="AG52" s="509">
        <f>AF63</f>
        <v>0.95987709956353684</v>
      </c>
    </row>
    <row r="53" spans="1:33" ht="15.75" customHeight="1">
      <c r="A53" s="513" t="s">
        <v>317</v>
      </c>
      <c r="B53" s="42" t="s">
        <v>93</v>
      </c>
      <c r="C53" s="501" t="s">
        <v>95</v>
      </c>
      <c r="D53" s="502"/>
      <c r="E53" s="42">
        <v>27.17</v>
      </c>
      <c r="F53" s="196">
        <v>3100</v>
      </c>
      <c r="G53" s="186">
        <f t="shared" si="31"/>
        <v>84227</v>
      </c>
      <c r="H53" s="125">
        <v>2</v>
      </c>
      <c r="I53" s="194">
        <v>10</v>
      </c>
      <c r="J53" s="37">
        <v>3000</v>
      </c>
      <c r="K53" s="17">
        <f t="shared" si="1"/>
        <v>300</v>
      </c>
      <c r="L53" s="194">
        <v>10</v>
      </c>
      <c r="M53" s="18">
        <f t="shared" si="32"/>
        <v>2861.538461538461</v>
      </c>
      <c r="N53" s="18">
        <f t="shared" si="3"/>
        <v>286.15384615384608</v>
      </c>
      <c r="O53" s="19">
        <f t="shared" si="4"/>
        <v>0</v>
      </c>
      <c r="P53" s="20">
        <f t="shared" si="5"/>
        <v>-13.846153846153925</v>
      </c>
      <c r="Q53" s="185">
        <f t="shared" si="6"/>
        <v>0.95384615384615357</v>
      </c>
      <c r="R53" s="510"/>
      <c r="S53" s="40">
        <v>0.19236111111111112</v>
      </c>
      <c r="T53" s="40">
        <v>0.23750000000000002</v>
      </c>
      <c r="U53" s="186">
        <f t="shared" ref="U53:U62" si="34">(S53-T52)*24*60</f>
        <v>29.000000000000018</v>
      </c>
      <c r="V53" s="195">
        <f t="shared" si="33"/>
        <v>65.000000000000014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-138.46153846153902</v>
      </c>
      <c r="AF53" s="185">
        <f t="shared" si="9"/>
        <v>0.95384615384615368</v>
      </c>
      <c r="AG53" s="510"/>
    </row>
    <row r="54" spans="1:33" ht="15.75" customHeight="1">
      <c r="A54" s="513" t="s">
        <v>317</v>
      </c>
      <c r="B54" s="42" t="s">
        <v>93</v>
      </c>
      <c r="C54" s="501" t="s">
        <v>96</v>
      </c>
      <c r="D54" s="502"/>
      <c r="E54" s="42">
        <v>35.119999999999997</v>
      </c>
      <c r="F54" s="196">
        <v>3000</v>
      </c>
      <c r="G54" s="186">
        <f t="shared" si="31"/>
        <v>105359.99999999999</v>
      </c>
      <c r="H54" s="125">
        <v>2</v>
      </c>
      <c r="I54" s="194">
        <v>10</v>
      </c>
      <c r="J54" s="37">
        <v>3000</v>
      </c>
      <c r="K54" s="17">
        <f t="shared" si="1"/>
        <v>300</v>
      </c>
      <c r="L54" s="194">
        <v>10</v>
      </c>
      <c r="M54" s="18">
        <f t="shared" si="32"/>
        <v>2857.1428571428564</v>
      </c>
      <c r="N54" s="18">
        <f t="shared" si="3"/>
        <v>285.71428571428567</v>
      </c>
      <c r="O54" s="19">
        <f t="shared" si="4"/>
        <v>0</v>
      </c>
      <c r="P54" s="20">
        <f t="shared" si="5"/>
        <v>-14.285714285714334</v>
      </c>
      <c r="Q54" s="185">
        <f t="shared" si="6"/>
        <v>0.95238095238095222</v>
      </c>
      <c r="R54" s="510"/>
      <c r="S54" s="40">
        <v>0.24236111111111114</v>
      </c>
      <c r="T54" s="40">
        <v>0.28611111111111115</v>
      </c>
      <c r="U54" s="186">
        <f t="shared" si="34"/>
        <v>7.0000000000000151</v>
      </c>
      <c r="V54" s="195">
        <f t="shared" si="33"/>
        <v>63.000000000000014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-142.85714285714357</v>
      </c>
      <c r="AF54" s="185">
        <f t="shared" si="9"/>
        <v>0.95238095238095211</v>
      </c>
      <c r="AG54" s="510"/>
    </row>
    <row r="55" spans="1:33" ht="15.75" customHeight="1">
      <c r="A55" s="513" t="s">
        <v>317</v>
      </c>
      <c r="B55" s="42" t="s">
        <v>93</v>
      </c>
      <c r="C55" s="501" t="s">
        <v>97</v>
      </c>
      <c r="D55" s="502"/>
      <c r="E55" s="42">
        <v>31</v>
      </c>
      <c r="F55" s="196">
        <v>1164</v>
      </c>
      <c r="G55" s="186">
        <f t="shared" si="31"/>
        <v>36084</v>
      </c>
      <c r="H55" s="125" t="s">
        <v>79</v>
      </c>
      <c r="I55" s="194">
        <v>13</v>
      </c>
      <c r="J55" s="37">
        <v>2000</v>
      </c>
      <c r="K55" s="17">
        <f t="shared" si="1"/>
        <v>153.84615384615384</v>
      </c>
      <c r="L55" s="194">
        <v>13</v>
      </c>
      <c r="M55" s="18">
        <f t="shared" si="32"/>
        <v>1939.9999999999984</v>
      </c>
      <c r="N55" s="18">
        <f t="shared" si="3"/>
        <v>149.23076923076911</v>
      </c>
      <c r="O55" s="19">
        <f t="shared" si="4"/>
        <v>0</v>
      </c>
      <c r="P55" s="20">
        <f t="shared" si="5"/>
        <v>-4.6153846153847269</v>
      </c>
      <c r="Q55" s="185">
        <f t="shared" si="6"/>
        <v>0.96999999999999931</v>
      </c>
      <c r="R55" s="510"/>
      <c r="S55" s="40">
        <v>0.2902777777777778</v>
      </c>
      <c r="T55" s="40">
        <v>0.31527777777777782</v>
      </c>
      <c r="U55" s="186">
        <f t="shared" si="34"/>
        <v>5.9999999999999787</v>
      </c>
      <c r="V55" s="195">
        <f t="shared" si="33"/>
        <v>36.000000000000028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-60.000000000001592</v>
      </c>
      <c r="AF55" s="185">
        <f t="shared" si="9"/>
        <v>0.9699999999999992</v>
      </c>
      <c r="AG55" s="510"/>
    </row>
    <row r="56" spans="1:33" ht="15.75" customHeight="1">
      <c r="A56" s="513" t="s">
        <v>317</v>
      </c>
      <c r="B56" s="42" t="s">
        <v>93</v>
      </c>
      <c r="C56" s="501" t="s">
        <v>98</v>
      </c>
      <c r="D56" s="502"/>
      <c r="E56" s="42">
        <v>37.880000000000003</v>
      </c>
      <c r="F56" s="196">
        <v>1616</v>
      </c>
      <c r="G56" s="186">
        <f t="shared" si="31"/>
        <v>61214.080000000002</v>
      </c>
      <c r="H56" s="125" t="s">
        <v>79</v>
      </c>
      <c r="I56" s="194">
        <v>14</v>
      </c>
      <c r="J56" s="37">
        <v>2000</v>
      </c>
      <c r="K56" s="17">
        <f t="shared" si="1"/>
        <v>142.85714285714286</v>
      </c>
      <c r="L56" s="194">
        <v>14</v>
      </c>
      <c r="M56" s="18">
        <f t="shared" si="32"/>
        <v>1939.2000000000005</v>
      </c>
      <c r="N56" s="18">
        <f t="shared" si="3"/>
        <v>138.51428571428576</v>
      </c>
      <c r="O56" s="19">
        <f t="shared" si="4"/>
        <v>0</v>
      </c>
      <c r="P56" s="20">
        <f t="shared" si="5"/>
        <v>-4.342857142857099</v>
      </c>
      <c r="Q56" s="185">
        <f t="shared" si="6"/>
        <v>0.96960000000000035</v>
      </c>
      <c r="R56" s="510"/>
      <c r="S56" s="40">
        <v>0.32013888888888892</v>
      </c>
      <c r="T56" s="40">
        <v>0.35486111111111113</v>
      </c>
      <c r="U56" s="186">
        <f t="shared" si="34"/>
        <v>6.9999999999999751</v>
      </c>
      <c r="V56" s="195">
        <f t="shared" si="33"/>
        <v>49.999999999999986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-60.7999999999995</v>
      </c>
      <c r="AF56" s="185">
        <f t="shared" si="9"/>
        <v>0.96960000000000024</v>
      </c>
      <c r="AG56" s="510"/>
    </row>
    <row r="57" spans="1:33" ht="15.75" customHeight="1">
      <c r="A57" s="513" t="s">
        <v>1064</v>
      </c>
      <c r="B57" s="42" t="s">
        <v>93</v>
      </c>
      <c r="C57" s="501" t="s">
        <v>99</v>
      </c>
      <c r="D57" s="502"/>
      <c r="E57" s="42">
        <v>32.020000000000003</v>
      </c>
      <c r="F57" s="196">
        <v>3191</v>
      </c>
      <c r="G57" s="186">
        <f t="shared" si="31"/>
        <v>102175.82</v>
      </c>
      <c r="H57" s="125" t="s">
        <v>79</v>
      </c>
      <c r="I57" s="194">
        <v>11</v>
      </c>
      <c r="J57" s="37">
        <v>3000</v>
      </c>
      <c r="K57" s="17">
        <f t="shared" si="1"/>
        <v>272.72727272727275</v>
      </c>
      <c r="L57" s="194">
        <v>11</v>
      </c>
      <c r="M57" s="18">
        <f t="shared" si="32"/>
        <v>2857.6119402985073</v>
      </c>
      <c r="N57" s="18">
        <f t="shared" si="3"/>
        <v>259.78290366350069</v>
      </c>
      <c r="O57" s="19">
        <f t="shared" si="4"/>
        <v>0</v>
      </c>
      <c r="P57" s="20">
        <f t="shared" si="5"/>
        <v>-12.944369063772058</v>
      </c>
      <c r="Q57" s="185">
        <f t="shared" si="6"/>
        <v>0.95253731343283576</v>
      </c>
      <c r="R57" s="510"/>
      <c r="S57" s="40">
        <v>0.35972222222222222</v>
      </c>
      <c r="T57" s="40">
        <v>0.40625</v>
      </c>
      <c r="U57" s="186">
        <f t="shared" si="34"/>
        <v>6.9999999999999751</v>
      </c>
      <c r="V57" s="195">
        <f t="shared" si="33"/>
        <v>67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-142.38805970149269</v>
      </c>
      <c r="AF57" s="185">
        <f t="shared" si="9"/>
        <v>0.95253731343283576</v>
      </c>
      <c r="AG57" s="510"/>
    </row>
    <row r="58" spans="1:33" ht="15.75" customHeight="1">
      <c r="A58" s="513" t="s">
        <v>317</v>
      </c>
      <c r="B58" s="42" t="s">
        <v>93</v>
      </c>
      <c r="C58" s="501" t="s">
        <v>114</v>
      </c>
      <c r="D58" s="502"/>
      <c r="E58" s="42">
        <v>36.14</v>
      </c>
      <c r="F58" s="196">
        <v>1058</v>
      </c>
      <c r="G58" s="186">
        <f t="shared" si="31"/>
        <v>38236.120000000003</v>
      </c>
      <c r="H58" s="125" t="s">
        <v>79</v>
      </c>
      <c r="I58" s="194">
        <v>9</v>
      </c>
      <c r="J58" s="37">
        <v>3000</v>
      </c>
      <c r="K58" s="17">
        <f t="shared" si="1"/>
        <v>333.33333333333331</v>
      </c>
      <c r="L58" s="194">
        <v>9</v>
      </c>
      <c r="M58" s="18">
        <f t="shared" si="32"/>
        <v>2885.4545454545455</v>
      </c>
      <c r="N58" s="18">
        <f t="shared" si="3"/>
        <v>320.60606060606062</v>
      </c>
      <c r="O58" s="19">
        <f t="shared" si="4"/>
        <v>0</v>
      </c>
      <c r="P58" s="20">
        <f t="shared" si="5"/>
        <v>-12.727272727272691</v>
      </c>
      <c r="Q58" s="185">
        <f t="shared" si="6"/>
        <v>0.96181818181818191</v>
      </c>
      <c r="R58" s="510"/>
      <c r="S58" s="40">
        <v>0.41111111111111109</v>
      </c>
      <c r="T58" s="40">
        <v>0.42638888888888887</v>
      </c>
      <c r="U58" s="186">
        <f t="shared" si="34"/>
        <v>6.9999999999999751</v>
      </c>
      <c r="V58" s="195">
        <f t="shared" si="33"/>
        <v>22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-114.5454545454545</v>
      </c>
      <c r="AF58" s="185">
        <f t="shared" si="9"/>
        <v>0.96181818181818179</v>
      </c>
      <c r="AG58" s="510"/>
    </row>
    <row r="59" spans="1:33" ht="15.75" customHeight="1">
      <c r="A59" s="513" t="s">
        <v>1064</v>
      </c>
      <c r="B59" s="42" t="s">
        <v>93</v>
      </c>
      <c r="C59" s="501" t="s">
        <v>112</v>
      </c>
      <c r="D59" s="502"/>
      <c r="E59" s="42">
        <v>35.869999999999997</v>
      </c>
      <c r="F59" s="196">
        <v>3252</v>
      </c>
      <c r="G59" s="186">
        <f t="shared" si="31"/>
        <v>116649.23999999999</v>
      </c>
      <c r="H59" s="125" t="s">
        <v>79</v>
      </c>
      <c r="I59" s="194">
        <v>9</v>
      </c>
      <c r="J59" s="37">
        <v>3000</v>
      </c>
      <c r="K59" s="17">
        <f t="shared" si="1"/>
        <v>333.33333333333331</v>
      </c>
      <c r="L59" s="194">
        <v>9</v>
      </c>
      <c r="M59" s="18">
        <f t="shared" si="32"/>
        <v>2869.411764705882</v>
      </c>
      <c r="N59" s="18">
        <f t="shared" si="3"/>
        <v>318.82352941176464</v>
      </c>
      <c r="O59" s="19">
        <f t="shared" si="4"/>
        <v>0</v>
      </c>
      <c r="P59" s="20">
        <f t="shared" si="5"/>
        <v>-14.509803921568675</v>
      </c>
      <c r="Q59" s="185">
        <f t="shared" si="6"/>
        <v>0.95647058823529396</v>
      </c>
      <c r="R59" s="510"/>
      <c r="S59" s="40">
        <v>0.42986111111111108</v>
      </c>
      <c r="T59" s="40">
        <v>0.4770833333333333</v>
      </c>
      <c r="U59" s="186">
        <f t="shared" si="34"/>
        <v>4.9999999999999822</v>
      </c>
      <c r="V59" s="195">
        <f t="shared" si="33"/>
        <v>68</v>
      </c>
      <c r="W59" s="23"/>
      <c r="X59" s="23"/>
      <c r="Y59" s="26"/>
      <c r="Z59" s="26"/>
      <c r="AA59" s="503"/>
      <c r="AB59" s="504"/>
      <c r="AC59" s="154" t="s">
        <v>79</v>
      </c>
      <c r="AD59" s="25"/>
      <c r="AE59" s="19">
        <f t="shared" si="8"/>
        <v>-130.58823529411802</v>
      </c>
      <c r="AF59" s="185">
        <f t="shared" si="9"/>
        <v>0.95647058823529396</v>
      </c>
      <c r="AG59" s="510"/>
    </row>
    <row r="60" spans="1:33" ht="15.75" customHeight="1">
      <c r="A60" s="513" t="s">
        <v>1064</v>
      </c>
      <c r="B60" s="42" t="s">
        <v>93</v>
      </c>
      <c r="C60" s="501" t="s">
        <v>113</v>
      </c>
      <c r="D60" s="502"/>
      <c r="E60" s="42">
        <v>34.36</v>
      </c>
      <c r="F60" s="196">
        <v>1853</v>
      </c>
      <c r="G60" s="186">
        <f t="shared" si="31"/>
        <v>63669.08</v>
      </c>
      <c r="H60" s="125" t="s">
        <v>79</v>
      </c>
      <c r="I60" s="194">
        <v>10</v>
      </c>
      <c r="J60" s="37">
        <v>3000</v>
      </c>
      <c r="K60" s="17">
        <f t="shared" si="1"/>
        <v>300</v>
      </c>
      <c r="L60" s="194">
        <v>10</v>
      </c>
      <c r="M60" s="18">
        <f t="shared" si="32"/>
        <v>2925.7894736842086</v>
      </c>
      <c r="N60" s="18">
        <f t="shared" si="3"/>
        <v>292.57894736842087</v>
      </c>
      <c r="O60" s="19">
        <f t="shared" si="4"/>
        <v>0</v>
      </c>
      <c r="P60" s="20">
        <f t="shared" si="5"/>
        <v>-7.4210526315791299</v>
      </c>
      <c r="Q60" s="185">
        <f t="shared" si="6"/>
        <v>0.97526315789473628</v>
      </c>
      <c r="R60" s="510"/>
      <c r="S60" s="40">
        <v>0.48124999999999996</v>
      </c>
      <c r="T60" s="40">
        <v>0.50763888888888886</v>
      </c>
      <c r="U60" s="186">
        <f t="shared" si="34"/>
        <v>5.9999999999999787</v>
      </c>
      <c r="V60" s="195">
        <f t="shared" si="33"/>
        <v>38.000000000000028</v>
      </c>
      <c r="W60" s="23">
        <f>T60</f>
        <v>0.50763888888888886</v>
      </c>
      <c r="X60" s="23">
        <f>S61</f>
        <v>0.54861111111111105</v>
      </c>
      <c r="Y60" s="26"/>
      <c r="Z60" s="26"/>
      <c r="AA60" s="503"/>
      <c r="AB60" s="504"/>
      <c r="AC60" s="154" t="s">
        <v>79</v>
      </c>
      <c r="AD60" s="25"/>
      <c r="AE60" s="19">
        <f t="shared" si="8"/>
        <v>-74.210526315791412</v>
      </c>
      <c r="AF60" s="185">
        <f t="shared" si="9"/>
        <v>0.97526315789473617</v>
      </c>
      <c r="AG60" s="510"/>
    </row>
    <row r="61" spans="1:33" ht="15.75" customHeight="1">
      <c r="A61" s="513" t="s">
        <v>317</v>
      </c>
      <c r="B61" s="42" t="s">
        <v>93</v>
      </c>
      <c r="C61" s="501" t="s">
        <v>95</v>
      </c>
      <c r="D61" s="502"/>
      <c r="E61" s="42">
        <v>27.17</v>
      </c>
      <c r="F61" s="196">
        <v>4824</v>
      </c>
      <c r="G61" s="186">
        <f t="shared" si="31"/>
        <v>131068.08</v>
      </c>
      <c r="H61" s="125" t="s">
        <v>79</v>
      </c>
      <c r="I61" s="194">
        <v>10</v>
      </c>
      <c r="J61" s="37">
        <v>3000</v>
      </c>
      <c r="K61" s="17">
        <f t="shared" si="1"/>
        <v>300</v>
      </c>
      <c r="L61" s="194">
        <v>10</v>
      </c>
      <c r="M61" s="18">
        <f t="shared" si="32"/>
        <v>2865.7425742574269</v>
      </c>
      <c r="N61" s="18">
        <f t="shared" si="3"/>
        <v>286.5742574257427</v>
      </c>
      <c r="O61" s="19">
        <f t="shared" si="4"/>
        <v>0</v>
      </c>
      <c r="P61" s="20">
        <f t="shared" si="5"/>
        <v>-13.425742574257299</v>
      </c>
      <c r="Q61" s="185">
        <f t="shared" si="6"/>
        <v>0.95524752475247565</v>
      </c>
      <c r="R61" s="510"/>
      <c r="S61" s="40">
        <v>0.54861111111111105</v>
      </c>
      <c r="T61" s="40">
        <v>0.61874999999999991</v>
      </c>
      <c r="U61" s="186">
        <f t="shared" si="34"/>
        <v>58.99999999999995</v>
      </c>
      <c r="V61" s="195">
        <f t="shared" si="33"/>
        <v>100.99999999999996</v>
      </c>
      <c r="W61" s="23"/>
      <c r="X61" s="23"/>
      <c r="Y61" s="26"/>
      <c r="Z61" s="26"/>
      <c r="AA61" s="503"/>
      <c r="AB61" s="504"/>
      <c r="AC61" s="154" t="s">
        <v>79</v>
      </c>
      <c r="AD61" s="25"/>
      <c r="AE61" s="19">
        <f t="shared" si="8"/>
        <v>-134.2574257425731</v>
      </c>
      <c r="AF61" s="185">
        <f t="shared" si="9"/>
        <v>0.95524752475247565</v>
      </c>
      <c r="AG61" s="510"/>
    </row>
    <row r="62" spans="1:33" ht="15.75" customHeight="1">
      <c r="A62" s="513" t="s">
        <v>1064</v>
      </c>
      <c r="B62" s="42" t="s">
        <v>93</v>
      </c>
      <c r="C62" s="501" t="s">
        <v>96</v>
      </c>
      <c r="D62" s="502"/>
      <c r="E62" s="42">
        <v>35.119999999999997</v>
      </c>
      <c r="F62" s="196">
        <v>2355</v>
      </c>
      <c r="G62" s="186">
        <f t="shared" si="31"/>
        <v>82707.599999999991</v>
      </c>
      <c r="H62" s="125" t="s">
        <v>79</v>
      </c>
      <c r="I62" s="194">
        <v>10</v>
      </c>
      <c r="J62" s="37">
        <v>3000</v>
      </c>
      <c r="K62" s="17">
        <f t="shared" si="1"/>
        <v>300</v>
      </c>
      <c r="L62" s="194">
        <v>10</v>
      </c>
      <c r="M62" s="18">
        <f t="shared" si="32"/>
        <v>2883.6734693877561</v>
      </c>
      <c r="N62" s="18">
        <f t="shared" si="3"/>
        <v>288.3673469387756</v>
      </c>
      <c r="O62" s="19">
        <f t="shared" si="4"/>
        <v>0</v>
      </c>
      <c r="P62" s="20">
        <f t="shared" si="5"/>
        <v>-11.632653061224403</v>
      </c>
      <c r="Q62" s="185">
        <f t="shared" si="6"/>
        <v>0.96122448979591868</v>
      </c>
      <c r="R62" s="510"/>
      <c r="S62" s="40">
        <v>0.62361111111111101</v>
      </c>
      <c r="T62" s="40">
        <v>0.65763888888888877</v>
      </c>
      <c r="U62" s="186">
        <f t="shared" si="34"/>
        <v>6.9999999999999751</v>
      </c>
      <c r="V62" s="195">
        <f t="shared" si="33"/>
        <v>48.999999999999986</v>
      </c>
      <c r="W62" s="23"/>
      <c r="X62" s="23"/>
      <c r="Y62" s="26"/>
      <c r="Z62" s="26"/>
      <c r="AA62" s="503"/>
      <c r="AB62" s="504"/>
      <c r="AC62" s="154" t="s">
        <v>79</v>
      </c>
      <c r="AD62" s="25"/>
      <c r="AE62" s="19">
        <f t="shared" si="8"/>
        <v>-116.32653061224391</v>
      </c>
      <c r="AF62" s="185">
        <f t="shared" si="9"/>
        <v>0.96122448979591868</v>
      </c>
      <c r="AG62" s="510"/>
    </row>
    <row r="63" spans="1:33" ht="15.75" customHeight="1">
      <c r="A63" s="514" t="s">
        <v>317</v>
      </c>
      <c r="B63" s="42" t="s">
        <v>1053</v>
      </c>
      <c r="C63" s="492"/>
      <c r="D63" s="493"/>
      <c r="E63" s="187"/>
      <c r="F63" s="196"/>
      <c r="G63" s="186"/>
      <c r="H63" s="196"/>
      <c r="I63" s="30">
        <v>10.545454545454545</v>
      </c>
      <c r="J63" s="37">
        <v>2818.181818181818</v>
      </c>
      <c r="K63" s="17">
        <f t="shared" si="1"/>
        <v>267.24137931034483</v>
      </c>
      <c r="L63" s="30">
        <v>10.545454545454545</v>
      </c>
      <c r="M63" s="18">
        <f>AVERAGE(M52:M62)</f>
        <v>2705.1081896790583</v>
      </c>
      <c r="N63" s="17">
        <f t="shared" si="3"/>
        <v>256.5188800557728</v>
      </c>
      <c r="O63" s="19">
        <f t="shared" si="4"/>
        <v>0</v>
      </c>
      <c r="P63" s="20">
        <f t="shared" si="5"/>
        <v>-10.722499254572028</v>
      </c>
      <c r="Q63" s="185">
        <f t="shared" si="6"/>
        <v>0.95987709956353695</v>
      </c>
      <c r="R63" s="511"/>
      <c r="S63" s="40"/>
      <c r="T63" s="40"/>
      <c r="U63" s="186"/>
      <c r="V63" s="195"/>
      <c r="W63" s="23"/>
      <c r="X63" s="23"/>
      <c r="Y63" s="31">
        <f>SUM(Y52:Y62)</f>
        <v>0</v>
      </c>
      <c r="Z63" s="31">
        <f>SUM(Z52:Z62)</f>
        <v>0</v>
      </c>
      <c r="AA63" s="505"/>
      <c r="AB63" s="506"/>
      <c r="AC63" s="31">
        <f>SUM(AC52:AC62)</f>
        <v>1</v>
      </c>
      <c r="AD63" s="31">
        <f>SUM(AD52:AD62)</f>
        <v>0</v>
      </c>
      <c r="AE63" s="19">
        <f t="shared" si="8"/>
        <v>-113.07362850275968</v>
      </c>
      <c r="AF63" s="185">
        <f t="shared" si="9"/>
        <v>0.95987709956353684</v>
      </c>
      <c r="AG63" s="511"/>
    </row>
    <row r="64" spans="1:33" ht="15.75" customHeight="1">
      <c r="A64" s="507" t="s">
        <v>319</v>
      </c>
      <c r="B64" s="42" t="s">
        <v>100</v>
      </c>
      <c r="C64" s="490" t="s">
        <v>101</v>
      </c>
      <c r="D64" s="490"/>
      <c r="E64" s="42">
        <v>46</v>
      </c>
      <c r="F64" s="46">
        <v>1676</v>
      </c>
      <c r="G64" s="186">
        <f t="shared" ref="G64:G70" si="35">E64*F64</f>
        <v>77096</v>
      </c>
      <c r="H64" s="125" t="s">
        <v>79</v>
      </c>
      <c r="I64" s="194">
        <v>17</v>
      </c>
      <c r="J64" s="37">
        <v>2000</v>
      </c>
      <c r="K64" s="17">
        <f t="shared" si="1"/>
        <v>117.64705882352941</v>
      </c>
      <c r="L64" s="194">
        <v>17</v>
      </c>
      <c r="M64" s="18">
        <f t="shared" ref="M64:M70" si="36">F64/V64*60</f>
        <v>1933.8461538461531</v>
      </c>
      <c r="N64" s="18">
        <f t="shared" si="3"/>
        <v>113.75565610859724</v>
      </c>
      <c r="O64" s="19">
        <f t="shared" si="4"/>
        <v>0</v>
      </c>
      <c r="P64" s="20">
        <f t="shared" si="5"/>
        <v>-3.8914027149321697</v>
      </c>
      <c r="Q64" s="185">
        <f t="shared" si="6"/>
        <v>0.96692307692307655</v>
      </c>
      <c r="R64" s="489">
        <f>Q71</f>
        <v>0.91676774764276137</v>
      </c>
      <c r="S64" s="40">
        <v>0.20833333333333334</v>
      </c>
      <c r="T64" s="40">
        <v>0.24444444444444446</v>
      </c>
      <c r="U64" s="28"/>
      <c r="V64" s="195">
        <f t="shared" ref="V64:V70" si="37">(T64-S64)*24*60</f>
        <v>52.000000000000014</v>
      </c>
      <c r="W64" s="28"/>
      <c r="X64" s="28"/>
      <c r="Y64" s="28"/>
      <c r="Z64" s="28"/>
      <c r="AA64" s="491"/>
      <c r="AB64" s="491"/>
      <c r="AC64" s="154">
        <v>5</v>
      </c>
      <c r="AD64" s="25"/>
      <c r="AE64" s="19">
        <f t="shared" si="8"/>
        <v>-66.153846153846871</v>
      </c>
      <c r="AF64" s="185">
        <f t="shared" si="9"/>
        <v>0.96692307692307655</v>
      </c>
      <c r="AG64" s="489">
        <f>AF71</f>
        <v>0.91676774764276137</v>
      </c>
    </row>
    <row r="65" spans="1:33" ht="15.75" customHeight="1">
      <c r="A65" s="507" t="s">
        <v>1065</v>
      </c>
      <c r="B65" s="42" t="s">
        <v>100</v>
      </c>
      <c r="C65" s="490" t="s">
        <v>102</v>
      </c>
      <c r="D65" s="490"/>
      <c r="E65" s="42">
        <v>46</v>
      </c>
      <c r="F65" s="46">
        <v>1747</v>
      </c>
      <c r="G65" s="186">
        <f t="shared" si="35"/>
        <v>80362</v>
      </c>
      <c r="H65" s="125" t="s">
        <v>79</v>
      </c>
      <c r="I65" s="194">
        <v>17</v>
      </c>
      <c r="J65" s="37">
        <v>2000</v>
      </c>
      <c r="K65" s="17">
        <f t="shared" si="1"/>
        <v>117.64705882352941</v>
      </c>
      <c r="L65" s="194">
        <v>17</v>
      </c>
      <c r="M65" s="18">
        <f t="shared" si="36"/>
        <v>1905.8181818181815</v>
      </c>
      <c r="N65" s="18">
        <f t="shared" si="3"/>
        <v>112.10695187165774</v>
      </c>
      <c r="O65" s="19">
        <f t="shared" si="4"/>
        <v>0</v>
      </c>
      <c r="P65" s="20">
        <f t="shared" si="5"/>
        <v>-5.5401069518716639</v>
      </c>
      <c r="Q65" s="185">
        <f t="shared" si="6"/>
        <v>0.95290909090909082</v>
      </c>
      <c r="R65" s="489"/>
      <c r="S65" s="40">
        <v>0.24861111111111114</v>
      </c>
      <c r="T65" s="40">
        <v>0.28680555555555559</v>
      </c>
      <c r="U65" s="186">
        <f t="shared" ref="U65:U70" si="38">IF(S65=TIME(17,0,0),"",(S65-T64)*24*60)</f>
        <v>6.0000000000000187</v>
      </c>
      <c r="V65" s="195">
        <f t="shared" si="37"/>
        <v>55.000000000000007</v>
      </c>
      <c r="W65" s="23"/>
      <c r="X65" s="23"/>
      <c r="Y65" s="23"/>
      <c r="Z65" s="23"/>
      <c r="AA65" s="491"/>
      <c r="AB65" s="491"/>
      <c r="AC65" s="154"/>
      <c r="AD65" s="25"/>
      <c r="AE65" s="19">
        <f t="shared" si="8"/>
        <v>-94.181818181818471</v>
      </c>
      <c r="AF65" s="185">
        <f t="shared" si="9"/>
        <v>0.95290909090909082</v>
      </c>
      <c r="AG65" s="489"/>
    </row>
    <row r="66" spans="1:33" ht="15.75" customHeight="1">
      <c r="A66" s="507" t="s">
        <v>319</v>
      </c>
      <c r="B66" s="42" t="s">
        <v>103</v>
      </c>
      <c r="C66" s="501" t="s">
        <v>105</v>
      </c>
      <c r="D66" s="502"/>
      <c r="E66" s="42">
        <v>56.43</v>
      </c>
      <c r="F66" s="46">
        <v>2513</v>
      </c>
      <c r="G66" s="186">
        <f t="shared" si="35"/>
        <v>141808.59</v>
      </c>
      <c r="H66" s="125" t="s">
        <v>79</v>
      </c>
      <c r="I66" s="194">
        <v>22</v>
      </c>
      <c r="J66" s="37">
        <v>2000</v>
      </c>
      <c r="K66" s="17">
        <f t="shared" si="1"/>
        <v>90.909090909090907</v>
      </c>
      <c r="L66" s="194">
        <v>22</v>
      </c>
      <c r="M66" s="18">
        <f t="shared" si="36"/>
        <v>1638.9130434782608</v>
      </c>
      <c r="N66" s="18">
        <f t="shared" si="3"/>
        <v>74.496047430830032</v>
      </c>
      <c r="O66" s="19">
        <f t="shared" si="4"/>
        <v>0</v>
      </c>
      <c r="P66" s="20">
        <f t="shared" si="5"/>
        <v>-16.413043478260875</v>
      </c>
      <c r="Q66" s="185">
        <f t="shared" si="6"/>
        <v>0.81945652173913042</v>
      </c>
      <c r="R66" s="489"/>
      <c r="S66" s="40">
        <v>0.29236111111111113</v>
      </c>
      <c r="T66" s="40">
        <v>0.35625000000000001</v>
      </c>
      <c r="U66" s="186">
        <f t="shared" si="38"/>
        <v>7.9999999999999716</v>
      </c>
      <c r="V66" s="195">
        <f t="shared" si="37"/>
        <v>92</v>
      </c>
      <c r="W66" s="23"/>
      <c r="X66" s="23"/>
      <c r="Y66" s="26"/>
      <c r="Z66" s="26"/>
      <c r="AA66" s="491"/>
      <c r="AB66" s="491"/>
      <c r="AC66" s="154"/>
      <c r="AD66" s="25"/>
      <c r="AE66" s="19">
        <f t="shared" si="8"/>
        <v>-361.08695652173924</v>
      </c>
      <c r="AF66" s="185">
        <f t="shared" si="9"/>
        <v>0.81945652173913042</v>
      </c>
      <c r="AG66" s="489"/>
    </row>
    <row r="67" spans="1:33" ht="15.75" customHeight="1">
      <c r="A67" s="507" t="s">
        <v>319</v>
      </c>
      <c r="B67" s="42" t="s">
        <v>103</v>
      </c>
      <c r="C67" s="190" t="s">
        <v>518</v>
      </c>
      <c r="D67" s="191"/>
      <c r="E67" s="42">
        <v>51.75</v>
      </c>
      <c r="F67" s="46">
        <v>4452</v>
      </c>
      <c r="G67" s="186">
        <f t="shared" si="35"/>
        <v>230391</v>
      </c>
      <c r="H67" s="125" t="s">
        <v>79</v>
      </c>
      <c r="I67" s="194">
        <v>25</v>
      </c>
      <c r="J67" s="37">
        <v>2000</v>
      </c>
      <c r="K67" s="17">
        <f t="shared" si="1"/>
        <v>80</v>
      </c>
      <c r="L67" s="194">
        <v>25</v>
      </c>
      <c r="M67" s="18">
        <f t="shared" si="36"/>
        <v>1609.1566265060242</v>
      </c>
      <c r="N67" s="18">
        <f t="shared" si="3"/>
        <v>64.366265060240963</v>
      </c>
      <c r="O67" s="19">
        <f t="shared" si="4"/>
        <v>0</v>
      </c>
      <c r="P67" s="20">
        <f t="shared" si="5"/>
        <v>-15.633734939759037</v>
      </c>
      <c r="Q67" s="185">
        <f t="shared" si="6"/>
        <v>0.80457831325301199</v>
      </c>
      <c r="R67" s="489"/>
      <c r="S67" s="40">
        <v>0.3611111111111111</v>
      </c>
      <c r="T67" s="40">
        <v>0.47638888888888886</v>
      </c>
      <c r="U67" s="186">
        <f t="shared" si="38"/>
        <v>6.9999999999999751</v>
      </c>
      <c r="V67" s="195">
        <f t="shared" si="37"/>
        <v>165.99999999999997</v>
      </c>
      <c r="W67" s="23"/>
      <c r="X67" s="23"/>
      <c r="Y67" s="26"/>
      <c r="Z67" s="26"/>
      <c r="AA67" s="491"/>
      <c r="AB67" s="491"/>
      <c r="AC67" s="154"/>
      <c r="AD67" s="25"/>
      <c r="AE67" s="19">
        <f t="shared" si="8"/>
        <v>-390.84337349397583</v>
      </c>
      <c r="AF67" s="185">
        <f t="shared" si="9"/>
        <v>0.8045783132530121</v>
      </c>
      <c r="AG67" s="489"/>
    </row>
    <row r="68" spans="1:33" ht="15.75" customHeight="1">
      <c r="A68" s="507" t="s">
        <v>319</v>
      </c>
      <c r="B68" s="42" t="s">
        <v>103</v>
      </c>
      <c r="C68" s="190" t="s">
        <v>106</v>
      </c>
      <c r="D68" s="191"/>
      <c r="E68" s="42">
        <v>55.56</v>
      </c>
      <c r="F68" s="46">
        <v>2271</v>
      </c>
      <c r="G68" s="186">
        <f t="shared" si="35"/>
        <v>126176.76000000001</v>
      </c>
      <c r="H68" s="125" t="s">
        <v>79</v>
      </c>
      <c r="I68" s="194">
        <v>17</v>
      </c>
      <c r="J68" s="37">
        <v>2000</v>
      </c>
      <c r="K68" s="17">
        <f t="shared" si="1"/>
        <v>117.64705882352941</v>
      </c>
      <c r="L68" s="194">
        <v>17</v>
      </c>
      <c r="M68" s="18">
        <f t="shared" si="36"/>
        <v>1919.154929577463</v>
      </c>
      <c r="N68" s="18">
        <f t="shared" si="3"/>
        <v>112.89146644573312</v>
      </c>
      <c r="O68" s="19">
        <f t="shared" si="4"/>
        <v>0</v>
      </c>
      <c r="P68" s="20">
        <f t="shared" si="5"/>
        <v>-4.7555923777962903</v>
      </c>
      <c r="Q68" s="185">
        <f t="shared" si="6"/>
        <v>0.95957746478873152</v>
      </c>
      <c r="R68" s="489"/>
      <c r="S68" s="40">
        <v>0.70833333333333337</v>
      </c>
      <c r="T68" s="40">
        <v>0.75763888888888897</v>
      </c>
      <c r="U68" s="186" t="str">
        <f t="shared" si="38"/>
        <v/>
      </c>
      <c r="V68" s="195">
        <f t="shared" si="37"/>
        <v>71.000000000000071</v>
      </c>
      <c r="W68" s="23"/>
      <c r="X68" s="23"/>
      <c r="Y68" s="26"/>
      <c r="Z68" s="26"/>
      <c r="AA68" s="491"/>
      <c r="AB68" s="491"/>
      <c r="AC68" s="154"/>
      <c r="AD68" s="25"/>
      <c r="AE68" s="19">
        <f t="shared" si="8"/>
        <v>-80.845070422536992</v>
      </c>
      <c r="AF68" s="185">
        <f t="shared" si="9"/>
        <v>0.95957746478873152</v>
      </c>
      <c r="AG68" s="489"/>
    </row>
    <row r="69" spans="1:33" ht="15.75" customHeight="1">
      <c r="A69" s="507" t="s">
        <v>1065</v>
      </c>
      <c r="B69" s="42" t="s">
        <v>103</v>
      </c>
      <c r="C69" s="501" t="s">
        <v>107</v>
      </c>
      <c r="D69" s="502"/>
      <c r="E69" s="42">
        <v>55.32</v>
      </c>
      <c r="F69" s="46">
        <v>1658</v>
      </c>
      <c r="G69" s="186">
        <f t="shared" si="35"/>
        <v>91720.56</v>
      </c>
      <c r="H69" s="125" t="s">
        <v>79</v>
      </c>
      <c r="I69" s="194">
        <v>15</v>
      </c>
      <c r="J69" s="37">
        <v>2000</v>
      </c>
      <c r="K69" s="17">
        <f t="shared" ref="K69:K84" si="39">J69/I69</f>
        <v>133.33333333333334</v>
      </c>
      <c r="L69" s="194">
        <v>15</v>
      </c>
      <c r="M69" s="18">
        <f t="shared" si="36"/>
        <v>1913.076923076924</v>
      </c>
      <c r="N69" s="18">
        <f t="shared" ref="N69:N84" si="40">M69/L69</f>
        <v>127.5384615384616</v>
      </c>
      <c r="O69" s="19">
        <f t="shared" ref="O69:O84" si="41">L69-I69</f>
        <v>0</v>
      </c>
      <c r="P69" s="20">
        <f t="shared" ref="P69:P84" si="42">N69-K69</f>
        <v>-5.7948717948717388</v>
      </c>
      <c r="Q69" s="185">
        <f t="shared" ref="Q69:Q84" si="43">N69/K69</f>
        <v>0.956538461538462</v>
      </c>
      <c r="R69" s="489"/>
      <c r="S69" s="40">
        <v>0.76319444444444451</v>
      </c>
      <c r="T69" s="40">
        <v>0.7993055555555556</v>
      </c>
      <c r="U69" s="186">
        <f t="shared" si="38"/>
        <v>7.9999999999999716</v>
      </c>
      <c r="V69" s="195">
        <f t="shared" si="37"/>
        <v>51.999999999999972</v>
      </c>
      <c r="W69" s="23"/>
      <c r="X69" s="23"/>
      <c r="Y69" s="26"/>
      <c r="Z69" s="26"/>
      <c r="AA69" s="503"/>
      <c r="AB69" s="504"/>
      <c r="AC69" s="154"/>
      <c r="AD69" s="25"/>
      <c r="AE69" s="19">
        <f t="shared" ref="AE69:AE84" si="44">M69-J69</f>
        <v>-86.923076923075996</v>
      </c>
      <c r="AF69" s="185">
        <f t="shared" ref="AF69:AF84" si="45">M69/J69</f>
        <v>0.956538461538462</v>
      </c>
      <c r="AG69" s="489"/>
    </row>
    <row r="70" spans="1:33" ht="15.75" customHeight="1">
      <c r="A70" s="507" t="s">
        <v>1065</v>
      </c>
      <c r="B70" s="42" t="s">
        <v>103</v>
      </c>
      <c r="C70" s="501" t="s">
        <v>516</v>
      </c>
      <c r="D70" s="502"/>
      <c r="E70" s="42">
        <v>50.67</v>
      </c>
      <c r="F70" s="46">
        <v>2202</v>
      </c>
      <c r="G70" s="186">
        <f t="shared" si="35"/>
        <v>111575.34</v>
      </c>
      <c r="H70" s="125" t="s">
        <v>79</v>
      </c>
      <c r="I70" s="194">
        <v>16</v>
      </c>
      <c r="J70" s="37">
        <v>2000</v>
      </c>
      <c r="K70" s="17">
        <f t="shared" si="39"/>
        <v>125</v>
      </c>
      <c r="L70" s="194">
        <v>16</v>
      </c>
      <c r="M70" s="18">
        <f t="shared" si="36"/>
        <v>1914.7826086956545</v>
      </c>
      <c r="N70" s="18">
        <f t="shared" si="40"/>
        <v>119.67391304347841</v>
      </c>
      <c r="O70" s="19">
        <f t="shared" si="41"/>
        <v>0</v>
      </c>
      <c r="P70" s="20">
        <f t="shared" si="42"/>
        <v>-5.3260869565215927</v>
      </c>
      <c r="Q70" s="185">
        <f t="shared" si="43"/>
        <v>0.95739130434782727</v>
      </c>
      <c r="R70" s="489"/>
      <c r="S70" s="40">
        <v>0.80277777777777781</v>
      </c>
      <c r="T70" s="40">
        <v>0.85069444444444442</v>
      </c>
      <c r="U70" s="186">
        <f t="shared" si="38"/>
        <v>4.9999999999999822</v>
      </c>
      <c r="V70" s="195">
        <f t="shared" si="37"/>
        <v>68.999999999999915</v>
      </c>
      <c r="W70" s="23"/>
      <c r="X70" s="23"/>
      <c r="Y70" s="26"/>
      <c r="Z70" s="26"/>
      <c r="AA70" s="503"/>
      <c r="AB70" s="504"/>
      <c r="AC70" s="154"/>
      <c r="AD70" s="25"/>
      <c r="AE70" s="19">
        <f t="shared" si="44"/>
        <v>-85.217391304345483</v>
      </c>
      <c r="AF70" s="185">
        <f t="shared" si="45"/>
        <v>0.95739130434782727</v>
      </c>
      <c r="AG70" s="489"/>
    </row>
    <row r="71" spans="1:33">
      <c r="A71" s="508" t="s">
        <v>319</v>
      </c>
      <c r="B71" s="42" t="s">
        <v>299</v>
      </c>
      <c r="C71" s="494"/>
      <c r="D71" s="494"/>
      <c r="E71" s="188"/>
      <c r="F71" s="44"/>
      <c r="G71" s="17"/>
      <c r="H71" s="196"/>
      <c r="I71" s="30">
        <v>18.428571428571427</v>
      </c>
      <c r="J71" s="37">
        <v>2000</v>
      </c>
      <c r="K71" s="17">
        <f t="shared" si="39"/>
        <v>108.52713178294574</v>
      </c>
      <c r="L71" s="30">
        <v>18.428571428571427</v>
      </c>
      <c r="M71" s="18">
        <f>AVERAGE(M64:M70)</f>
        <v>1833.5354952855228</v>
      </c>
      <c r="N71" s="17">
        <f t="shared" si="40"/>
        <v>99.494174162780311</v>
      </c>
      <c r="O71" s="19">
        <f t="shared" si="41"/>
        <v>0</v>
      </c>
      <c r="P71" s="20">
        <f t="shared" si="42"/>
        <v>-9.0329576201654334</v>
      </c>
      <c r="Q71" s="185">
        <f t="shared" si="43"/>
        <v>0.91676774764276137</v>
      </c>
      <c r="R71" s="489"/>
      <c r="S71" s="41"/>
      <c r="T71" s="40"/>
      <c r="U71" s="17"/>
      <c r="V71" s="195"/>
      <c r="W71" s="17"/>
      <c r="X71" s="17"/>
      <c r="Y71" s="31">
        <f>SUM(Y64:Y70)</f>
        <v>0</v>
      </c>
      <c r="Z71" s="31">
        <f>SUM(Z64:Z70)</f>
        <v>0</v>
      </c>
      <c r="AA71" s="495"/>
      <c r="AB71" s="495"/>
      <c r="AC71" s="31">
        <f>SUM(AC64:AC70)</f>
        <v>5</v>
      </c>
      <c r="AD71" s="31">
        <f>SUM(AD64:AD70)</f>
        <v>0</v>
      </c>
      <c r="AE71" s="19">
        <f t="shared" si="44"/>
        <v>-166.46450471447724</v>
      </c>
      <c r="AF71" s="185">
        <f t="shared" si="45"/>
        <v>0.91676774764276137</v>
      </c>
      <c r="AG71" s="489"/>
    </row>
    <row r="72" spans="1:33" ht="15.75" customHeight="1">
      <c r="A72" s="499" t="s">
        <v>320</v>
      </c>
      <c r="B72" s="196" t="s">
        <v>100</v>
      </c>
      <c r="C72" s="490" t="s">
        <v>109</v>
      </c>
      <c r="D72" s="490"/>
      <c r="E72" s="42">
        <v>26.97</v>
      </c>
      <c r="F72" s="46">
        <v>2393</v>
      </c>
      <c r="G72" s="186">
        <f t="shared" ref="G72:G76" si="46">E72*F72</f>
        <v>64539.21</v>
      </c>
      <c r="H72" s="125" t="s">
        <v>79</v>
      </c>
      <c r="I72" s="194">
        <v>8</v>
      </c>
      <c r="J72" s="37">
        <v>1500</v>
      </c>
      <c r="K72" s="17">
        <f t="shared" si="39"/>
        <v>187.5</v>
      </c>
      <c r="L72" s="194">
        <v>8</v>
      </c>
      <c r="M72" s="18">
        <f t="shared" ref="M72:M76" si="47">F72/V72*60</f>
        <v>1435.8</v>
      </c>
      <c r="N72" s="17">
        <f t="shared" si="40"/>
        <v>179.47499999999999</v>
      </c>
      <c r="O72" s="19">
        <f t="shared" si="41"/>
        <v>0</v>
      </c>
      <c r="P72" s="20">
        <f t="shared" si="42"/>
        <v>-8.0250000000000057</v>
      </c>
      <c r="Q72" s="185">
        <f t="shared" si="43"/>
        <v>0.95719999999999994</v>
      </c>
      <c r="R72" s="489">
        <f>Q77</f>
        <v>0.96145156468629667</v>
      </c>
      <c r="S72" s="40">
        <v>0.20833333333333334</v>
      </c>
      <c r="T72" s="40">
        <v>0.27777777777777779</v>
      </c>
      <c r="U72" s="186"/>
      <c r="V72" s="195">
        <f t="shared" ref="V72:V76" si="48">(T72-S72)*24*60</f>
        <v>100</v>
      </c>
      <c r="W72" s="28"/>
      <c r="X72" s="28"/>
      <c r="Y72" s="28"/>
      <c r="Z72" s="28"/>
      <c r="AA72" s="491"/>
      <c r="AB72" s="491"/>
      <c r="AC72" s="154" t="s">
        <v>79</v>
      </c>
      <c r="AD72" s="25"/>
      <c r="AE72" s="19">
        <f t="shared" si="44"/>
        <v>-64.200000000000045</v>
      </c>
      <c r="AF72" s="185">
        <f t="shared" si="45"/>
        <v>0.95719999999999994</v>
      </c>
      <c r="AG72" s="489">
        <f>AF77</f>
        <v>0.96145156468629678</v>
      </c>
    </row>
    <row r="73" spans="1:33" ht="15.75" customHeight="1">
      <c r="A73" s="499" t="s">
        <v>320</v>
      </c>
      <c r="B73" s="196" t="s">
        <v>93</v>
      </c>
      <c r="C73" s="490" t="s">
        <v>110</v>
      </c>
      <c r="D73" s="490"/>
      <c r="E73" s="42">
        <v>26.78</v>
      </c>
      <c r="F73" s="46">
        <v>1100</v>
      </c>
      <c r="G73" s="186">
        <f t="shared" si="46"/>
        <v>29458</v>
      </c>
      <c r="H73" s="125">
        <v>2</v>
      </c>
      <c r="I73" s="194">
        <v>10</v>
      </c>
      <c r="J73" s="37">
        <v>3000</v>
      </c>
      <c r="K73" s="17">
        <f t="shared" si="39"/>
        <v>300</v>
      </c>
      <c r="L73" s="194">
        <v>10</v>
      </c>
      <c r="M73" s="18">
        <f t="shared" si="47"/>
        <v>2869.5652173913045</v>
      </c>
      <c r="N73" s="17">
        <f t="shared" si="40"/>
        <v>286.95652173913044</v>
      </c>
      <c r="O73" s="19">
        <f t="shared" si="41"/>
        <v>0</v>
      </c>
      <c r="P73" s="20">
        <f t="shared" si="42"/>
        <v>-13.043478260869563</v>
      </c>
      <c r="Q73" s="185">
        <f t="shared" si="43"/>
        <v>0.95652173913043481</v>
      </c>
      <c r="R73" s="489"/>
      <c r="S73" s="40">
        <v>0.28194444444444444</v>
      </c>
      <c r="T73" s="40">
        <v>0.29791666666666666</v>
      </c>
      <c r="U73" s="186">
        <f t="shared" ref="U73:U76" si="49">(S73-T72)*24*60</f>
        <v>5.9999999999999787</v>
      </c>
      <c r="V73" s="195">
        <f t="shared" si="48"/>
        <v>23</v>
      </c>
      <c r="W73" s="186"/>
      <c r="X73" s="186"/>
      <c r="Y73" s="186"/>
      <c r="Z73" s="186"/>
      <c r="AA73" s="491"/>
      <c r="AB73" s="491"/>
      <c r="AC73" s="154" t="s">
        <v>79</v>
      </c>
      <c r="AD73" s="25"/>
      <c r="AE73" s="19">
        <f t="shared" si="44"/>
        <v>-130.43478260869551</v>
      </c>
      <c r="AF73" s="185">
        <f t="shared" si="45"/>
        <v>0.95652173913043481</v>
      </c>
      <c r="AG73" s="489"/>
    </row>
    <row r="74" spans="1:33" ht="15.75" customHeight="1">
      <c r="A74" s="499" t="s">
        <v>320</v>
      </c>
      <c r="B74" s="196" t="s">
        <v>93</v>
      </c>
      <c r="C74" s="490" t="s">
        <v>111</v>
      </c>
      <c r="D74" s="490"/>
      <c r="E74" s="42">
        <v>37.880000000000003</v>
      </c>
      <c r="F74" s="46">
        <v>2633</v>
      </c>
      <c r="G74" s="186">
        <f t="shared" si="46"/>
        <v>99738.040000000008</v>
      </c>
      <c r="H74" s="125" t="s">
        <v>79</v>
      </c>
      <c r="I74" s="194">
        <v>10</v>
      </c>
      <c r="J74" s="37">
        <v>3000</v>
      </c>
      <c r="K74" s="17">
        <f t="shared" si="39"/>
        <v>300</v>
      </c>
      <c r="L74" s="194">
        <v>10</v>
      </c>
      <c r="M74" s="18">
        <f t="shared" si="47"/>
        <v>2872.3636363636383</v>
      </c>
      <c r="N74" s="17">
        <f t="shared" si="40"/>
        <v>287.23636363636382</v>
      </c>
      <c r="O74" s="19">
        <f t="shared" si="41"/>
        <v>0</v>
      </c>
      <c r="P74" s="20">
        <f t="shared" si="42"/>
        <v>-12.763636363636181</v>
      </c>
      <c r="Q74" s="185">
        <f t="shared" si="43"/>
        <v>0.95745454545454611</v>
      </c>
      <c r="R74" s="489"/>
      <c r="S74" s="40">
        <v>0.30277777777777776</v>
      </c>
      <c r="T74" s="40">
        <v>0.34097222222222218</v>
      </c>
      <c r="U74" s="186">
        <f t="shared" si="49"/>
        <v>6.9999999999999751</v>
      </c>
      <c r="V74" s="195">
        <f t="shared" si="48"/>
        <v>54.999999999999964</v>
      </c>
      <c r="W74" s="186"/>
      <c r="X74" s="186"/>
      <c r="Y74" s="186"/>
      <c r="Z74" s="186"/>
      <c r="AA74" s="491"/>
      <c r="AB74" s="491"/>
      <c r="AC74" s="154" t="s">
        <v>79</v>
      </c>
      <c r="AD74" s="25"/>
      <c r="AE74" s="19">
        <f t="shared" si="44"/>
        <v>-127.63636363636169</v>
      </c>
      <c r="AF74" s="185">
        <f t="shared" si="45"/>
        <v>0.95745454545454611</v>
      </c>
      <c r="AG74" s="489"/>
    </row>
    <row r="75" spans="1:33" ht="15.75" customHeight="1">
      <c r="A75" s="499" t="s">
        <v>320</v>
      </c>
      <c r="B75" s="196" t="s">
        <v>100</v>
      </c>
      <c r="C75" s="490" t="s">
        <v>519</v>
      </c>
      <c r="D75" s="490"/>
      <c r="E75" s="42">
        <v>27.4</v>
      </c>
      <c r="F75" s="46">
        <v>6162</v>
      </c>
      <c r="G75" s="186">
        <f t="shared" si="46"/>
        <v>168838.8</v>
      </c>
      <c r="H75" s="125" t="s">
        <v>79</v>
      </c>
      <c r="I75" s="194">
        <v>10</v>
      </c>
      <c r="J75" s="37">
        <v>1500</v>
      </c>
      <c r="K75" s="17">
        <f t="shared" si="39"/>
        <v>150</v>
      </c>
      <c r="L75" s="194">
        <v>10</v>
      </c>
      <c r="M75" s="18">
        <f t="shared" si="47"/>
        <v>1433.0232558139537</v>
      </c>
      <c r="N75" s="17">
        <f t="shared" si="40"/>
        <v>143.30232558139537</v>
      </c>
      <c r="O75" s="19">
        <f t="shared" si="41"/>
        <v>0</v>
      </c>
      <c r="P75" s="20">
        <f t="shared" si="42"/>
        <v>-6.6976744186046346</v>
      </c>
      <c r="Q75" s="185">
        <f t="shared" si="43"/>
        <v>0.95534883720930242</v>
      </c>
      <c r="R75" s="489"/>
      <c r="S75" s="40">
        <v>0.34444444444444439</v>
      </c>
      <c r="T75" s="40">
        <v>0.52361111111111103</v>
      </c>
      <c r="U75" s="186">
        <f t="shared" si="49"/>
        <v>4.9999999999999822</v>
      </c>
      <c r="V75" s="195">
        <f t="shared" si="48"/>
        <v>257.99999999999994</v>
      </c>
      <c r="W75" s="23">
        <f>T75</f>
        <v>0.52361111111111103</v>
      </c>
      <c r="X75" s="23">
        <f>S76</f>
        <v>0.56319444444444433</v>
      </c>
      <c r="Y75" s="186"/>
      <c r="Z75" s="186"/>
      <c r="AA75" s="491"/>
      <c r="AB75" s="491"/>
      <c r="AC75" s="154">
        <v>2</v>
      </c>
      <c r="AD75" s="25"/>
      <c r="AE75" s="19">
        <f t="shared" si="44"/>
        <v>-66.97674418604629</v>
      </c>
      <c r="AF75" s="185">
        <f t="shared" si="45"/>
        <v>0.95534883720930253</v>
      </c>
      <c r="AG75" s="489"/>
    </row>
    <row r="76" spans="1:33">
      <c r="A76" s="500" t="s">
        <v>320</v>
      </c>
      <c r="B76" s="196" t="s">
        <v>93</v>
      </c>
      <c r="C76" s="490" t="s">
        <v>110</v>
      </c>
      <c r="D76" s="490"/>
      <c r="E76" s="42">
        <v>26.78</v>
      </c>
      <c r="F76" s="46">
        <v>1756</v>
      </c>
      <c r="G76" s="186">
        <f t="shared" si="46"/>
        <v>47025.68</v>
      </c>
      <c r="H76" s="125" t="s">
        <v>79</v>
      </c>
      <c r="I76" s="194">
        <v>10</v>
      </c>
      <c r="J76" s="37">
        <v>3000</v>
      </c>
      <c r="K76" s="17">
        <f t="shared" si="39"/>
        <v>300</v>
      </c>
      <c r="L76" s="194">
        <v>10</v>
      </c>
      <c r="M76" s="18">
        <f t="shared" si="47"/>
        <v>2926.6666666666642</v>
      </c>
      <c r="N76" s="17">
        <f t="shared" si="40"/>
        <v>292.6666666666664</v>
      </c>
      <c r="O76" s="19">
        <f t="shared" si="41"/>
        <v>0</v>
      </c>
      <c r="P76" s="20">
        <f t="shared" si="42"/>
        <v>-7.3333333333335986</v>
      </c>
      <c r="Q76" s="185">
        <f t="shared" si="43"/>
        <v>0.97555555555555462</v>
      </c>
      <c r="R76" s="489"/>
      <c r="S76" s="40">
        <v>0.56319444444444433</v>
      </c>
      <c r="T76" s="40">
        <v>0.58819444444444435</v>
      </c>
      <c r="U76" s="186">
        <f t="shared" si="49"/>
        <v>56.999999999999957</v>
      </c>
      <c r="V76" s="195">
        <f t="shared" si="48"/>
        <v>36.000000000000028</v>
      </c>
      <c r="W76" s="23"/>
      <c r="X76" s="23"/>
      <c r="Y76" s="23"/>
      <c r="Z76" s="23"/>
      <c r="AA76" s="491"/>
      <c r="AB76" s="491"/>
      <c r="AC76" s="154" t="s">
        <v>79</v>
      </c>
      <c r="AD76" s="25"/>
      <c r="AE76" s="19">
        <f t="shared" si="44"/>
        <v>-73.333333333335759</v>
      </c>
      <c r="AF76" s="185">
        <f t="shared" si="45"/>
        <v>0.97555555555555473</v>
      </c>
      <c r="AG76" s="489"/>
    </row>
    <row r="77" spans="1:33">
      <c r="A77" s="500" t="s">
        <v>1066</v>
      </c>
      <c r="B77" s="42" t="s">
        <v>1067</v>
      </c>
      <c r="C77" s="494"/>
      <c r="D77" s="494"/>
      <c r="E77" s="188"/>
      <c r="F77" s="44"/>
      <c r="G77" s="17"/>
      <c r="H77" s="196"/>
      <c r="I77" s="30">
        <v>9.8000000000000007</v>
      </c>
      <c r="J77" s="37">
        <v>2400</v>
      </c>
      <c r="K77" s="17">
        <f t="shared" si="39"/>
        <v>244.89795918367346</v>
      </c>
      <c r="L77" s="30">
        <v>9.8000000000000007</v>
      </c>
      <c r="M77" s="18">
        <f>AVERAGE(M72:M76)</f>
        <v>2307.4837552471122</v>
      </c>
      <c r="N77" s="17">
        <f t="shared" si="40"/>
        <v>235.45752604562367</v>
      </c>
      <c r="O77" s="19">
        <f t="shared" si="41"/>
        <v>0</v>
      </c>
      <c r="P77" s="20">
        <f t="shared" si="42"/>
        <v>-9.4404331380497979</v>
      </c>
      <c r="Q77" s="185">
        <f t="shared" si="43"/>
        <v>0.96145156468629667</v>
      </c>
      <c r="R77" s="489"/>
      <c r="S77" s="40"/>
      <c r="T77" s="40"/>
      <c r="U77" s="17"/>
      <c r="V77" s="195"/>
      <c r="W77" s="17"/>
      <c r="X77" s="17"/>
      <c r="Y77" s="31">
        <f>SUM(Y72:Y76)</f>
        <v>0</v>
      </c>
      <c r="Z77" s="31">
        <f>SUM(Z72:Z76)</f>
        <v>0</v>
      </c>
      <c r="AA77" s="495"/>
      <c r="AB77" s="495"/>
      <c r="AC77" s="31">
        <f>SUM(AC72:AC76)</f>
        <v>2</v>
      </c>
      <c r="AD77" s="31">
        <f>SUM(AD72:AD76)</f>
        <v>0</v>
      </c>
      <c r="AE77" s="19">
        <f t="shared" si="44"/>
        <v>-92.516244752887815</v>
      </c>
      <c r="AF77" s="185">
        <f t="shared" si="45"/>
        <v>0.96145156468629678</v>
      </c>
      <c r="AG77" s="489"/>
    </row>
    <row r="78" spans="1:33" ht="15.75" customHeight="1">
      <c r="A78" s="496" t="s">
        <v>1068</v>
      </c>
      <c r="B78" s="196" t="s">
        <v>80</v>
      </c>
      <c r="C78" s="490" t="s">
        <v>115</v>
      </c>
      <c r="D78" s="490"/>
      <c r="E78" s="42">
        <v>20.2</v>
      </c>
      <c r="F78" s="196">
        <v>2497</v>
      </c>
      <c r="G78" s="186">
        <f t="shared" ref="G78:G83" si="50">E78*F78</f>
        <v>50439.4</v>
      </c>
      <c r="H78" s="125" t="s">
        <v>79</v>
      </c>
      <c r="I78" s="194">
        <v>19</v>
      </c>
      <c r="J78" s="37">
        <v>2400</v>
      </c>
      <c r="K78" s="17">
        <f t="shared" si="39"/>
        <v>126.31578947368421</v>
      </c>
      <c r="L78" s="194">
        <v>19</v>
      </c>
      <c r="M78" s="18">
        <f t="shared" ref="M78:M83" si="51">F78/V78*60</f>
        <v>2304.9230769230776</v>
      </c>
      <c r="N78" s="17">
        <f t="shared" si="40"/>
        <v>121.3117408906883</v>
      </c>
      <c r="O78" s="19">
        <f t="shared" si="41"/>
        <v>0</v>
      </c>
      <c r="P78" s="20">
        <f t="shared" si="42"/>
        <v>-5.0040485829959067</v>
      </c>
      <c r="Q78" s="185">
        <f t="shared" si="43"/>
        <v>0.96038461538461573</v>
      </c>
      <c r="R78" s="489">
        <f>Q84</f>
        <v>0.9572523355127841</v>
      </c>
      <c r="S78" s="40">
        <v>8.3333333333333329E-2</v>
      </c>
      <c r="T78" s="40">
        <v>0.12847222222222221</v>
      </c>
      <c r="U78" s="28"/>
      <c r="V78" s="195">
        <f t="shared" ref="V78:V83" si="52">(T78-S78)*24*60</f>
        <v>64.999999999999986</v>
      </c>
      <c r="W78" s="23">
        <f>T78</f>
        <v>0.12847222222222221</v>
      </c>
      <c r="X78" s="23">
        <f>S79</f>
        <v>0.14861111111111111</v>
      </c>
      <c r="Y78" s="23"/>
      <c r="Z78" s="23"/>
      <c r="AA78" s="491"/>
      <c r="AB78" s="491"/>
      <c r="AC78" s="154">
        <v>9</v>
      </c>
      <c r="AD78" s="25"/>
      <c r="AE78" s="19">
        <f t="shared" si="44"/>
        <v>-95.076923076922412</v>
      </c>
      <c r="AF78" s="185">
        <f t="shared" si="45"/>
        <v>0.96038461538461561</v>
      </c>
      <c r="AG78" s="489">
        <f>AF84</f>
        <v>0.9572523355127841</v>
      </c>
    </row>
    <row r="79" spans="1:33" ht="15.75" customHeight="1">
      <c r="A79" s="497" t="s">
        <v>1069</v>
      </c>
      <c r="B79" s="196" t="s">
        <v>80</v>
      </c>
      <c r="C79" s="490" t="s">
        <v>116</v>
      </c>
      <c r="D79" s="490"/>
      <c r="E79" s="42">
        <v>20.52</v>
      </c>
      <c r="F79" s="196">
        <v>3370</v>
      </c>
      <c r="G79" s="186">
        <f t="shared" si="50"/>
        <v>69152.399999999994</v>
      </c>
      <c r="H79" s="125" t="s">
        <v>79</v>
      </c>
      <c r="I79" s="194">
        <v>18</v>
      </c>
      <c r="J79" s="37">
        <v>2400</v>
      </c>
      <c r="K79" s="17">
        <f t="shared" si="39"/>
        <v>133.33333333333334</v>
      </c>
      <c r="L79" s="194">
        <v>18</v>
      </c>
      <c r="M79" s="18">
        <f t="shared" si="51"/>
        <v>2297.727272727273</v>
      </c>
      <c r="N79" s="17">
        <f t="shared" si="40"/>
        <v>127.65151515151517</v>
      </c>
      <c r="O79" s="19">
        <f t="shared" si="41"/>
        <v>0</v>
      </c>
      <c r="P79" s="20">
        <f t="shared" si="42"/>
        <v>-5.6818181818181728</v>
      </c>
      <c r="Q79" s="185">
        <f t="shared" si="43"/>
        <v>0.95738636363636376</v>
      </c>
      <c r="R79" s="489"/>
      <c r="S79" s="40">
        <v>0.14861111111111111</v>
      </c>
      <c r="T79" s="40">
        <v>0.20972222222222223</v>
      </c>
      <c r="U79" s="186">
        <f t="shared" ref="U79:U83" si="53">(S79-T78)*24*60</f>
        <v>29.000000000000018</v>
      </c>
      <c r="V79" s="195">
        <f t="shared" si="52"/>
        <v>88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-102.27272727272702</v>
      </c>
      <c r="AF79" s="185">
        <f t="shared" si="45"/>
        <v>0.95738636363636376</v>
      </c>
      <c r="AG79" s="489"/>
    </row>
    <row r="80" spans="1:33" ht="15.75" customHeight="1">
      <c r="A80" s="497" t="s">
        <v>1069</v>
      </c>
      <c r="B80" s="196" t="s">
        <v>80</v>
      </c>
      <c r="C80" s="490" t="s">
        <v>117</v>
      </c>
      <c r="D80" s="490"/>
      <c r="E80" s="42">
        <v>24.43</v>
      </c>
      <c r="F80" s="196">
        <v>7269</v>
      </c>
      <c r="G80" s="186">
        <f t="shared" si="50"/>
        <v>177581.66999999998</v>
      </c>
      <c r="H80" s="125" t="s">
        <v>79</v>
      </c>
      <c r="I80" s="194">
        <v>14</v>
      </c>
      <c r="J80" s="37">
        <v>2400</v>
      </c>
      <c r="K80" s="17">
        <f t="shared" si="39"/>
        <v>171.42857142857142</v>
      </c>
      <c r="L80" s="194">
        <v>14</v>
      </c>
      <c r="M80" s="18">
        <f t="shared" si="51"/>
        <v>2295.4736842105258</v>
      </c>
      <c r="N80" s="17">
        <f t="shared" si="40"/>
        <v>163.96240601503754</v>
      </c>
      <c r="O80" s="19">
        <f t="shared" si="41"/>
        <v>0</v>
      </c>
      <c r="P80" s="20">
        <f t="shared" si="42"/>
        <v>-7.4661654135338722</v>
      </c>
      <c r="Q80" s="185">
        <f t="shared" si="43"/>
        <v>0.95644736842105238</v>
      </c>
      <c r="R80" s="489"/>
      <c r="S80" s="40">
        <v>0.21319444444444444</v>
      </c>
      <c r="T80" s="40">
        <v>0.34513888888888888</v>
      </c>
      <c r="U80" s="186">
        <f t="shared" si="53"/>
        <v>4.9999999999999822</v>
      </c>
      <c r="V80" s="195">
        <f t="shared" si="52"/>
        <v>190.00000000000003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-104.52631578947421</v>
      </c>
      <c r="AF80" s="185">
        <f t="shared" si="45"/>
        <v>0.95644736842105238</v>
      </c>
      <c r="AG80" s="489"/>
    </row>
    <row r="81" spans="1:33" ht="15.75" customHeight="1">
      <c r="A81" s="497" t="s">
        <v>321</v>
      </c>
      <c r="B81" s="196" t="s">
        <v>80</v>
      </c>
      <c r="C81" s="490" t="s">
        <v>118</v>
      </c>
      <c r="D81" s="490"/>
      <c r="E81" s="42">
        <v>20.21</v>
      </c>
      <c r="F81" s="196">
        <v>4365</v>
      </c>
      <c r="G81" s="186">
        <f t="shared" si="50"/>
        <v>88216.650000000009</v>
      </c>
      <c r="H81" s="125" t="s">
        <v>79</v>
      </c>
      <c r="I81" s="194">
        <v>16</v>
      </c>
      <c r="J81" s="37">
        <v>2400</v>
      </c>
      <c r="K81" s="17">
        <f t="shared" si="39"/>
        <v>150</v>
      </c>
      <c r="L81" s="194">
        <v>16</v>
      </c>
      <c r="M81" s="18">
        <f t="shared" si="51"/>
        <v>2297.3684210526317</v>
      </c>
      <c r="N81" s="17">
        <f t="shared" si="40"/>
        <v>143.58552631578948</v>
      </c>
      <c r="O81" s="19">
        <f t="shared" si="41"/>
        <v>0</v>
      </c>
      <c r="P81" s="20">
        <f t="shared" si="42"/>
        <v>-6.4144736842105203</v>
      </c>
      <c r="Q81" s="185">
        <f t="shared" si="43"/>
        <v>0.95723684210526316</v>
      </c>
      <c r="R81" s="489"/>
      <c r="S81" s="40">
        <v>0.35069444444444442</v>
      </c>
      <c r="T81" s="40">
        <v>0.42986111111111108</v>
      </c>
      <c r="U81" s="186">
        <f t="shared" si="53"/>
        <v>7.9999999999999716</v>
      </c>
      <c r="V81" s="195">
        <f t="shared" si="52"/>
        <v>114</v>
      </c>
      <c r="W81" s="23"/>
      <c r="X81" s="23"/>
      <c r="Y81" s="23"/>
      <c r="Z81" s="23"/>
      <c r="AA81" s="491"/>
      <c r="AB81" s="491"/>
      <c r="AC81" s="154"/>
      <c r="AD81" s="25"/>
      <c r="AE81" s="19">
        <f t="shared" si="44"/>
        <v>-102.63157894736833</v>
      </c>
      <c r="AF81" s="185">
        <f t="shared" si="45"/>
        <v>0.95723684210526316</v>
      </c>
      <c r="AG81" s="489"/>
    </row>
    <row r="82" spans="1:33" ht="15.75" customHeight="1">
      <c r="A82" s="497" t="s">
        <v>321</v>
      </c>
      <c r="B82" s="196" t="s">
        <v>80</v>
      </c>
      <c r="C82" s="490" t="s">
        <v>119</v>
      </c>
      <c r="D82" s="490"/>
      <c r="E82" s="42">
        <v>19.02</v>
      </c>
      <c r="F82" s="196">
        <v>3900</v>
      </c>
      <c r="G82" s="186">
        <f t="shared" si="50"/>
        <v>74178</v>
      </c>
      <c r="H82" s="125">
        <v>2</v>
      </c>
      <c r="I82" s="194">
        <v>15</v>
      </c>
      <c r="J82" s="37">
        <v>2400</v>
      </c>
      <c r="K82" s="17">
        <f t="shared" si="39"/>
        <v>160</v>
      </c>
      <c r="L82" s="194">
        <v>15</v>
      </c>
      <c r="M82" s="18">
        <f t="shared" si="51"/>
        <v>2294.1176470588225</v>
      </c>
      <c r="N82" s="17">
        <f t="shared" si="40"/>
        <v>152.94117647058818</v>
      </c>
      <c r="O82" s="19">
        <f t="shared" si="41"/>
        <v>0</v>
      </c>
      <c r="P82" s="20">
        <f t="shared" si="42"/>
        <v>-7.0588235294118249</v>
      </c>
      <c r="Q82" s="185">
        <f t="shared" si="43"/>
        <v>0.95588235294117607</v>
      </c>
      <c r="R82" s="489"/>
      <c r="S82" s="40">
        <v>0.43333333333333329</v>
      </c>
      <c r="T82" s="40">
        <v>0.50416666666666665</v>
      </c>
      <c r="U82" s="186">
        <f t="shared" si="53"/>
        <v>4.9999999999999822</v>
      </c>
      <c r="V82" s="195">
        <f t="shared" si="52"/>
        <v>102.00000000000004</v>
      </c>
      <c r="W82" s="23">
        <f>T82</f>
        <v>0.50416666666666665</v>
      </c>
      <c r="X82" s="23">
        <f>S83</f>
        <v>0.5444444444444444</v>
      </c>
      <c r="Y82" s="23"/>
      <c r="Z82" s="23"/>
      <c r="AA82" s="491"/>
      <c r="AB82" s="491"/>
      <c r="AC82" s="154"/>
      <c r="AD82" s="25"/>
      <c r="AE82" s="19">
        <f t="shared" si="44"/>
        <v>-105.88235294117749</v>
      </c>
      <c r="AF82" s="185">
        <f t="shared" si="45"/>
        <v>0.95588235294117607</v>
      </c>
      <c r="AG82" s="489"/>
    </row>
    <row r="83" spans="1:33" ht="15.75" customHeight="1">
      <c r="A83" s="497" t="s">
        <v>1070</v>
      </c>
      <c r="B83" s="196" t="s">
        <v>80</v>
      </c>
      <c r="C83" s="490" t="s">
        <v>119</v>
      </c>
      <c r="D83" s="490"/>
      <c r="E83" s="42">
        <v>19.02</v>
      </c>
      <c r="F83" s="196">
        <v>6502</v>
      </c>
      <c r="G83" s="186">
        <f t="shared" si="50"/>
        <v>123668.04</v>
      </c>
      <c r="H83" s="125" t="s">
        <v>79</v>
      </c>
      <c r="I83" s="194">
        <v>15</v>
      </c>
      <c r="J83" s="37">
        <v>2400</v>
      </c>
      <c r="K83" s="17">
        <f t="shared" si="39"/>
        <v>160</v>
      </c>
      <c r="L83" s="194">
        <v>15</v>
      </c>
      <c r="M83" s="18">
        <f t="shared" si="51"/>
        <v>2294.8235294117644</v>
      </c>
      <c r="N83" s="17">
        <f t="shared" si="40"/>
        <v>152.98823529411763</v>
      </c>
      <c r="O83" s="19">
        <f t="shared" si="41"/>
        <v>0</v>
      </c>
      <c r="P83" s="20">
        <f t="shared" si="42"/>
        <v>-7.0117647058823707</v>
      </c>
      <c r="Q83" s="185">
        <f t="shared" si="43"/>
        <v>0.95617647058823518</v>
      </c>
      <c r="R83" s="489"/>
      <c r="S83" s="40">
        <v>0.5444444444444444</v>
      </c>
      <c r="T83" s="40">
        <v>0.66249999999999998</v>
      </c>
      <c r="U83" s="186">
        <f t="shared" si="53"/>
        <v>57.999999999999957</v>
      </c>
      <c r="V83" s="195">
        <f t="shared" si="52"/>
        <v>170.00000000000003</v>
      </c>
      <c r="W83" s="23"/>
      <c r="X83" s="23"/>
      <c r="Y83" s="23"/>
      <c r="Z83" s="23"/>
      <c r="AA83" s="491"/>
      <c r="AB83" s="491"/>
      <c r="AC83" s="154"/>
      <c r="AD83" s="25"/>
      <c r="AE83" s="19">
        <f t="shared" si="44"/>
        <v>-105.17647058823559</v>
      </c>
      <c r="AF83" s="185">
        <f t="shared" si="45"/>
        <v>0.95617647058823518</v>
      </c>
      <c r="AG83" s="489"/>
    </row>
    <row r="84" spans="1:33" ht="16.5" customHeight="1">
      <c r="A84" s="498" t="s">
        <v>1068</v>
      </c>
      <c r="B84" s="42" t="s">
        <v>1071</v>
      </c>
      <c r="C84" s="492"/>
      <c r="D84" s="493"/>
      <c r="E84" s="188"/>
      <c r="F84" s="44"/>
      <c r="G84" s="17"/>
      <c r="H84" s="196"/>
      <c r="I84" s="30">
        <v>16.166666666666668</v>
      </c>
      <c r="J84" s="37">
        <v>2400</v>
      </c>
      <c r="K84" s="17">
        <f t="shared" si="39"/>
        <v>148.45360824742266</v>
      </c>
      <c r="L84" s="30">
        <v>16.166666666666668</v>
      </c>
      <c r="M84" s="18">
        <f>AVERAGE(M78:M83)</f>
        <v>2297.4056052306819</v>
      </c>
      <c r="N84" s="17">
        <f t="shared" si="40"/>
        <v>142.10756321014526</v>
      </c>
      <c r="O84" s="19">
        <f t="shared" si="41"/>
        <v>0</v>
      </c>
      <c r="P84" s="20">
        <f t="shared" si="42"/>
        <v>-6.3460450372774062</v>
      </c>
      <c r="Q84" s="185">
        <f t="shared" si="43"/>
        <v>0.9572523355127841</v>
      </c>
      <c r="R84" s="489"/>
      <c r="S84" s="40"/>
      <c r="T84" s="40"/>
      <c r="U84" s="17"/>
      <c r="V84" s="195"/>
      <c r="W84" s="17"/>
      <c r="X84" s="17"/>
      <c r="Y84" s="31">
        <f>SUM(Y78:Y83)</f>
        <v>0</v>
      </c>
      <c r="Z84" s="31">
        <f>SUM(Z78:Z83)</f>
        <v>0</v>
      </c>
      <c r="AA84" s="495"/>
      <c r="AB84" s="495"/>
      <c r="AC84" s="31">
        <f>SUM(AC78:AC83)</f>
        <v>9</v>
      </c>
      <c r="AD84" s="31">
        <f>SUM(AD78:AD83)</f>
        <v>0</v>
      </c>
      <c r="AE84" s="19">
        <f t="shared" si="44"/>
        <v>-102.59439476931811</v>
      </c>
      <c r="AF84" s="185">
        <f t="shared" si="45"/>
        <v>0.9572523355127841</v>
      </c>
      <c r="AG84" s="489"/>
    </row>
    <row r="85" spans="1:33">
      <c r="D85" s="33"/>
      <c r="E85" s="33"/>
    </row>
  </sheetData>
  <mergeCells count="219">
    <mergeCell ref="AA81:AB81"/>
    <mergeCell ref="C82:D82"/>
    <mergeCell ref="AA82:AB82"/>
    <mergeCell ref="A78:A84"/>
    <mergeCell ref="C78:D78"/>
    <mergeCell ref="R78:R84"/>
    <mergeCell ref="AA78:AB78"/>
    <mergeCell ref="AG78:AG84"/>
    <mergeCell ref="C79:D79"/>
    <mergeCell ref="AA79:AB79"/>
    <mergeCell ref="C80:D80"/>
    <mergeCell ref="AA80:AB80"/>
    <mergeCell ref="C81:D81"/>
    <mergeCell ref="C83:D83"/>
    <mergeCell ref="AA83:AB83"/>
    <mergeCell ref="C84:D84"/>
    <mergeCell ref="AA84:AB84"/>
    <mergeCell ref="AG72:AG77"/>
    <mergeCell ref="C73:D73"/>
    <mergeCell ref="AA73:AB73"/>
    <mergeCell ref="C74:D74"/>
    <mergeCell ref="AA74:AB74"/>
    <mergeCell ref="AG64:AG71"/>
    <mergeCell ref="C65:D65"/>
    <mergeCell ref="AA65:AB65"/>
    <mergeCell ref="C66:D66"/>
    <mergeCell ref="AA66:AB66"/>
    <mergeCell ref="AA67:AB67"/>
    <mergeCell ref="AA68:AB68"/>
    <mergeCell ref="C69:D69"/>
    <mergeCell ref="AA69:AB69"/>
    <mergeCell ref="C70:D70"/>
    <mergeCell ref="C75:D75"/>
    <mergeCell ref="AA75:AB75"/>
    <mergeCell ref="C76:D76"/>
    <mergeCell ref="AA76:AB76"/>
    <mergeCell ref="C77:D77"/>
    <mergeCell ref="AA77:AB77"/>
    <mergeCell ref="A64:A71"/>
    <mergeCell ref="C64:D64"/>
    <mergeCell ref="R64:R71"/>
    <mergeCell ref="AA64:AB64"/>
    <mergeCell ref="AA70:AB70"/>
    <mergeCell ref="C71:D71"/>
    <mergeCell ref="AA71:AB71"/>
    <mergeCell ref="A72:A77"/>
    <mergeCell ref="C72:D72"/>
    <mergeCell ref="R72:R77"/>
    <mergeCell ref="AA72:AB72"/>
    <mergeCell ref="AG52:AG63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57:D57"/>
    <mergeCell ref="C62:D62"/>
    <mergeCell ref="AA62:AB62"/>
    <mergeCell ref="C63:D63"/>
    <mergeCell ref="AA63:AB63"/>
    <mergeCell ref="A52:A63"/>
    <mergeCell ref="C52:D52"/>
    <mergeCell ref="R52:R63"/>
    <mergeCell ref="AA52:AB52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A43:A51"/>
    <mergeCell ref="C43:D43"/>
    <mergeCell ref="R43:R51"/>
    <mergeCell ref="AA43:AB43"/>
    <mergeCell ref="AA48:AB48"/>
    <mergeCell ref="C49:D49"/>
    <mergeCell ref="AA49:AB49"/>
    <mergeCell ref="C50:D50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50:AB50"/>
    <mergeCell ref="C51:D51"/>
    <mergeCell ref="AA51:AB51"/>
    <mergeCell ref="A35:A42"/>
    <mergeCell ref="C35:D35"/>
    <mergeCell ref="R35:R42"/>
    <mergeCell ref="AA35:AB35"/>
    <mergeCell ref="C42:D42"/>
    <mergeCell ref="AA42:AB42"/>
    <mergeCell ref="A23:A34"/>
    <mergeCell ref="C23:D23"/>
    <mergeCell ref="R23:R34"/>
    <mergeCell ref="AA23:AB23"/>
    <mergeCell ref="AA28:AB28"/>
    <mergeCell ref="C29:D29"/>
    <mergeCell ref="AA29:AB29"/>
    <mergeCell ref="C30:D30"/>
    <mergeCell ref="AA30:AB30"/>
    <mergeCell ref="C31:D31"/>
    <mergeCell ref="AA31:AB31"/>
    <mergeCell ref="C26:D26"/>
    <mergeCell ref="AG35:AG42"/>
    <mergeCell ref="C36:D36"/>
    <mergeCell ref="AA36:AB36"/>
    <mergeCell ref="C37:D37"/>
    <mergeCell ref="AA37:AB37"/>
    <mergeCell ref="C38:D38"/>
    <mergeCell ref="C32:D32"/>
    <mergeCell ref="AA32:AB32"/>
    <mergeCell ref="C33:D33"/>
    <mergeCell ref="AA33:AB33"/>
    <mergeCell ref="C34:D34"/>
    <mergeCell ref="AA34:AB34"/>
    <mergeCell ref="AA38:AB38"/>
    <mergeCell ref="C39:D39"/>
    <mergeCell ref="AA39:AB39"/>
    <mergeCell ref="C40:D40"/>
    <mergeCell ref="AA40:AB40"/>
    <mergeCell ref="C41:D41"/>
    <mergeCell ref="AA41:AB41"/>
    <mergeCell ref="AG23:AG34"/>
    <mergeCell ref="C24:D24"/>
    <mergeCell ref="AA24:AB24"/>
    <mergeCell ref="C25:D25"/>
    <mergeCell ref="AA25:AB25"/>
    <mergeCell ref="AG10:AG12"/>
    <mergeCell ref="C11:D11"/>
    <mergeCell ref="AA11:AB11"/>
    <mergeCell ref="C12:D12"/>
    <mergeCell ref="AA12:AB12"/>
    <mergeCell ref="AA26:AB26"/>
    <mergeCell ref="C27:D27"/>
    <mergeCell ref="AA27:AB27"/>
    <mergeCell ref="C28:D28"/>
    <mergeCell ref="AG13:AG22"/>
    <mergeCell ref="C14:D14"/>
    <mergeCell ref="AA14:AB14"/>
    <mergeCell ref="C15:D15"/>
    <mergeCell ref="AA15:AB15"/>
    <mergeCell ref="C16:D16"/>
    <mergeCell ref="AA16:AB16"/>
    <mergeCell ref="C17:D17"/>
    <mergeCell ref="AA17:AB17"/>
    <mergeCell ref="C18:D18"/>
    <mergeCell ref="AA18:AB18"/>
    <mergeCell ref="AA19:AB19"/>
    <mergeCell ref="AA13:AB13"/>
    <mergeCell ref="AA20:AB20"/>
    <mergeCell ref="C21:D21"/>
    <mergeCell ref="A13:A22"/>
    <mergeCell ref="C13:D13"/>
    <mergeCell ref="R13:R22"/>
    <mergeCell ref="C7:D7"/>
    <mergeCell ref="AA7:AB7"/>
    <mergeCell ref="C8:D8"/>
    <mergeCell ref="AA8:AB8"/>
    <mergeCell ref="C9:D9"/>
    <mergeCell ref="AA9:AB9"/>
    <mergeCell ref="A10:A12"/>
    <mergeCell ref="C10:D10"/>
    <mergeCell ref="R10:R12"/>
    <mergeCell ref="AA10:AB10"/>
    <mergeCell ref="AA21:AB21"/>
    <mergeCell ref="C22:D22"/>
    <mergeCell ref="AA22:AB2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E3:AE4"/>
    <mergeCell ref="AF3:AF4"/>
    <mergeCell ref="AG3:AG4"/>
    <mergeCell ref="M3:M4"/>
  </mergeCells>
  <phoneticPr fontId="3" type="noConversion"/>
  <conditionalFormatting sqref="O71:O72 O75:O84 O5:O10 O12:O14 O63:O69 O22:O57">
    <cfRule type="cellIs" dxfId="964" priority="88" operator="greaterThan">
      <formula>0</formula>
    </cfRule>
  </conditionalFormatting>
  <conditionalFormatting sqref="P5:P8 P75:P76 AE75:AE76 P78:P83 P35:P41 P72 P10 P12:P14 P23:P33 P64:P69 P43:P57 AE5:AE72 AE78:AE84">
    <cfRule type="cellIs" dxfId="963" priority="92" operator="lessThan">
      <formula>0</formula>
    </cfRule>
  </conditionalFormatting>
  <conditionalFormatting sqref="AF75:AF76 Q71:Q72 Q75:Q84 Q5:Q10 Q12:Q14 Q63:Q69 Q22:Q57 AF5:AF72 AF78:AF84">
    <cfRule type="cellIs" dxfId="962" priority="89" operator="greaterThan">
      <formula>1</formula>
    </cfRule>
    <cfRule type="cellIs" dxfId="961" priority="90" operator="lessThan">
      <formula>0.8</formula>
    </cfRule>
  </conditionalFormatting>
  <conditionalFormatting sqref="AG13:AG14 R13:R14 AG75 R22:R28 AG22:AG28 AG71:AG72 R71:R72 R75:R84 AG5:AG10 R5:R10 R34:R57 AG34:AG57 AG63:AG69 R63:R69">
    <cfRule type="cellIs" dxfId="960" priority="94" operator="lessThan">
      <formula>0.8</formula>
    </cfRule>
  </conditionalFormatting>
  <conditionalFormatting sqref="AG52">
    <cfRule type="cellIs" dxfId="959" priority="96" operator="lessThan">
      <formula>0.8</formula>
    </cfRule>
  </conditionalFormatting>
  <conditionalFormatting sqref="AG23:AG28">
    <cfRule type="cellIs" dxfId="958" priority="93" operator="lessThan">
      <formula>0.8</formula>
    </cfRule>
  </conditionalFormatting>
  <conditionalFormatting sqref="AG35">
    <cfRule type="cellIs" dxfId="957" priority="95" operator="lessThan">
      <formula>0.8</formula>
    </cfRule>
  </conditionalFormatting>
  <conditionalFormatting sqref="AG43:AG50">
    <cfRule type="cellIs" dxfId="956" priority="91" operator="lessThan">
      <formula>0.8</formula>
    </cfRule>
  </conditionalFormatting>
  <conditionalFormatting sqref="AE77">
    <cfRule type="cellIs" dxfId="955" priority="87" operator="lessThan">
      <formula>0</formula>
    </cfRule>
  </conditionalFormatting>
  <conditionalFormatting sqref="AF77">
    <cfRule type="cellIs" dxfId="954" priority="85" operator="greaterThan">
      <formula>1</formula>
    </cfRule>
    <cfRule type="cellIs" dxfId="953" priority="86" operator="lessThan">
      <formula>0.8</formula>
    </cfRule>
  </conditionalFormatting>
  <conditionalFormatting sqref="O15:O16">
    <cfRule type="cellIs" dxfId="952" priority="80" operator="greaterThan">
      <formula>0</formula>
    </cfRule>
  </conditionalFormatting>
  <conditionalFormatting sqref="P15:P16">
    <cfRule type="cellIs" dxfId="951" priority="83" operator="lessThan">
      <formula>0</formula>
    </cfRule>
  </conditionalFormatting>
  <conditionalFormatting sqref="Q15:Q16">
    <cfRule type="cellIs" dxfId="950" priority="81" operator="greaterThan">
      <formula>1</formula>
    </cfRule>
    <cfRule type="cellIs" dxfId="949" priority="82" operator="lessThan">
      <formula>0.8</formula>
    </cfRule>
  </conditionalFormatting>
  <conditionalFormatting sqref="R15:R16 AG15:AG16">
    <cfRule type="cellIs" dxfId="948" priority="84" operator="lessThan">
      <formula>0.8</formula>
    </cfRule>
  </conditionalFormatting>
  <conditionalFormatting sqref="O11">
    <cfRule type="cellIs" dxfId="947" priority="76" operator="greaterThan">
      <formula>0</formula>
    </cfRule>
  </conditionalFormatting>
  <conditionalFormatting sqref="P11">
    <cfRule type="cellIs" dxfId="946" priority="79" operator="lessThan">
      <formula>0</formula>
    </cfRule>
  </conditionalFormatting>
  <conditionalFormatting sqref="Q11">
    <cfRule type="cellIs" dxfId="945" priority="77" operator="greaterThan">
      <formula>1</formula>
    </cfRule>
    <cfRule type="cellIs" dxfId="944" priority="78" operator="lessThan">
      <formula>0.8</formula>
    </cfRule>
  </conditionalFormatting>
  <conditionalFormatting sqref="O70">
    <cfRule type="cellIs" dxfId="943" priority="71" operator="greaterThan">
      <formula>0</formula>
    </cfRule>
  </conditionalFormatting>
  <conditionalFormatting sqref="P70">
    <cfRule type="cellIs" dxfId="942" priority="74" operator="lessThan">
      <formula>0</formula>
    </cfRule>
  </conditionalFormatting>
  <conditionalFormatting sqref="Q70">
    <cfRule type="cellIs" dxfId="941" priority="72" operator="greaterThan">
      <formula>1</formula>
    </cfRule>
    <cfRule type="cellIs" dxfId="940" priority="73" operator="lessThan">
      <formula>0.8</formula>
    </cfRule>
  </conditionalFormatting>
  <conditionalFormatting sqref="R70 AG70">
    <cfRule type="cellIs" dxfId="939" priority="75" operator="lessThan">
      <formula>0.8</formula>
    </cfRule>
  </conditionalFormatting>
  <conditionalFormatting sqref="AG30 R30">
    <cfRule type="cellIs" dxfId="938" priority="70" operator="lessThan">
      <formula>0.8</formula>
    </cfRule>
  </conditionalFormatting>
  <conditionalFormatting sqref="O74">
    <cfRule type="cellIs" dxfId="937" priority="65" operator="greaterThan">
      <formula>0</formula>
    </cfRule>
  </conditionalFormatting>
  <conditionalFormatting sqref="P74 AE74">
    <cfRule type="cellIs" dxfId="936" priority="68" operator="lessThan">
      <formula>0</formula>
    </cfRule>
  </conditionalFormatting>
  <conditionalFormatting sqref="Q74 AF74">
    <cfRule type="cellIs" dxfId="935" priority="66" operator="greaterThan">
      <formula>1</formula>
    </cfRule>
    <cfRule type="cellIs" dxfId="934" priority="67" operator="lessThan">
      <formula>0.8</formula>
    </cfRule>
  </conditionalFormatting>
  <conditionalFormatting sqref="R74 AG74">
    <cfRule type="cellIs" dxfId="933" priority="69" operator="lessThan">
      <formula>0.8</formula>
    </cfRule>
  </conditionalFormatting>
  <conditionalFormatting sqref="O17:O18">
    <cfRule type="cellIs" dxfId="932" priority="60" operator="greaterThan">
      <formula>0</formula>
    </cfRule>
  </conditionalFormatting>
  <conditionalFormatting sqref="P17:P18">
    <cfRule type="cellIs" dxfId="931" priority="63" operator="lessThan">
      <formula>0</formula>
    </cfRule>
  </conditionalFormatting>
  <conditionalFormatting sqref="Q17:Q18">
    <cfRule type="cellIs" dxfId="930" priority="61" operator="greaterThan">
      <formula>1</formula>
    </cfRule>
    <cfRule type="cellIs" dxfId="929" priority="62" operator="lessThan">
      <formula>0.8</formula>
    </cfRule>
  </conditionalFormatting>
  <conditionalFormatting sqref="R17:R18 AG17:AG18">
    <cfRule type="cellIs" dxfId="928" priority="64" operator="lessThan">
      <formula>0.8</formula>
    </cfRule>
  </conditionalFormatting>
  <conditionalFormatting sqref="O58">
    <cfRule type="cellIs" dxfId="927" priority="54" operator="greaterThan">
      <formula>0</formula>
    </cfRule>
  </conditionalFormatting>
  <conditionalFormatting sqref="P58">
    <cfRule type="cellIs" dxfId="926" priority="58" operator="lessThan">
      <formula>0</formula>
    </cfRule>
  </conditionalFormatting>
  <conditionalFormatting sqref="Q58">
    <cfRule type="cellIs" dxfId="925" priority="55" operator="greaterThan">
      <formula>1</formula>
    </cfRule>
    <cfRule type="cellIs" dxfId="924" priority="56" operator="lessThan">
      <formula>0.8</formula>
    </cfRule>
  </conditionalFormatting>
  <conditionalFormatting sqref="R58 AG58">
    <cfRule type="cellIs" dxfId="923" priority="59" operator="lessThan">
      <formula>0.8</formula>
    </cfRule>
  </conditionalFormatting>
  <conditionalFormatting sqref="AG58">
    <cfRule type="cellIs" dxfId="922" priority="57" operator="lessThan">
      <formula>0.8</formula>
    </cfRule>
  </conditionalFormatting>
  <conditionalFormatting sqref="O59">
    <cfRule type="cellIs" dxfId="921" priority="48" operator="greaterThan">
      <formula>0</formula>
    </cfRule>
  </conditionalFormatting>
  <conditionalFormatting sqref="P59">
    <cfRule type="cellIs" dxfId="920" priority="52" operator="lessThan">
      <formula>0</formula>
    </cfRule>
  </conditionalFormatting>
  <conditionalFormatting sqref="Q59">
    <cfRule type="cellIs" dxfId="919" priority="49" operator="greaterThan">
      <formula>1</formula>
    </cfRule>
    <cfRule type="cellIs" dxfId="918" priority="50" operator="lessThan">
      <formula>0.8</formula>
    </cfRule>
  </conditionalFormatting>
  <conditionalFormatting sqref="R59 AG59">
    <cfRule type="cellIs" dxfId="917" priority="53" operator="lessThan">
      <formula>0.8</formula>
    </cfRule>
  </conditionalFormatting>
  <conditionalFormatting sqref="AG59">
    <cfRule type="cellIs" dxfId="916" priority="51" operator="lessThan">
      <formula>0.8</formula>
    </cfRule>
  </conditionalFormatting>
  <conditionalFormatting sqref="AG31 R31">
    <cfRule type="cellIs" dxfId="915" priority="47" operator="lessThan">
      <formula>0.8</formula>
    </cfRule>
  </conditionalFormatting>
  <conditionalFormatting sqref="AG33 R33">
    <cfRule type="cellIs" dxfId="914" priority="46" operator="lessThan">
      <formula>0.8</formula>
    </cfRule>
  </conditionalFormatting>
  <conditionalFormatting sqref="R29 AG29">
    <cfRule type="cellIs" dxfId="913" priority="45" operator="lessThan">
      <formula>0.8</formula>
    </cfRule>
  </conditionalFormatting>
  <conditionalFormatting sqref="AG29">
    <cfRule type="cellIs" dxfId="912" priority="44" operator="lessThan">
      <formula>0.8</formula>
    </cfRule>
  </conditionalFormatting>
  <conditionalFormatting sqref="O60">
    <cfRule type="cellIs" dxfId="911" priority="38" operator="greaterThan">
      <formula>0</formula>
    </cfRule>
  </conditionalFormatting>
  <conditionalFormatting sqref="P60">
    <cfRule type="cellIs" dxfId="910" priority="42" operator="lessThan">
      <formula>0</formula>
    </cfRule>
  </conditionalFormatting>
  <conditionalFormatting sqref="Q60">
    <cfRule type="cellIs" dxfId="909" priority="39" operator="greaterThan">
      <formula>1</formula>
    </cfRule>
    <cfRule type="cellIs" dxfId="908" priority="40" operator="lessThan">
      <formula>0.8</formula>
    </cfRule>
  </conditionalFormatting>
  <conditionalFormatting sqref="R60 AG60">
    <cfRule type="cellIs" dxfId="907" priority="43" operator="lessThan">
      <formula>0.8</formula>
    </cfRule>
  </conditionalFormatting>
  <conditionalFormatting sqref="AG60">
    <cfRule type="cellIs" dxfId="906" priority="41" operator="lessThan">
      <formula>0.8</formula>
    </cfRule>
  </conditionalFormatting>
  <conditionalFormatting sqref="O61">
    <cfRule type="cellIs" dxfId="905" priority="32" operator="greaterThan">
      <formula>0</formula>
    </cfRule>
  </conditionalFormatting>
  <conditionalFormatting sqref="P61">
    <cfRule type="cellIs" dxfId="904" priority="36" operator="lessThan">
      <formula>0</formula>
    </cfRule>
  </conditionalFormatting>
  <conditionalFormatting sqref="Q61">
    <cfRule type="cellIs" dxfId="903" priority="33" operator="greaterThan">
      <formula>1</formula>
    </cfRule>
    <cfRule type="cellIs" dxfId="902" priority="34" operator="lessThan">
      <formula>0.8</formula>
    </cfRule>
  </conditionalFormatting>
  <conditionalFormatting sqref="R61 AG61">
    <cfRule type="cellIs" dxfId="901" priority="37" operator="lessThan">
      <formula>0.8</formula>
    </cfRule>
  </conditionalFormatting>
  <conditionalFormatting sqref="AG61">
    <cfRule type="cellIs" dxfId="900" priority="35" operator="lessThan">
      <formula>0.8</formula>
    </cfRule>
  </conditionalFormatting>
  <conditionalFormatting sqref="O62">
    <cfRule type="cellIs" dxfId="899" priority="26" operator="greaterThan">
      <formula>0</formula>
    </cfRule>
  </conditionalFormatting>
  <conditionalFormatting sqref="P62">
    <cfRule type="cellIs" dxfId="898" priority="30" operator="lessThan">
      <formula>0</formula>
    </cfRule>
  </conditionalFormatting>
  <conditionalFormatting sqref="Q62">
    <cfRule type="cellIs" dxfId="897" priority="27" operator="greaterThan">
      <formula>1</formula>
    </cfRule>
    <cfRule type="cellIs" dxfId="896" priority="28" operator="lessThan">
      <formula>0.8</formula>
    </cfRule>
  </conditionalFormatting>
  <conditionalFormatting sqref="R62 AG62">
    <cfRule type="cellIs" dxfId="895" priority="31" operator="lessThan">
      <formula>0.8</formula>
    </cfRule>
  </conditionalFormatting>
  <conditionalFormatting sqref="AG62">
    <cfRule type="cellIs" dxfId="894" priority="29" operator="lessThan">
      <formula>0.8</formula>
    </cfRule>
  </conditionalFormatting>
  <conditionalFormatting sqref="O73">
    <cfRule type="cellIs" dxfId="893" priority="21" operator="greaterThan">
      <formula>0</formula>
    </cfRule>
  </conditionalFormatting>
  <conditionalFormatting sqref="P73 AE73">
    <cfRule type="cellIs" dxfId="892" priority="24" operator="lessThan">
      <formula>0</formula>
    </cfRule>
  </conditionalFormatting>
  <conditionalFormatting sqref="Q73 AF73">
    <cfRule type="cellIs" dxfId="891" priority="22" operator="greaterThan">
      <formula>1</formula>
    </cfRule>
    <cfRule type="cellIs" dxfId="890" priority="23" operator="lessThan">
      <formula>0.8</formula>
    </cfRule>
  </conditionalFormatting>
  <conditionalFormatting sqref="R73 AG73">
    <cfRule type="cellIs" dxfId="889" priority="25" operator="lessThan">
      <formula>0.8</formula>
    </cfRule>
  </conditionalFormatting>
  <conditionalFormatting sqref="O19">
    <cfRule type="cellIs" dxfId="888" priority="16" operator="greaterThan">
      <formula>0</formula>
    </cfRule>
  </conditionalFormatting>
  <conditionalFormatting sqref="P19">
    <cfRule type="cellIs" dxfId="887" priority="19" operator="lessThan">
      <formula>0</formula>
    </cfRule>
  </conditionalFormatting>
  <conditionalFormatting sqref="Q19">
    <cfRule type="cellIs" dxfId="886" priority="17" operator="greaterThan">
      <formula>1</formula>
    </cfRule>
    <cfRule type="cellIs" dxfId="885" priority="18" operator="lessThan">
      <formula>0.8</formula>
    </cfRule>
  </conditionalFormatting>
  <conditionalFormatting sqref="AG19 R19">
    <cfRule type="cellIs" dxfId="884" priority="20" operator="lessThan">
      <formula>0.8</formula>
    </cfRule>
  </conditionalFormatting>
  <conditionalFormatting sqref="O20:O21">
    <cfRule type="cellIs" dxfId="883" priority="11" operator="greaterThan">
      <formula>0</formula>
    </cfRule>
  </conditionalFormatting>
  <conditionalFormatting sqref="P20:P21">
    <cfRule type="cellIs" dxfId="882" priority="14" operator="lessThan">
      <formula>0</formula>
    </cfRule>
  </conditionalFormatting>
  <conditionalFormatting sqref="Q20:Q21">
    <cfRule type="cellIs" dxfId="881" priority="12" operator="greaterThan">
      <formula>1</formula>
    </cfRule>
    <cfRule type="cellIs" dxfId="880" priority="13" operator="lessThan">
      <formula>0.8</formula>
    </cfRule>
  </conditionalFormatting>
  <conditionalFormatting sqref="AG20 R20">
    <cfRule type="cellIs" dxfId="879" priority="15" operator="lessThan">
      <formula>0.8</formula>
    </cfRule>
  </conditionalFormatting>
  <conditionalFormatting sqref="P9">
    <cfRule type="cellIs" dxfId="878" priority="10" operator="lessThan">
      <formula>0</formula>
    </cfRule>
  </conditionalFormatting>
  <conditionalFormatting sqref="P22">
    <cfRule type="cellIs" dxfId="877" priority="9" operator="lessThan">
      <formula>0</formula>
    </cfRule>
  </conditionalFormatting>
  <conditionalFormatting sqref="P34">
    <cfRule type="cellIs" dxfId="876" priority="8" operator="lessThan">
      <formula>0</formula>
    </cfRule>
  </conditionalFormatting>
  <conditionalFormatting sqref="P42">
    <cfRule type="cellIs" dxfId="875" priority="7" operator="lessThan">
      <formula>0</formula>
    </cfRule>
  </conditionalFormatting>
  <conditionalFormatting sqref="P63">
    <cfRule type="cellIs" dxfId="874" priority="6" operator="lessThan">
      <formula>0</formula>
    </cfRule>
  </conditionalFormatting>
  <conditionalFormatting sqref="P71">
    <cfRule type="cellIs" dxfId="873" priority="5" operator="lessThan">
      <formula>0</formula>
    </cfRule>
  </conditionalFormatting>
  <conditionalFormatting sqref="P77">
    <cfRule type="cellIs" dxfId="872" priority="4" operator="lessThan">
      <formula>0</formula>
    </cfRule>
  </conditionalFormatting>
  <conditionalFormatting sqref="P84">
    <cfRule type="cellIs" dxfId="871" priority="3" operator="lessThan">
      <formula>0</formula>
    </cfRule>
  </conditionalFormatting>
  <conditionalFormatting sqref="AG21 R21">
    <cfRule type="cellIs" dxfId="870" priority="2" operator="lessThan">
      <formula>0.8</formula>
    </cfRule>
  </conditionalFormatting>
  <conditionalFormatting sqref="AG32 R32">
    <cfRule type="cellIs" dxfId="869" priority="1" operator="lessThan">
      <formula>0.8</formula>
    </cfRule>
  </conditionalFormatting>
  <dataValidations count="1">
    <dataValidation type="list" allowBlank="1" showInputMessage="1" showErrorMessage="1" sqref="AB9 AA5:AB8 AB76 AA9:AA76 AB11:AB72 AA77:AB8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5" sqref="A5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876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877</v>
      </c>
      <c r="C3" s="478" t="str">
        <f>TEXT('0110 4度C'!A2,"yyyy.mm.ddaaaa")</f>
        <v>2026.01.10星期六</v>
      </c>
      <c r="D3" s="479"/>
      <c r="E3" s="56" t="s">
        <v>878</v>
      </c>
      <c r="F3" s="480">
        <f>'0110 4度C'!D1</f>
        <v>140557</v>
      </c>
      <c r="G3" s="481"/>
      <c r="H3" s="56" t="s">
        <v>879</v>
      </c>
      <c r="I3" s="482">
        <f>'0110 4度C'!F1</f>
        <v>4961757.7199999988</v>
      </c>
      <c r="J3" s="483"/>
      <c r="K3" s="57"/>
      <c r="L3" s="58"/>
      <c r="M3" s="59"/>
      <c r="N3" s="59"/>
    </row>
    <row r="4" spans="2:17" ht="28.5" customHeight="1">
      <c r="B4" s="484" t="s">
        <v>880</v>
      </c>
      <c r="C4" s="470" t="s">
        <v>881</v>
      </c>
      <c r="D4" s="471"/>
      <c r="E4" s="487" t="s">
        <v>882</v>
      </c>
      <c r="F4" s="488"/>
      <c r="G4" s="487" t="s">
        <v>883</v>
      </c>
      <c r="H4" s="488"/>
      <c r="I4" s="487" t="s">
        <v>884</v>
      </c>
      <c r="J4" s="488"/>
      <c r="K4" s="468" t="s">
        <v>885</v>
      </c>
      <c r="L4" s="469"/>
      <c r="M4" s="469" t="s">
        <v>886</v>
      </c>
      <c r="N4" s="469"/>
    </row>
    <row r="5" spans="2:17" ht="28.5" customHeight="1">
      <c r="B5" s="485"/>
      <c r="C5" s="470" t="s">
        <v>887</v>
      </c>
      <c r="D5" s="471"/>
      <c r="E5" s="470" t="s">
        <v>888</v>
      </c>
      <c r="F5" s="471"/>
      <c r="G5" s="472" t="s">
        <v>889</v>
      </c>
      <c r="H5" s="473"/>
      <c r="I5" s="474" t="s">
        <v>890</v>
      </c>
      <c r="J5" s="475"/>
      <c r="K5" s="60" t="s">
        <v>891</v>
      </c>
      <c r="L5" s="61" t="s">
        <v>892</v>
      </c>
      <c r="M5" s="60" t="s">
        <v>891</v>
      </c>
      <c r="N5" s="61" t="s">
        <v>893</v>
      </c>
    </row>
    <row r="6" spans="2:17" ht="28.5" customHeight="1">
      <c r="B6" s="485"/>
      <c r="C6" s="470" t="s">
        <v>144</v>
      </c>
      <c r="D6" s="471"/>
      <c r="E6" s="462">
        <f>AVERAGE(D13:M13)</f>
        <v>143.33040153242757</v>
      </c>
      <c r="F6" s="463">
        <f>AVERAGE(D31:O31,D13:J13)</f>
        <v>145.34135742981752</v>
      </c>
      <c r="G6" s="464">
        <f>AVERAGE(D13:J13)</f>
        <v>145.34135742981752</v>
      </c>
      <c r="H6" s="465"/>
      <c r="I6" s="464">
        <f>AVERAGE(K13:M13)</f>
        <v>138.63817110518434</v>
      </c>
      <c r="J6" s="465"/>
      <c r="K6" s="466">
        <f>'0110 4度C'!Y2</f>
        <v>0</v>
      </c>
      <c r="L6" s="451">
        <f>'0110 4度C'!Z2</f>
        <v>0</v>
      </c>
      <c r="M6" s="467">
        <f>'0110 4度C'!AC2</f>
        <v>32</v>
      </c>
      <c r="N6" s="451">
        <f>'0110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137.01157738933395</v>
      </c>
      <c r="F7" s="455">
        <f>AVERAGE(D32:O32,D14:J14)</f>
        <v>138.818381994102</v>
      </c>
      <c r="G7" s="456">
        <f>AVERAGE(D14:J14)</f>
        <v>138.818381994102</v>
      </c>
      <c r="H7" s="457"/>
      <c r="I7" s="456">
        <f>AVERAGE(K14:M14)</f>
        <v>132.79569997820849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0.95562194882890206</v>
      </c>
      <c r="F8" s="459">
        <f>AVERAGE(D15:J15,D33:O33)</f>
        <v>0.95470501304278854</v>
      </c>
      <c r="G8" s="460">
        <f>AVERAGE(D15:J15)</f>
        <v>0.95470501304278854</v>
      </c>
      <c r="H8" s="461"/>
      <c r="I8" s="460">
        <f>AVERAGE(K15:M15)</f>
        <v>0.95776146566316667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894</v>
      </c>
      <c r="N9" s="59"/>
      <c r="O9" s="59"/>
      <c r="P9" s="59"/>
      <c r="Q9" s="59"/>
    </row>
    <row r="10" spans="2:17" ht="30" customHeight="1">
      <c r="B10" s="434" t="s">
        <v>895</v>
      </c>
      <c r="C10" s="435"/>
      <c r="D10" s="436" t="s">
        <v>896</v>
      </c>
      <c r="E10" s="437"/>
      <c r="F10" s="437"/>
      <c r="G10" s="437"/>
      <c r="H10" s="437"/>
      <c r="I10" s="437"/>
      <c r="J10" s="438"/>
      <c r="K10" s="439" t="s">
        <v>897</v>
      </c>
      <c r="L10" s="440"/>
      <c r="M10" s="441"/>
      <c r="P10" s="65"/>
      <c r="Q10" s="65"/>
    </row>
    <row r="11" spans="2:17" ht="17.25" customHeight="1">
      <c r="B11" s="442" t="s">
        <v>898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899</v>
      </c>
      <c r="C13" s="72" t="s">
        <v>900</v>
      </c>
      <c r="D13" s="73">
        <f>SUMIFS('0110 4度C'!$K:$K,'0110 4度C'!$A:$A,"新豐6線",'0110 4度C'!$B:$B,"平均")</f>
        <v>109.58904109589041</v>
      </c>
      <c r="E13" s="74">
        <f>SUMIFS('0110 4度C'!$K:$K,'0110 4度C'!$A:$A,"新豐2線",'0110 4度C'!$B:$B,"平均")</f>
        <v>83.333333333333329</v>
      </c>
      <c r="F13" s="75">
        <f>SUMIFS('0110 4度C'!$K:$K,'0110 4度C'!$A:$A,"新豐5線",'0110 4度C'!$B:$B,"平均")</f>
        <v>109.99999999999999</v>
      </c>
      <c r="G13" s="75">
        <f>SUMIFS('0110 4度C'!$K:$K,'0110 4度C'!$A:$A,"新豐7線",'0110 4度C'!$B:$B,"平均")</f>
        <v>114.75409836065573</v>
      </c>
      <c r="H13" s="75">
        <f>SUMIFS('0110 4度C'!$K:$K,'0110 4度C'!$A:$A,"新豐3線",'0110 4度C'!$B:$B,"平均")</f>
        <v>260.41666666666669</v>
      </c>
      <c r="I13" s="75">
        <f>SUMIFS('0110 4度C'!$K:$K,'0110 4度C'!$A:$A,"新豐1線",'0110 4度C'!$B:$B,"平均")</f>
        <v>108.52713178294574</v>
      </c>
      <c r="J13" s="76">
        <f>SUMIFS('0110 4度C'!$K:$K,'0110 4度C'!$A:$A,"新豐10線",'0110 4度C'!$B:$B,"平均")</f>
        <v>230.76923076923077</v>
      </c>
      <c r="K13" s="77">
        <f>SUMIFS('0110 4度C'!$K:$K,'0110 4度C'!$A:$A,"新豐8線",'0110 4度C'!$B:$B,"平均")</f>
        <v>131.86813186813188</v>
      </c>
      <c r="L13" s="78">
        <f>SUMIFS('0110 4度C'!$K:$K,'0110 4度C'!$A:$A,"新豐9線",'0110 4度C'!$B:$B,"平均")</f>
        <v>137.70491803278691</v>
      </c>
      <c r="M13" s="76">
        <f>SUMIFS('0110 4度C'!$K:$K,'0110 4度C'!$A:$A,"新豐4線",'0110 4度C'!$B:$B,"平均")</f>
        <v>146.34146341463415</v>
      </c>
    </row>
    <row r="14" spans="2:17" ht="39.6" customHeight="1">
      <c r="B14" s="447"/>
      <c r="C14" s="79" t="s">
        <v>901</v>
      </c>
      <c r="D14" s="80">
        <f>SUMIFS('0110 4度C'!$N:$N,'0110 4度C'!$A:$A,"新豐6線",'0110 4度C'!$B:$B,"平均")</f>
        <v>105.09624631386275</v>
      </c>
      <c r="E14" s="81">
        <f>SUMIFS('0110 4度C'!$N:$N,'0110 4度C'!$A:$A,"新豐2線",'0110 4度C'!$B:$B,"平均")</f>
        <v>79.792207792207805</v>
      </c>
      <c r="F14" s="81">
        <f>SUMIFS('0110 4度C'!$N:$N,'0110 4度C'!$A:$A,"新豐5線",'0110 4度C'!$B:$B,"平均")</f>
        <v>105.64078769293234</v>
      </c>
      <c r="G14" s="81">
        <f>SUMIFS('0110 4度C'!$N:$N,'0110 4度C'!$A:$A,"新豐7線",'0110 4度C'!$B:$B,"平均")</f>
        <v>110.98732630278661</v>
      </c>
      <c r="H14" s="81">
        <f>SUMIFS('0110 4度C'!$N:$N,'0110 4度C'!$A:$A,"新豐3線",'0110 4度C'!$B:$B,"平均")</f>
        <v>248.94866422371095</v>
      </c>
      <c r="I14" s="81">
        <f>SUMIFS('0110 4度C'!$N:$N,'0110 4度C'!$A:$A,"新豐1線",'0110 4度C'!$B:$B,"平均")</f>
        <v>100.54898953511365</v>
      </c>
      <c r="J14" s="82">
        <f>SUMIFS('0110 4度C'!$N:$N,'0110 4度C'!$A:$A,"新豐10線",'0110 4度C'!$B:$B,"平均")</f>
        <v>220.71445209809994</v>
      </c>
      <c r="K14" s="83">
        <f>SUMIFS('0110 4度C'!$N:$N,'0110 4度C'!$A:$A,"新豐8線",'0110 4度C'!$B:$B,"平均")</f>
        <v>126.16797280436761</v>
      </c>
      <c r="L14" s="84">
        <f>SUMIFS('0110 4度C'!$N:$N,'0110 4度C'!$A:$A,"新豐9線",'0110 4度C'!$B:$B,"平均")</f>
        <v>131.47532494355181</v>
      </c>
      <c r="M14" s="82">
        <f>SUMIFS('0110 4度C'!$N:$N,'0110 4度C'!$A:$A,"新豐4線",'0110 4度C'!$B:$B,"平均")</f>
        <v>140.74380218670601</v>
      </c>
    </row>
    <row r="15" spans="2:17" ht="40.15" customHeight="1">
      <c r="B15" s="448"/>
      <c r="C15" s="85" t="s">
        <v>902</v>
      </c>
      <c r="D15" s="86">
        <f t="shared" ref="D15:M15" si="0">D14/D13</f>
        <v>0.95900324761399758</v>
      </c>
      <c r="E15" s="87">
        <f t="shared" si="0"/>
        <v>0.95750649350649375</v>
      </c>
      <c r="F15" s="87">
        <f t="shared" si="0"/>
        <v>0.96037079720847585</v>
      </c>
      <c r="G15" s="87">
        <f t="shared" si="0"/>
        <v>0.96717527206714049</v>
      </c>
      <c r="H15" s="87">
        <f t="shared" si="0"/>
        <v>0.95596287061904994</v>
      </c>
      <c r="I15" s="87">
        <f t="shared" si="0"/>
        <v>0.92648711785926141</v>
      </c>
      <c r="J15" s="88">
        <f t="shared" si="0"/>
        <v>0.95642929242509978</v>
      </c>
      <c r="K15" s="86">
        <f t="shared" si="0"/>
        <v>0.95677379376645422</v>
      </c>
      <c r="L15" s="87">
        <f t="shared" si="0"/>
        <v>0.95476128828055462</v>
      </c>
      <c r="M15" s="88">
        <f t="shared" si="0"/>
        <v>0.96174931494249105</v>
      </c>
    </row>
    <row r="16" spans="2:17" ht="17.25" customHeight="1">
      <c r="B16" s="449" t="s">
        <v>903</v>
      </c>
      <c r="C16" s="89" t="s">
        <v>904</v>
      </c>
      <c r="D16" s="90">
        <f>VLOOKUP("新豐6線",'0110 4度C'!$A:$T,19,0)</f>
        <v>0.70833333333333337</v>
      </c>
      <c r="E16" s="91">
        <f>VLOOKUP("新豐2線",'0110 4度C'!$A:$T,19,0)</f>
        <v>0.16666666666666666</v>
      </c>
      <c r="F16" s="91">
        <f>VLOOKUP("新豐5線",'0110 4度C'!$A:$T,19,0)</f>
        <v>0.20833333333333334</v>
      </c>
      <c r="G16" s="91">
        <f>VLOOKUP("新豐7線",'0110 4度C'!$A:$T,19,0)</f>
        <v>0.20833333333333334</v>
      </c>
      <c r="H16" s="91">
        <f>VLOOKUP("新豐3線",'0110 4度C'!$A:$T,19,0)</f>
        <v>8.3333333333333329E-2</v>
      </c>
      <c r="I16" s="91">
        <f>VLOOKUP("新豐1線",'0110 4度C'!$A:$T,19,0)</f>
        <v>0.20833333333333334</v>
      </c>
      <c r="J16" s="92">
        <f>VLOOKUP("新豐10線",'0110 4度C'!$A:$T,19,0)</f>
        <v>0.20833333333333334</v>
      </c>
      <c r="K16" s="93">
        <f>VLOOKUP("新豐8線",'0110 4度C'!$A:$T,19,0)</f>
        <v>8.3333333333333329E-2</v>
      </c>
      <c r="L16" s="94">
        <f>VLOOKUP("新豐9線",'0110 4度C'!$A:$T,19,0)</f>
        <v>8.3333333333333329E-2</v>
      </c>
      <c r="M16" s="95">
        <f>VLOOKUP("新豐4線",'0110 4度C'!$A:$T,19,0)</f>
        <v>8.3333333333333329E-2</v>
      </c>
    </row>
    <row r="17" spans="2:13" ht="17.25" customHeight="1">
      <c r="B17" s="450"/>
      <c r="C17" s="89" t="s">
        <v>905</v>
      </c>
      <c r="D17" s="93">
        <f>LOOKUP(2,1/(('0110 4度C'!$A:$A="新豐6線")*('0110 4度C'!$T:$T&lt;&gt;"")),'0110 4度C'!$T:$T)</f>
        <v>0.83680555555555558</v>
      </c>
      <c r="E17" s="91">
        <f>LOOKUP(2,1/(('0110 4度C'!$A:$A="新豐2線")*('0110 4度C'!$T:$T&lt;&gt;"")),'0110 4度C'!$T:$T)</f>
        <v>0.37361111111111106</v>
      </c>
      <c r="F17" s="91">
        <f>LOOKUP(2,1/(('0110 4度C'!$A:$A="新豐5線")*('0110 4度C'!$T:$T&lt;&gt;"")),'0110 4度C'!$T:$T)</f>
        <v>0.94583333333333319</v>
      </c>
      <c r="G17" s="91">
        <f>LOOKUP(2,1/(('0110 4度C'!$A:$A="新豐7線")*('0110 4度C'!$T:$T&lt;&gt;"")),'0110 4度C'!$T:$T)</f>
        <v>0.95972222222222203</v>
      </c>
      <c r="H17" s="91">
        <f>LOOKUP(2,1/(('0110 4度C'!$A:$A="新豐3線")*('0110 4度C'!$T:$T&lt;&gt;"")),'0110 4度C'!$T:$T)</f>
        <v>0.53819444444444442</v>
      </c>
      <c r="I17" s="91">
        <f>LOOKUP(2,1/(('0110 4度C'!$A:$A="新豐1線")*('0110 4度C'!$T:$T&lt;&gt;"")),'0110 4度C'!$T:$T)</f>
        <v>0.82291666666666663</v>
      </c>
      <c r="J17" s="92">
        <f>LOOKUP(2,1/(('0110 4度C'!$A:$A="新豐10線")*('0110 4度C'!$T:$T&lt;&gt;"")),'0110 4度C'!$T:$T)</f>
        <v>0.42361111111111105</v>
      </c>
      <c r="K17" s="90">
        <f>LOOKUP(2,1/(('0110 4度C'!$A:$A="新豐8線")*('0110 4度C'!$T:$T&lt;&gt;"")),'0110 4度C'!$T:$T)</f>
        <v>0.46874999999999994</v>
      </c>
      <c r="L17" s="91">
        <f>LOOKUP(2,1/(('0110 4度C'!$A:$A="新豐9線")*('0110 4度C'!$T:$T&lt;&gt;"")),'0110 4度C'!$T:$T)</f>
        <v>0.40486111111111112</v>
      </c>
      <c r="M17" s="92">
        <f>LOOKUP(2,1/(('0110 4度C'!$A:$A="新豐4線")*('0110 4度C'!$T:$T&lt;&gt;"")),'0110 4度C'!$T:$T)</f>
        <v>0.46805555555555556</v>
      </c>
    </row>
    <row r="18" spans="2:13" ht="17.25" customHeight="1">
      <c r="B18" s="428" t="s">
        <v>906</v>
      </c>
      <c r="C18" s="96" t="s">
        <v>907</v>
      </c>
      <c r="D18" s="97">
        <f>SUMIFS('0110 4度C'!$Y:$Y,'0110 4度C'!$A:$A,"新豐6線",'0110 4度C'!$B:$B,"平均")</f>
        <v>0</v>
      </c>
      <c r="E18" s="98">
        <f>SUMIFS('0110 4度C'!$Y:$Y,'0110 4度C'!$A:$A,"新豐2線",'0110 4度C'!$B:$B,"平均")</f>
        <v>0</v>
      </c>
      <c r="F18" s="98">
        <f>SUMIFS('0110 4度C'!$Y:$Y,'0110 4度C'!$A:$A,"新豐5線",'0110 4度C'!$B:$B,"平均")</f>
        <v>0</v>
      </c>
      <c r="G18" s="98">
        <f>SUMIFS('0110 4度C'!$Y:$Y,'0110 4度C'!$A:$A,"新豐7線",'0110 4度C'!$B:$B,"平均")</f>
        <v>0</v>
      </c>
      <c r="H18" s="98">
        <f>SUMIFS('0110 4度C'!$Y:$Y,'0110 4度C'!$A:$A,"新豐3線",'0110 4度C'!$B:$B,"平均")</f>
        <v>0</v>
      </c>
      <c r="I18" s="98">
        <f>SUMIFS('0110 4度C'!$Y:$Y,'0110 4度C'!$A:$A,"新豐1線",'0110 4度C'!$B:$B,"平均")</f>
        <v>0</v>
      </c>
      <c r="J18" s="99">
        <f>SUMIFS('0110 4度C'!$Y:$Y,'0110 4度C'!$A:$A,"新豐10線",'0110 4度C'!$B:$B,"平均")</f>
        <v>0</v>
      </c>
      <c r="K18" s="100">
        <f>SUMIFS('0110 4度C'!$Y:$Y,'0110 4度C'!$A:$A,"新豐8線",'0110 4度C'!$B:$B,"平均")</f>
        <v>0</v>
      </c>
      <c r="L18" s="98">
        <f>SUMIFS('0110 4度C'!$Y:$Y,'0110 4度C'!$A:$A,"新豐9線",'0110 4度C'!$B:$B,"平均")</f>
        <v>0</v>
      </c>
      <c r="M18" s="99">
        <f>SUMIFS('0110 4度C'!$Y:$Y,'0110 4度C'!$A:$A,"新豐4線",'0110 4度C'!$B:$B,"平均")</f>
        <v>0</v>
      </c>
    </row>
    <row r="19" spans="2:13" ht="17.25" customHeight="1">
      <c r="B19" s="429"/>
      <c r="C19" s="96" t="s">
        <v>908</v>
      </c>
      <c r="D19" s="97">
        <f>SUMIFS('0110 4度C'!$Z:$Z,'0110 4度C'!$A:$A,"新豐6線",'0110 4度C'!$B:$B,"平均")</f>
        <v>0</v>
      </c>
      <c r="E19" s="98">
        <f>SUMIFS('0110 4度C'!$Z:$Z,'0110 4度C'!$A:$A,"新豐2線",'0110 4度C'!$B:$B,"平均")</f>
        <v>0</v>
      </c>
      <c r="F19" s="98">
        <f>SUMIFS('0110 4度C'!$Z:$Z,'0110 4度C'!$A:$A,"新豐5線",'0110 4度C'!$B:$B,"平均")</f>
        <v>0</v>
      </c>
      <c r="G19" s="98">
        <f>SUMIFS('0110 4度C'!$Z:$Z,'0110 4度C'!$A:$A,"新豐7線",'0110 4度C'!$B:$B,"平均")</f>
        <v>0</v>
      </c>
      <c r="H19" s="98">
        <f>SUMIFS('0110 4度C'!$Z:$Z,'0110 4度C'!$A:$A,"新豐3線",'0110 4度C'!$B:$B,"平均")</f>
        <v>0</v>
      </c>
      <c r="I19" s="98">
        <f>SUMIFS('0110 4度C'!$Z:$Z,'0110 4度C'!$A:$A,"新豐1線",'0110 4度C'!$B:$B,"平均")</f>
        <v>0</v>
      </c>
      <c r="J19" s="99">
        <f>SUMIFS('0110 4度C'!$Z:$Z,'0110 4度C'!$A:$A,"新豐10線",'0110 4度C'!$B:$B,"平均")</f>
        <v>0</v>
      </c>
      <c r="K19" s="100">
        <f>SUMIFS('0110 4度C'!$Z:$Z,'0110 4度C'!$A:$A,"新豐8線",'0110 4度C'!$B:$B,"平均")</f>
        <v>0</v>
      </c>
      <c r="L19" s="98">
        <f>SUMIFS('0110 4度C'!$Z:$Z,'0110 4度C'!$A:$A,"新豐9線",'0110 4度C'!$B:$B,"平均")</f>
        <v>0</v>
      </c>
      <c r="M19" s="99">
        <f>SUMIFS('0110 4度C'!$Z:$Z,'0110 4度C'!$A:$A,"新豐4線",'0110 4度C'!$B:$B,"平均")</f>
        <v>0</v>
      </c>
    </row>
    <row r="20" spans="2:13" ht="17.25" customHeight="1">
      <c r="B20" s="428" t="s">
        <v>909</v>
      </c>
      <c r="C20" s="96" t="s">
        <v>907</v>
      </c>
      <c r="D20" s="97">
        <f>SUMIFS('0110 4度C'!$AC:$AC,'0110 4度C'!$A:$A,"新豐6線",'0110 4度C'!$B:$B,"平均")</f>
        <v>1</v>
      </c>
      <c r="E20" s="98">
        <f>SUMIFS('0110 4度C'!$AC:$AC,'0110 4度C'!$A:$A,"新豐2線",'0110 4度C'!$B:$B,"平均")</f>
        <v>2</v>
      </c>
      <c r="F20" s="98">
        <f>SUMIFS('0110 4度C'!$AC:$AC,'0110 4度C'!$A:$A,"新豐5線",'0110 4度C'!$B:$B,"平均")</f>
        <v>4</v>
      </c>
      <c r="G20" s="98">
        <f>SUMIFS('0110 4度C'!$AC:$AC,'0110 4度C'!$A:$A,"新豐7線",'0110 4度C'!$B:$B,"平均")</f>
        <v>4</v>
      </c>
      <c r="H20" s="98">
        <f>SUMIFS('0110 4度C'!$AC:$AC,'0110 4度C'!$A:$A,"新豐3線",'0110 4度C'!$B:$B,"平均")</f>
        <v>1</v>
      </c>
      <c r="I20" s="98">
        <f>SUMIFS('0110 4度C'!$AC:$AC,'0110 4度C'!$A:$A,"新豐1線",'0110 4度C'!$B:$B,"平均")</f>
        <v>3</v>
      </c>
      <c r="J20" s="99">
        <f>SUMIFS('0110 4度C'!$AC:$AC,'0110 4度C'!$A:$A,"新豐10線",'0110 4度C'!$B:$B,"平均")</f>
        <v>0</v>
      </c>
      <c r="K20" s="100">
        <f>SUMIFS('0110 4度C'!$AC:$AC,'0110 4度C'!$A:$A,"新豐8線",'0110 4度C'!$B:$B,"平均")</f>
        <v>6</v>
      </c>
      <c r="L20" s="98">
        <f>SUMIFS('0110 4度C'!$AC:$AC,'0110 4度C'!$A:$A,"新豐9線",'0110 4度C'!$B:$B,"平均")</f>
        <v>5</v>
      </c>
      <c r="M20" s="99">
        <f>SUMIFS('0110 4度C'!$AC:$AC,'0110 4度C'!$A:$A,"新豐4線",'0110 4度C'!$B:$B,"平均")</f>
        <v>6</v>
      </c>
    </row>
    <row r="21" spans="2:13" ht="17.25" customHeight="1">
      <c r="B21" s="429"/>
      <c r="C21" s="96" t="s">
        <v>910</v>
      </c>
      <c r="D21" s="97">
        <f>SUMIFS('0110 4度C'!$AD:$AD,'0110 4度C'!$A:$A,"新豐6線",'0110 4度C'!$B:$B,"平均")</f>
        <v>0</v>
      </c>
      <c r="E21" s="98">
        <f>SUMIFS('0110 4度C'!$AD:$AD,'0110 4度C'!$A:$A,"新豐2線",'0110 4度C'!$B:$B,"平均")</f>
        <v>0</v>
      </c>
      <c r="F21" s="98">
        <f>SUMIFS('0110 4度C'!$AD:$AD,'0110 4度C'!$A:$A,"新豐5線",'0110 4度C'!$B:$B,"平均")</f>
        <v>0</v>
      </c>
      <c r="G21" s="98">
        <f>SUMIFS('0110 4度C'!$AD:$AD,'0110 4度C'!$A:$A,"新豐7線",'0110 4度C'!$B:$B,"平均")</f>
        <v>0</v>
      </c>
      <c r="H21" s="98">
        <f>SUMIFS('0110 4度C'!$AD:$AD,'0110 4度C'!$A:$A,"新豐3線",'0110 4度C'!$B:$B,"平均")</f>
        <v>0</v>
      </c>
      <c r="I21" s="98">
        <f>SUMIFS('0110 4度C'!$AD:$AD,'0110 4度C'!$A:$A,"新豐1線",'0110 4度C'!$B:$B,"平均")</f>
        <v>0</v>
      </c>
      <c r="J21" s="99">
        <f>SUMIFS('0110 4度C'!$AD:$AD,'0110 4度C'!$A:$A,"新豐10線",'0110 4度C'!$B:$B,"平均")</f>
        <v>0</v>
      </c>
      <c r="K21" s="100">
        <f>SUMIFS('0110 4度C'!$AD:$AD,'0110 4度C'!$A:$A,"新豐8線",'0110 4度C'!$B:$B,"平均")</f>
        <v>0</v>
      </c>
      <c r="L21" s="98">
        <f>SUMIFS('0110 4度C'!$AD:$AD,'0110 4度C'!$A:$A,"新豐9線",'0110 4度C'!$B:$B,"平均")</f>
        <v>0</v>
      </c>
      <c r="M21" s="99">
        <f>SUMIFS('0110 4度C'!$AD:$AD,'0110 4度C'!$A:$A,"新豐4線",'0110 4度C'!$B:$B,"平均")</f>
        <v>0</v>
      </c>
    </row>
    <row r="22" spans="2:13" ht="17.25" customHeight="1">
      <c r="B22" s="430" t="s">
        <v>911</v>
      </c>
      <c r="C22" s="431"/>
      <c r="D22" s="101">
        <f>SUMIFS('0110 4度C'!$I:$I,'0110 4度C'!$A:$A,"新豐6線",'0110 4度C'!$B:$B,"平均")</f>
        <v>18.25</v>
      </c>
      <c r="E22" s="102">
        <f>SUMIFS('0110 4度C'!$I:$I,'0110 4度C'!$A:$A,"新豐2線",'0110 4度C'!$B:$B,"平均")</f>
        <v>18</v>
      </c>
      <c r="F22" s="102">
        <f>SUMIFS('0110 4度C'!$I:$I,'0110 4度C'!$A:$A,"新豐5線",'0110 4度C'!$B:$B,"平均")</f>
        <v>16.666666666666668</v>
      </c>
      <c r="G22" s="102">
        <f>SUMIFS('0110 4度C'!$I:$I,'0110 4度C'!$A:$A,"新豐7線",'0110 4度C'!$B:$B,"平均")</f>
        <v>16.636363636363637</v>
      </c>
      <c r="H22" s="102">
        <f>SUMIFS('0110 4度C'!$I:$I,'0110 4度C'!$A:$A,"新豐3線",'0110 4度C'!$B:$B,"平均")</f>
        <v>10.666666666666666</v>
      </c>
      <c r="I22" s="102">
        <f>SUMIFS('0110 4度C'!$I:$I,'0110 4度C'!$A:$A,"新豐1線",'0110 4度C'!$B:$B,"平均")</f>
        <v>18.428571428571427</v>
      </c>
      <c r="J22" s="103">
        <f>SUMIFS('0110 4度C'!$I:$I,'0110 4度C'!$A:$A,"新豐10線",'0110 4度C'!$B:$B,"平均")</f>
        <v>9.75</v>
      </c>
      <c r="K22" s="101">
        <f>SUMIFS('0110 4度C'!$I:$I,'0110 4度C'!$A:$A,"新豐8線",'0110 4度C'!$B:$B,"平均")</f>
        <v>18.2</v>
      </c>
      <c r="L22" s="102">
        <f>SUMIFS('0110 4度C'!$I:$I,'0110 4度C'!$A:$A,"新豐9線",'0110 4度C'!$B:$B,"平均")</f>
        <v>17.428571428571427</v>
      </c>
      <c r="M22" s="103">
        <f>SUMIFS('0110 4度C'!$I:$I,'0110 4度C'!$A:$A,"新豐4線",'0110 4度C'!$B:$B,"平均")</f>
        <v>16.399999999999999</v>
      </c>
    </row>
    <row r="23" spans="2:13" ht="17.25" customHeight="1">
      <c r="B23" s="430" t="s">
        <v>912</v>
      </c>
      <c r="C23" s="431"/>
      <c r="D23" s="104" t="s">
        <v>157</v>
      </c>
      <c r="E23" s="105" t="s">
        <v>158</v>
      </c>
      <c r="F23" s="105" t="s">
        <v>913</v>
      </c>
      <c r="G23" s="105" t="s">
        <v>913</v>
      </c>
      <c r="H23" s="105" t="s">
        <v>159</v>
      </c>
      <c r="I23" s="105" t="s">
        <v>157</v>
      </c>
      <c r="J23" s="106" t="s">
        <v>159</v>
      </c>
      <c r="K23" s="104" t="s">
        <v>914</v>
      </c>
      <c r="L23" s="105" t="s">
        <v>915</v>
      </c>
      <c r="M23" s="106" t="s">
        <v>914</v>
      </c>
    </row>
    <row r="24" spans="2:13" ht="17.25" customHeight="1">
      <c r="B24" s="430" t="s">
        <v>916</v>
      </c>
      <c r="C24" s="431"/>
      <c r="D24" s="104"/>
      <c r="E24" s="105"/>
      <c r="F24" s="105" t="s">
        <v>917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918</v>
      </c>
      <c r="C25" s="433"/>
      <c r="D25" s="107"/>
      <c r="E25" s="108" t="s">
        <v>919</v>
      </c>
      <c r="F25" s="426" t="s">
        <v>920</v>
      </c>
      <c r="G25" s="427"/>
      <c r="H25" s="108" t="s">
        <v>921</v>
      </c>
      <c r="I25" s="108" t="s">
        <v>922</v>
      </c>
      <c r="J25" s="109" t="s">
        <v>921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6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9" activePane="bottomLeft" state="frozen"/>
      <selection activeCell="A5" sqref="A5"/>
      <selection pane="bottomLeft" activeCell="G80" sqref="G8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923</v>
      </c>
      <c r="B1" s="1"/>
      <c r="C1" s="2" t="s">
        <v>924</v>
      </c>
      <c r="D1" s="3">
        <f>SUM(F5:F77)</f>
        <v>140557</v>
      </c>
      <c r="E1" s="173" t="s">
        <v>925</v>
      </c>
      <c r="F1" s="1">
        <f>SUM(G5:G77)</f>
        <v>4961757.7199999988</v>
      </c>
      <c r="G1" s="1" t="s">
        <v>926</v>
      </c>
      <c r="H1" s="5">
        <f>L9+L12+L58+L66+L22+L71+L40+L48+L34+L77</f>
        <v>160.42683982683982</v>
      </c>
      <c r="I1" s="542" t="s">
        <v>927</v>
      </c>
      <c r="J1" s="542"/>
      <c r="K1" s="542"/>
      <c r="L1" s="542" t="s">
        <v>928</v>
      </c>
      <c r="M1" s="542"/>
      <c r="N1" s="542"/>
      <c r="O1" s="542" t="s">
        <v>929</v>
      </c>
      <c r="P1" s="542"/>
      <c r="Q1" s="542"/>
      <c r="R1" s="542"/>
      <c r="S1" s="542" t="s">
        <v>930</v>
      </c>
      <c r="T1" s="542"/>
      <c r="U1" s="542"/>
      <c r="V1" s="542"/>
      <c r="W1" s="542"/>
      <c r="X1" s="542"/>
      <c r="Y1" s="6" t="s">
        <v>931</v>
      </c>
      <c r="Z1" s="7" t="s">
        <v>932</v>
      </c>
      <c r="AA1" s="543" t="s">
        <v>933</v>
      </c>
      <c r="AB1" s="543"/>
      <c r="AC1" s="8" t="s">
        <v>931</v>
      </c>
      <c r="AD1" s="7" t="s">
        <v>934</v>
      </c>
      <c r="AE1" s="542" t="s">
        <v>935</v>
      </c>
      <c r="AF1" s="544"/>
      <c r="AG1" s="544"/>
    </row>
    <row r="2" spans="1:33" ht="26.25" customHeight="1">
      <c r="A2" s="49">
        <v>46032</v>
      </c>
      <c r="B2" s="50" t="s">
        <v>382</v>
      </c>
      <c r="C2" s="2" t="s">
        <v>899</v>
      </c>
      <c r="D2" s="10">
        <f>AVERAGE(N9,N12,N58,N66,N22,N71,N34,N40,N48,N77)</f>
        <v>137.01157738933395</v>
      </c>
      <c r="E2" s="11" t="s">
        <v>14</v>
      </c>
      <c r="F2" s="12">
        <f>F1/D1</f>
        <v>35.300680293404092</v>
      </c>
      <c r="G2" s="1" t="s">
        <v>936</v>
      </c>
      <c r="H2" s="184">
        <f>COUNT(H5:H77)</f>
        <v>4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SUM(Y9+Y12+Y22+Y34+Y40+Y48+Y58+Y66+Y71+Y77)</f>
        <v>0</v>
      </c>
      <c r="Z2" s="14">
        <f>SUM(Z9+Z12+Z22+Z34+Z40+Z48+Z58+Z66+Z71+Z77)</f>
        <v>0</v>
      </c>
      <c r="AA2" s="543"/>
      <c r="AB2" s="543"/>
      <c r="AC2" s="14">
        <f>SUM(AC9+AC12+AC22+AC34+AC40+AC48+AC58+AC66+AC71+AC77)</f>
        <v>32</v>
      </c>
      <c r="AD2" s="14">
        <f>SUM(AD9+AD12+AD22+AD34+AD40+AD48+AD58+AD66+AD71+AD77)</f>
        <v>0</v>
      </c>
      <c r="AE2" s="544"/>
      <c r="AF2" s="544"/>
      <c r="AG2" s="544"/>
    </row>
    <row r="3" spans="1:33" ht="40.5" customHeight="1">
      <c r="A3" s="491" t="s">
        <v>937</v>
      </c>
      <c r="B3" s="491" t="s">
        <v>938</v>
      </c>
      <c r="C3" s="491" t="s">
        <v>939</v>
      </c>
      <c r="D3" s="491"/>
      <c r="E3" s="540" t="s">
        <v>940</v>
      </c>
      <c r="F3" s="491" t="s">
        <v>941</v>
      </c>
      <c r="G3" s="540" t="s">
        <v>942</v>
      </c>
      <c r="H3" s="533" t="s">
        <v>943</v>
      </c>
      <c r="I3" s="531" t="s">
        <v>944</v>
      </c>
      <c r="J3" s="528" t="s">
        <v>24</v>
      </c>
      <c r="K3" s="538" t="s">
        <v>899</v>
      </c>
      <c r="L3" s="531" t="s">
        <v>944</v>
      </c>
      <c r="M3" s="528" t="s">
        <v>945</v>
      </c>
      <c r="N3" s="538" t="s">
        <v>899</v>
      </c>
      <c r="O3" s="531" t="s">
        <v>944</v>
      </c>
      <c r="P3" s="538" t="s">
        <v>899</v>
      </c>
      <c r="Q3" s="529" t="s">
        <v>946</v>
      </c>
      <c r="R3" s="507" t="s">
        <v>947</v>
      </c>
      <c r="S3" s="539" t="s">
        <v>27</v>
      </c>
      <c r="T3" s="539"/>
      <c r="U3" s="533" t="s">
        <v>28</v>
      </c>
      <c r="V3" s="533" t="s">
        <v>948</v>
      </c>
      <c r="W3" s="491" t="s">
        <v>949</v>
      </c>
      <c r="X3" s="491"/>
      <c r="Y3" s="534" t="s">
        <v>950</v>
      </c>
      <c r="Z3" s="495"/>
      <c r="AA3" s="535" t="s">
        <v>951</v>
      </c>
      <c r="AB3" s="536"/>
      <c r="AC3" s="534" t="s">
        <v>952</v>
      </c>
      <c r="AD3" s="495"/>
      <c r="AE3" s="528" t="s">
        <v>945</v>
      </c>
      <c r="AF3" s="529" t="s">
        <v>946</v>
      </c>
      <c r="AG3" s="507" t="s">
        <v>947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83" t="s">
        <v>37</v>
      </c>
      <c r="T4" s="183" t="s">
        <v>38</v>
      </c>
      <c r="U4" s="533"/>
      <c r="V4" s="533"/>
      <c r="W4" s="173" t="s">
        <v>953</v>
      </c>
      <c r="X4" s="173" t="s">
        <v>954</v>
      </c>
      <c r="Y4" s="176" t="s">
        <v>907</v>
      </c>
      <c r="Z4" s="176" t="s">
        <v>908</v>
      </c>
      <c r="AA4" s="537"/>
      <c r="AB4" s="536"/>
      <c r="AC4" s="176" t="s">
        <v>955</v>
      </c>
      <c r="AD4" s="176" t="s">
        <v>956</v>
      </c>
      <c r="AE4" s="528"/>
      <c r="AF4" s="529"/>
      <c r="AG4" s="507"/>
    </row>
    <row r="5" spans="1:33">
      <c r="A5" s="530" t="s">
        <v>957</v>
      </c>
      <c r="B5" s="42" t="s">
        <v>103</v>
      </c>
      <c r="C5" s="532" t="s">
        <v>120</v>
      </c>
      <c r="D5" s="532"/>
      <c r="E5" s="42">
        <v>50.67</v>
      </c>
      <c r="F5" s="183">
        <v>1300</v>
      </c>
      <c r="G5" s="173">
        <f t="shared" ref="G5:G8" si="0">E5*F5</f>
        <v>65871</v>
      </c>
      <c r="H5" s="125" t="s">
        <v>79</v>
      </c>
      <c r="I5" s="181">
        <v>17</v>
      </c>
      <c r="J5" s="37">
        <v>2000</v>
      </c>
      <c r="K5" s="17">
        <f t="shared" ref="K5:K68" si="1">J5/I5</f>
        <v>117.64705882352941</v>
      </c>
      <c r="L5" s="181">
        <v>17</v>
      </c>
      <c r="M5" s="18">
        <f t="shared" ref="M5:M8" si="2">F5/V5*60</f>
        <v>1902.4390243902433</v>
      </c>
      <c r="N5" s="17">
        <f t="shared" ref="N5:N68" si="3">M5/L5</f>
        <v>111.90817790530843</v>
      </c>
      <c r="O5" s="19">
        <f t="shared" ref="O5:O68" si="4">L5-I5</f>
        <v>0</v>
      </c>
      <c r="P5" s="20">
        <f t="shared" ref="P5:P68" si="5">N5-K5</f>
        <v>-5.7388809182209712</v>
      </c>
      <c r="Q5" s="172">
        <f t="shared" ref="Q5:Q68" si="6">N5/K5</f>
        <v>0.9512195121951218</v>
      </c>
      <c r="R5" s="489">
        <f>Q9</f>
        <v>0.95900324761399758</v>
      </c>
      <c r="S5" s="40">
        <v>0.70833333333333337</v>
      </c>
      <c r="T5" s="40">
        <v>0.7368055555555556</v>
      </c>
      <c r="U5" s="173"/>
      <c r="V5" s="182">
        <f t="shared" ref="V5:V8" si="7">(T5-S5)*24*60</f>
        <v>41.000000000000014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-97.560975609756724</v>
      </c>
      <c r="AF5" s="172">
        <f t="shared" ref="AF5:AF68" si="9">M5/J5</f>
        <v>0.95121951219512169</v>
      </c>
      <c r="AG5" s="489">
        <f>AF9</f>
        <v>0.95900324761399758</v>
      </c>
    </row>
    <row r="6" spans="1:33">
      <c r="A6" s="531" t="s">
        <v>957</v>
      </c>
      <c r="B6" s="42" t="s">
        <v>103</v>
      </c>
      <c r="C6" s="532" t="s">
        <v>121</v>
      </c>
      <c r="D6" s="532"/>
      <c r="E6" s="42">
        <v>54.09</v>
      </c>
      <c r="F6" s="183">
        <v>1273</v>
      </c>
      <c r="G6" s="173">
        <f t="shared" si="0"/>
        <v>68856.570000000007</v>
      </c>
      <c r="H6" s="125" t="s">
        <v>79</v>
      </c>
      <c r="I6" s="181">
        <v>19</v>
      </c>
      <c r="J6" s="37">
        <v>2000</v>
      </c>
      <c r="K6" s="17">
        <f t="shared" si="1"/>
        <v>105.26315789473684</v>
      </c>
      <c r="L6" s="181">
        <v>19</v>
      </c>
      <c r="M6" s="18">
        <f t="shared" si="2"/>
        <v>1909.4999999999993</v>
      </c>
      <c r="N6" s="17">
        <f t="shared" si="3"/>
        <v>100.49999999999996</v>
      </c>
      <c r="O6" s="19">
        <f t="shared" si="4"/>
        <v>0</v>
      </c>
      <c r="P6" s="20">
        <f t="shared" si="5"/>
        <v>-4.763157894736878</v>
      </c>
      <c r="Q6" s="172">
        <f t="shared" si="6"/>
        <v>0.95474999999999965</v>
      </c>
      <c r="R6" s="489"/>
      <c r="S6" s="40">
        <v>0.7416666666666667</v>
      </c>
      <c r="T6" s="40">
        <v>0.76944444444444449</v>
      </c>
      <c r="U6" s="173">
        <f t="shared" ref="U6:U8" si="10">IF(S6=TIME(17,0,0),"",(S6-T5)*24*60)</f>
        <v>6.9999999999999751</v>
      </c>
      <c r="V6" s="182">
        <f t="shared" si="7"/>
        <v>40.000000000000014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-90.500000000000682</v>
      </c>
      <c r="AF6" s="172">
        <f t="shared" si="9"/>
        <v>0.95474999999999965</v>
      </c>
      <c r="AG6" s="489"/>
    </row>
    <row r="7" spans="1:33">
      <c r="A7" s="531" t="s">
        <v>957</v>
      </c>
      <c r="B7" s="42" t="s">
        <v>103</v>
      </c>
      <c r="C7" s="523" t="s">
        <v>515</v>
      </c>
      <c r="D7" s="524"/>
      <c r="E7" s="42">
        <v>50.67</v>
      </c>
      <c r="F7" s="183">
        <v>1492</v>
      </c>
      <c r="G7" s="173">
        <f t="shared" si="0"/>
        <v>75599.64</v>
      </c>
      <c r="H7" s="125" t="s">
        <v>79</v>
      </c>
      <c r="I7" s="181">
        <v>21</v>
      </c>
      <c r="J7" s="37">
        <v>2000</v>
      </c>
      <c r="K7" s="17">
        <f t="shared" si="1"/>
        <v>95.238095238095241</v>
      </c>
      <c r="L7" s="181">
        <v>21</v>
      </c>
      <c r="M7" s="18">
        <f t="shared" si="2"/>
        <v>1946.086956521739</v>
      </c>
      <c r="N7" s="17">
        <f t="shared" si="3"/>
        <v>92.670807453416145</v>
      </c>
      <c r="O7" s="19">
        <f t="shared" si="4"/>
        <v>0</v>
      </c>
      <c r="P7" s="20">
        <f t="shared" si="5"/>
        <v>-2.5672877846790954</v>
      </c>
      <c r="Q7" s="172">
        <f t="shared" si="6"/>
        <v>0.97304347826086945</v>
      </c>
      <c r="R7" s="489"/>
      <c r="S7" s="40">
        <v>0.7729166666666667</v>
      </c>
      <c r="T7" s="40">
        <v>0.80486111111111114</v>
      </c>
      <c r="U7" s="173">
        <f t="shared" si="10"/>
        <v>4.9999999999999822</v>
      </c>
      <c r="V7" s="182">
        <f t="shared" si="7"/>
        <v>46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-53.913043478260988</v>
      </c>
      <c r="AF7" s="172">
        <f t="shared" si="9"/>
        <v>0.97304347826086945</v>
      </c>
      <c r="AG7" s="489"/>
    </row>
    <row r="8" spans="1:33">
      <c r="A8" s="531" t="s">
        <v>957</v>
      </c>
      <c r="B8" s="42" t="s">
        <v>103</v>
      </c>
      <c r="C8" s="523" t="s">
        <v>122</v>
      </c>
      <c r="D8" s="524"/>
      <c r="E8" s="42">
        <v>50.29</v>
      </c>
      <c r="F8" s="183">
        <v>1276</v>
      </c>
      <c r="G8" s="173">
        <f t="shared" si="0"/>
        <v>64170.04</v>
      </c>
      <c r="H8" s="125" t="s">
        <v>79</v>
      </c>
      <c r="I8" s="181">
        <v>16</v>
      </c>
      <c r="J8" s="37">
        <v>2000</v>
      </c>
      <c r="K8" s="17">
        <f t="shared" si="1"/>
        <v>125</v>
      </c>
      <c r="L8" s="181">
        <v>16</v>
      </c>
      <c r="M8" s="18">
        <f t="shared" si="2"/>
        <v>1913.9999999999993</v>
      </c>
      <c r="N8" s="17">
        <f t="shared" si="3"/>
        <v>119.62499999999996</v>
      </c>
      <c r="O8" s="19">
        <f t="shared" si="4"/>
        <v>0</v>
      </c>
      <c r="P8" s="20">
        <f t="shared" si="5"/>
        <v>-5.3750000000000426</v>
      </c>
      <c r="Q8" s="172">
        <f t="shared" si="6"/>
        <v>0.95699999999999963</v>
      </c>
      <c r="R8" s="489"/>
      <c r="S8" s="40">
        <v>0.80902777777777779</v>
      </c>
      <c r="T8" s="40">
        <v>0.83680555555555558</v>
      </c>
      <c r="U8" s="173">
        <f t="shared" si="10"/>
        <v>5.9999999999999787</v>
      </c>
      <c r="V8" s="182">
        <f t="shared" si="7"/>
        <v>40.000000000000014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-86.000000000000682</v>
      </c>
      <c r="AF8" s="172">
        <f t="shared" si="9"/>
        <v>0.95699999999999963</v>
      </c>
      <c r="AG8" s="489"/>
    </row>
    <row r="9" spans="1:33">
      <c r="A9" s="531" t="s">
        <v>957</v>
      </c>
      <c r="B9" s="42" t="s">
        <v>958</v>
      </c>
      <c r="C9" s="494"/>
      <c r="D9" s="494"/>
      <c r="E9" s="175"/>
      <c r="F9" s="44"/>
      <c r="G9" s="17"/>
      <c r="H9" s="183"/>
      <c r="I9" s="30">
        <v>18.25</v>
      </c>
      <c r="J9" s="37">
        <v>2000</v>
      </c>
      <c r="K9" s="17">
        <f t="shared" si="1"/>
        <v>109.58904109589041</v>
      </c>
      <c r="L9" s="30">
        <v>18.25</v>
      </c>
      <c r="M9" s="18">
        <f>AVERAGE(M5:M8)</f>
        <v>1918.0064952279952</v>
      </c>
      <c r="N9" s="17">
        <f t="shared" si="3"/>
        <v>105.09624631386275</v>
      </c>
      <c r="O9" s="19">
        <f t="shared" si="4"/>
        <v>0</v>
      </c>
      <c r="P9" s="20">
        <f t="shared" si="5"/>
        <v>-4.4927947820276586</v>
      </c>
      <c r="Q9" s="172">
        <f t="shared" si="6"/>
        <v>0.95900324761399758</v>
      </c>
      <c r="R9" s="489"/>
      <c r="S9" s="40"/>
      <c r="T9" s="40"/>
      <c r="U9" s="173"/>
      <c r="V9" s="182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f>SUM(AC5:AC8)</f>
        <v>1</v>
      </c>
      <c r="AD9" s="31">
        <f>SUM(AD5:AD8)</f>
        <v>0</v>
      </c>
      <c r="AE9" s="19">
        <f t="shared" si="8"/>
        <v>-81.993504772004826</v>
      </c>
      <c r="AF9" s="172">
        <f t="shared" si="9"/>
        <v>0.95900324761399758</v>
      </c>
      <c r="AG9" s="489"/>
    </row>
    <row r="10" spans="1:33" ht="15.75" customHeight="1">
      <c r="A10" s="527" t="s">
        <v>959</v>
      </c>
      <c r="B10" s="42" t="s">
        <v>100</v>
      </c>
      <c r="C10" s="523" t="s">
        <v>124</v>
      </c>
      <c r="D10" s="524"/>
      <c r="E10" s="42">
        <v>39.619999999999997</v>
      </c>
      <c r="F10" s="183">
        <v>2519</v>
      </c>
      <c r="G10" s="173">
        <f t="shared" ref="G10:G11" si="11">E10*F10</f>
        <v>99802.78</v>
      </c>
      <c r="H10" s="125" t="s">
        <v>79</v>
      </c>
      <c r="I10" s="181">
        <v>19</v>
      </c>
      <c r="J10" s="37">
        <v>1500</v>
      </c>
      <c r="K10" s="17">
        <f t="shared" si="1"/>
        <v>78.94736842105263</v>
      </c>
      <c r="L10" s="181">
        <v>19</v>
      </c>
      <c r="M10" s="18">
        <f t="shared" ref="M10:M11" si="12">F10/V10*60</f>
        <v>1439.4285714285716</v>
      </c>
      <c r="N10" s="17">
        <f t="shared" si="3"/>
        <v>75.759398496240607</v>
      </c>
      <c r="O10" s="19">
        <f t="shared" si="4"/>
        <v>0</v>
      </c>
      <c r="P10" s="20">
        <f t="shared" si="5"/>
        <v>-3.1879699248120232</v>
      </c>
      <c r="Q10" s="172">
        <f t="shared" si="6"/>
        <v>0.9596190476190477</v>
      </c>
      <c r="R10" s="489">
        <f>Q12</f>
        <v>0.95750649350649375</v>
      </c>
      <c r="S10" s="40">
        <v>0.16666666666666666</v>
      </c>
      <c r="T10" s="40">
        <v>0.23958333333333331</v>
      </c>
      <c r="U10" s="173"/>
      <c r="V10" s="182">
        <f t="shared" ref="V10:V11" si="13">(T10-S10)*24*60</f>
        <v>104.99999999999999</v>
      </c>
      <c r="W10" s="23">
        <f>T10</f>
        <v>0.23958333333333331</v>
      </c>
      <c r="X10" s="23">
        <f>S11</f>
        <v>0.25902777777777775</v>
      </c>
      <c r="Y10" s="23"/>
      <c r="Z10" s="23"/>
      <c r="AA10" s="491"/>
      <c r="AB10" s="491"/>
      <c r="AC10" s="154">
        <v>2</v>
      </c>
      <c r="AD10" s="25"/>
      <c r="AE10" s="19">
        <f t="shared" si="8"/>
        <v>-60.571428571428442</v>
      </c>
      <c r="AF10" s="172">
        <f t="shared" si="9"/>
        <v>0.9596190476190477</v>
      </c>
      <c r="AG10" s="489">
        <f>AF12</f>
        <v>0.95750649350649364</v>
      </c>
    </row>
    <row r="11" spans="1:33" ht="15.75" customHeight="1">
      <c r="A11" s="527" t="s">
        <v>959</v>
      </c>
      <c r="B11" s="42" t="s">
        <v>100</v>
      </c>
      <c r="C11" s="523" t="s">
        <v>125</v>
      </c>
      <c r="D11" s="524"/>
      <c r="E11" s="42">
        <v>39.799999999999997</v>
      </c>
      <c r="F11" s="183">
        <v>3941</v>
      </c>
      <c r="G11" s="173">
        <f t="shared" si="11"/>
        <v>156851.79999999999</v>
      </c>
      <c r="H11" s="125" t="s">
        <v>79</v>
      </c>
      <c r="I11" s="181">
        <v>17</v>
      </c>
      <c r="J11" s="37">
        <v>1500</v>
      </c>
      <c r="K11" s="17">
        <f t="shared" si="1"/>
        <v>88.235294117647058</v>
      </c>
      <c r="L11" s="181">
        <v>17</v>
      </c>
      <c r="M11" s="18">
        <f t="shared" si="12"/>
        <v>1433.0909090909095</v>
      </c>
      <c r="N11" s="17">
        <f t="shared" si="3"/>
        <v>84.299465240641737</v>
      </c>
      <c r="O11" s="19">
        <f t="shared" si="4"/>
        <v>0</v>
      </c>
      <c r="P11" s="20">
        <f t="shared" si="5"/>
        <v>-3.9358288770053207</v>
      </c>
      <c r="Q11" s="172">
        <f t="shared" si="6"/>
        <v>0.95539393939393968</v>
      </c>
      <c r="R11" s="489"/>
      <c r="S11" s="40">
        <v>0.25902777777777775</v>
      </c>
      <c r="T11" s="40">
        <v>0.37361111111111106</v>
      </c>
      <c r="U11" s="173">
        <f t="shared" ref="U11" si="14">IF(S11=TIME(17,0,0),"",(S11-T10)*24*60)</f>
        <v>27.999999999999979</v>
      </c>
      <c r="V11" s="182">
        <f t="shared" si="13"/>
        <v>164.99999999999997</v>
      </c>
      <c r="W11" s="23"/>
      <c r="X11" s="23"/>
      <c r="Y11" s="23"/>
      <c r="Z11" s="23"/>
      <c r="AA11" s="491"/>
      <c r="AB11" s="491"/>
      <c r="AC11" s="154"/>
      <c r="AD11" s="25"/>
      <c r="AE11" s="19">
        <f t="shared" si="8"/>
        <v>-66.909090909090537</v>
      </c>
      <c r="AF11" s="172">
        <f t="shared" si="9"/>
        <v>0.95539393939393968</v>
      </c>
      <c r="AG11" s="489"/>
    </row>
    <row r="12" spans="1:33" ht="16.5" customHeight="1">
      <c r="A12" s="527" t="s">
        <v>960</v>
      </c>
      <c r="B12" s="42" t="s">
        <v>958</v>
      </c>
      <c r="C12" s="494"/>
      <c r="D12" s="494"/>
      <c r="E12" s="175"/>
      <c r="F12" s="37"/>
      <c r="G12" s="18"/>
      <c r="H12" s="183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1436.2597402597405</v>
      </c>
      <c r="N12" s="17">
        <f t="shared" si="3"/>
        <v>79.792207792207805</v>
      </c>
      <c r="O12" s="19">
        <f t="shared" si="4"/>
        <v>0</v>
      </c>
      <c r="P12" s="20">
        <f t="shared" si="5"/>
        <v>-3.541125541125524</v>
      </c>
      <c r="Q12" s="172">
        <f t="shared" si="6"/>
        <v>0.95750649350649375</v>
      </c>
      <c r="R12" s="489"/>
      <c r="S12" s="40"/>
      <c r="T12" s="40"/>
      <c r="U12" s="17"/>
      <c r="V12" s="182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f>SUM(AC10:AC11)</f>
        <v>2</v>
      </c>
      <c r="AD12" s="31">
        <f>SUM(AD10:AD11)</f>
        <v>0</v>
      </c>
      <c r="AE12" s="19">
        <f t="shared" si="8"/>
        <v>-63.740259740259489</v>
      </c>
      <c r="AF12" s="172">
        <f t="shared" si="9"/>
        <v>0.95750649350649364</v>
      </c>
      <c r="AG12" s="489"/>
    </row>
    <row r="13" spans="1:33" ht="16.5" customHeight="1">
      <c r="A13" s="525" t="s">
        <v>961</v>
      </c>
      <c r="B13" s="183" t="s">
        <v>126</v>
      </c>
      <c r="C13" s="515" t="s">
        <v>127</v>
      </c>
      <c r="D13" s="515"/>
      <c r="E13" s="42">
        <v>41</v>
      </c>
      <c r="F13" s="183">
        <v>2427</v>
      </c>
      <c r="G13" s="173">
        <f t="shared" ref="G13:G21" si="15">E13*F13</f>
        <v>99507</v>
      </c>
      <c r="H13" s="125" t="s">
        <v>79</v>
      </c>
      <c r="I13" s="181">
        <v>26</v>
      </c>
      <c r="J13" s="37">
        <v>1500</v>
      </c>
      <c r="K13" s="17">
        <f t="shared" si="1"/>
        <v>57.692307692307693</v>
      </c>
      <c r="L13" s="181">
        <v>26</v>
      </c>
      <c r="M13" s="18">
        <f t="shared" ref="M13:M21" si="16">F13/V13*60</f>
        <v>1427.6470588235293</v>
      </c>
      <c r="N13" s="17">
        <f t="shared" si="3"/>
        <v>54.909502262443432</v>
      </c>
      <c r="O13" s="19">
        <f t="shared" si="4"/>
        <v>0</v>
      </c>
      <c r="P13" s="20">
        <f t="shared" si="5"/>
        <v>-2.7828054298642613</v>
      </c>
      <c r="Q13" s="172">
        <f t="shared" si="6"/>
        <v>0.95176470588235285</v>
      </c>
      <c r="R13" s="489">
        <f>Q22</f>
        <v>0.96037079720847585</v>
      </c>
      <c r="S13" s="40">
        <v>0.20833333333333334</v>
      </c>
      <c r="T13" s="40">
        <v>0.27916666666666667</v>
      </c>
      <c r="U13" s="173"/>
      <c r="V13" s="182">
        <f t="shared" ref="V13:V21" si="17">(T13-S13)*24*60</f>
        <v>102</v>
      </c>
      <c r="W13" s="28"/>
      <c r="X13" s="28"/>
      <c r="Y13" s="28"/>
      <c r="Z13" s="28"/>
      <c r="AA13" s="491"/>
      <c r="AB13" s="491"/>
      <c r="AC13" s="154">
        <v>4</v>
      </c>
      <c r="AD13" s="25"/>
      <c r="AE13" s="19">
        <f t="shared" si="8"/>
        <v>-72.352941176470722</v>
      </c>
      <c r="AF13" s="172">
        <f t="shared" si="9"/>
        <v>0.95176470588235285</v>
      </c>
      <c r="AG13" s="489">
        <f>AF22</f>
        <v>0.96037079720847585</v>
      </c>
    </row>
    <row r="14" spans="1:33" ht="16.5" customHeight="1">
      <c r="A14" s="526" t="s">
        <v>961</v>
      </c>
      <c r="B14" s="183" t="s">
        <v>128</v>
      </c>
      <c r="C14" s="515" t="s">
        <v>129</v>
      </c>
      <c r="D14" s="515"/>
      <c r="E14" s="42">
        <v>72.400000000000006</v>
      </c>
      <c r="F14" s="183">
        <v>707</v>
      </c>
      <c r="G14" s="173">
        <f t="shared" si="15"/>
        <v>51186.8</v>
      </c>
      <c r="H14" s="125" t="s">
        <v>79</v>
      </c>
      <c r="I14" s="181">
        <v>18</v>
      </c>
      <c r="J14" s="37">
        <v>1500</v>
      </c>
      <c r="K14" s="17">
        <f t="shared" si="1"/>
        <v>83.333333333333329</v>
      </c>
      <c r="L14" s="181">
        <v>18</v>
      </c>
      <c r="M14" s="18">
        <f t="shared" si="16"/>
        <v>1462.7586206896563</v>
      </c>
      <c r="N14" s="17">
        <f t="shared" si="3"/>
        <v>81.264367816092019</v>
      </c>
      <c r="O14" s="19">
        <f t="shared" si="4"/>
        <v>0</v>
      </c>
      <c r="P14" s="20">
        <f t="shared" si="5"/>
        <v>-2.0689655172413097</v>
      </c>
      <c r="Q14" s="172">
        <f t="shared" si="6"/>
        <v>0.97517241379310426</v>
      </c>
      <c r="R14" s="489"/>
      <c r="S14" s="40">
        <v>0.28333333333333333</v>
      </c>
      <c r="T14" s="40">
        <v>0.3034722222222222</v>
      </c>
      <c r="U14" s="173">
        <f t="shared" ref="U14:U21" si="18">IF(S14=TIME(17,0,0),"",(S14-T13)*24*60)</f>
        <v>5.9999999999999787</v>
      </c>
      <c r="V14" s="182">
        <f t="shared" si="17"/>
        <v>28.999999999999979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-37.241379310343746</v>
      </c>
      <c r="AF14" s="172">
        <f t="shared" si="9"/>
        <v>0.97517241379310415</v>
      </c>
      <c r="AG14" s="489"/>
    </row>
    <row r="15" spans="1:33" ht="16.5" customHeight="1">
      <c r="A15" s="526" t="s">
        <v>961</v>
      </c>
      <c r="B15" s="183" t="s">
        <v>130</v>
      </c>
      <c r="C15" s="515" t="s">
        <v>131</v>
      </c>
      <c r="D15" s="515"/>
      <c r="E15" s="42">
        <v>50.67</v>
      </c>
      <c r="F15" s="183">
        <v>1240</v>
      </c>
      <c r="G15" s="173">
        <f t="shared" si="15"/>
        <v>62830.8</v>
      </c>
      <c r="H15" s="125" t="s">
        <v>79</v>
      </c>
      <c r="I15" s="181">
        <v>16</v>
      </c>
      <c r="J15" s="37">
        <v>1500</v>
      </c>
      <c r="K15" s="17">
        <f t="shared" si="1"/>
        <v>93.75</v>
      </c>
      <c r="L15" s="181">
        <v>16</v>
      </c>
      <c r="M15" s="18">
        <f t="shared" si="16"/>
        <v>1430.7692307692316</v>
      </c>
      <c r="N15" s="17">
        <f t="shared" si="3"/>
        <v>89.423076923076977</v>
      </c>
      <c r="O15" s="19">
        <f t="shared" si="4"/>
        <v>0</v>
      </c>
      <c r="P15" s="20">
        <f t="shared" si="5"/>
        <v>-4.3269230769230234</v>
      </c>
      <c r="Q15" s="172">
        <f t="shared" si="6"/>
        <v>0.95384615384615445</v>
      </c>
      <c r="R15" s="489"/>
      <c r="S15" s="40">
        <v>0.30694444444444441</v>
      </c>
      <c r="T15" s="40">
        <v>0.3430555555555555</v>
      </c>
      <c r="U15" s="173">
        <f t="shared" si="18"/>
        <v>4.9999999999999822</v>
      </c>
      <c r="V15" s="182">
        <f t="shared" si="17"/>
        <v>51.999999999999972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-69.230769230768374</v>
      </c>
      <c r="AF15" s="172">
        <f t="shared" si="9"/>
        <v>0.95384615384615445</v>
      </c>
      <c r="AG15" s="489"/>
    </row>
    <row r="16" spans="1:33" ht="16.5" customHeight="1">
      <c r="A16" s="526" t="s">
        <v>961</v>
      </c>
      <c r="B16" s="183" t="s">
        <v>103</v>
      </c>
      <c r="C16" s="515" t="s">
        <v>123</v>
      </c>
      <c r="D16" s="515"/>
      <c r="E16" s="42">
        <v>50.98</v>
      </c>
      <c r="F16" s="183">
        <v>700</v>
      </c>
      <c r="G16" s="173">
        <f t="shared" si="15"/>
        <v>35686</v>
      </c>
      <c r="H16" s="125">
        <v>2</v>
      </c>
      <c r="I16" s="181">
        <v>16</v>
      </c>
      <c r="J16" s="37">
        <v>2000</v>
      </c>
      <c r="K16" s="17">
        <f t="shared" si="1"/>
        <v>125</v>
      </c>
      <c r="L16" s="181">
        <v>16</v>
      </c>
      <c r="M16" s="18">
        <f t="shared" si="16"/>
        <v>1909.0909090909158</v>
      </c>
      <c r="N16" s="17">
        <f t="shared" si="3"/>
        <v>119.31818181818224</v>
      </c>
      <c r="O16" s="19">
        <f t="shared" si="4"/>
        <v>0</v>
      </c>
      <c r="P16" s="20">
        <f t="shared" si="5"/>
        <v>-5.6818181818177607</v>
      </c>
      <c r="Q16" s="172">
        <f t="shared" si="6"/>
        <v>0.95454545454545792</v>
      </c>
      <c r="R16" s="489"/>
      <c r="S16" s="40">
        <v>0.70833333333333337</v>
      </c>
      <c r="T16" s="40">
        <v>0.72361111111111109</v>
      </c>
      <c r="U16" s="173" t="str">
        <f t="shared" si="18"/>
        <v/>
      </c>
      <c r="V16" s="182">
        <f t="shared" si="17"/>
        <v>21.999999999999922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-90.909090909084171</v>
      </c>
      <c r="AF16" s="172">
        <f t="shared" si="9"/>
        <v>0.95454545454545792</v>
      </c>
      <c r="AG16" s="489"/>
    </row>
    <row r="17" spans="1:33" ht="16.5" customHeight="1">
      <c r="A17" s="526" t="s">
        <v>961</v>
      </c>
      <c r="B17" s="183" t="s">
        <v>103</v>
      </c>
      <c r="C17" s="515" t="s">
        <v>132</v>
      </c>
      <c r="D17" s="515"/>
      <c r="E17" s="42">
        <v>50.92</v>
      </c>
      <c r="F17" s="183">
        <v>900</v>
      </c>
      <c r="G17" s="173">
        <f t="shared" si="15"/>
        <v>45828</v>
      </c>
      <c r="H17" s="125">
        <v>2</v>
      </c>
      <c r="I17" s="181">
        <v>15</v>
      </c>
      <c r="J17" s="37">
        <v>2000</v>
      </c>
      <c r="K17" s="17">
        <f t="shared" si="1"/>
        <v>133.33333333333334</v>
      </c>
      <c r="L17" s="181">
        <v>15</v>
      </c>
      <c r="M17" s="18">
        <f t="shared" si="16"/>
        <v>1928.5714285714246</v>
      </c>
      <c r="N17" s="17">
        <f t="shared" si="3"/>
        <v>128.5714285714283</v>
      </c>
      <c r="O17" s="19">
        <f t="shared" si="4"/>
        <v>0</v>
      </c>
      <c r="P17" s="20">
        <f t="shared" si="5"/>
        <v>-4.7619047619050434</v>
      </c>
      <c r="Q17" s="172">
        <f t="shared" si="6"/>
        <v>0.96428571428571219</v>
      </c>
      <c r="R17" s="489"/>
      <c r="S17" s="40">
        <v>0.72916666666666663</v>
      </c>
      <c r="T17" s="40">
        <v>0.74861111111111112</v>
      </c>
      <c r="U17" s="173">
        <f t="shared" si="18"/>
        <v>7.9999999999999716</v>
      </c>
      <c r="V17" s="182">
        <f t="shared" si="17"/>
        <v>28.00000000000006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-71.428571428575424</v>
      </c>
      <c r="AF17" s="172">
        <f t="shared" si="9"/>
        <v>0.9642857142857123</v>
      </c>
      <c r="AG17" s="489"/>
    </row>
    <row r="18" spans="1:33" ht="16.5" customHeight="1">
      <c r="A18" s="526" t="s">
        <v>961</v>
      </c>
      <c r="B18" s="183" t="s">
        <v>103</v>
      </c>
      <c r="C18" s="521" t="s">
        <v>133</v>
      </c>
      <c r="D18" s="522"/>
      <c r="E18" s="42">
        <v>50.67</v>
      </c>
      <c r="F18" s="183">
        <v>1486</v>
      </c>
      <c r="G18" s="173">
        <f t="shared" si="15"/>
        <v>75295.62</v>
      </c>
      <c r="H18" s="125" t="s">
        <v>79</v>
      </c>
      <c r="I18" s="181">
        <v>15</v>
      </c>
      <c r="J18" s="37">
        <v>2000</v>
      </c>
      <c r="K18" s="17">
        <f t="shared" si="1"/>
        <v>133.33333333333334</v>
      </c>
      <c r="L18" s="181">
        <v>15</v>
      </c>
      <c r="M18" s="18">
        <f t="shared" si="16"/>
        <v>1938.2608695652173</v>
      </c>
      <c r="N18" s="17">
        <f t="shared" si="3"/>
        <v>129.21739130434781</v>
      </c>
      <c r="O18" s="19">
        <f t="shared" si="4"/>
        <v>0</v>
      </c>
      <c r="P18" s="20">
        <f t="shared" si="5"/>
        <v>-4.1159420289855291</v>
      </c>
      <c r="Q18" s="172">
        <f t="shared" si="6"/>
        <v>0.96913043478260852</v>
      </c>
      <c r="R18" s="489"/>
      <c r="S18" s="40">
        <v>0.75277777777777777</v>
      </c>
      <c r="T18" s="40">
        <v>0.78472222222222221</v>
      </c>
      <c r="U18" s="173">
        <f t="shared" si="18"/>
        <v>5.9999999999999787</v>
      </c>
      <c r="V18" s="182">
        <f t="shared" si="17"/>
        <v>46</v>
      </c>
      <c r="W18" s="23"/>
      <c r="X18" s="23"/>
      <c r="Y18" s="26"/>
      <c r="Z18" s="26"/>
      <c r="AA18" s="503"/>
      <c r="AB18" s="504"/>
      <c r="AC18" s="154"/>
      <c r="AD18" s="25"/>
      <c r="AE18" s="19">
        <f t="shared" si="8"/>
        <v>-61.739130434782737</v>
      </c>
      <c r="AF18" s="172">
        <f t="shared" si="9"/>
        <v>0.96913043478260863</v>
      </c>
      <c r="AG18" s="489"/>
    </row>
    <row r="19" spans="1:33" ht="16.5" customHeight="1">
      <c r="A19" s="526" t="s">
        <v>961</v>
      </c>
      <c r="B19" s="183" t="s">
        <v>103</v>
      </c>
      <c r="C19" s="179" t="s">
        <v>134</v>
      </c>
      <c r="D19" s="180"/>
      <c r="E19" s="42">
        <v>57.3</v>
      </c>
      <c r="F19" s="183">
        <v>1944</v>
      </c>
      <c r="G19" s="173">
        <f t="shared" si="15"/>
        <v>111391.2</v>
      </c>
      <c r="H19" s="125" t="s">
        <v>79</v>
      </c>
      <c r="I19" s="181">
        <v>13</v>
      </c>
      <c r="J19" s="37">
        <v>2000</v>
      </c>
      <c r="K19" s="17">
        <f t="shared" si="1"/>
        <v>153.84615384615384</v>
      </c>
      <c r="L19" s="181">
        <v>13</v>
      </c>
      <c r="M19" s="18">
        <f t="shared" si="16"/>
        <v>1912.1311475409855</v>
      </c>
      <c r="N19" s="17">
        <f t="shared" si="3"/>
        <v>147.08701134930658</v>
      </c>
      <c r="O19" s="19">
        <f t="shared" si="4"/>
        <v>0</v>
      </c>
      <c r="P19" s="20">
        <f t="shared" si="5"/>
        <v>-6.7591424968472609</v>
      </c>
      <c r="Q19" s="172">
        <f t="shared" si="6"/>
        <v>0.95606557377049284</v>
      </c>
      <c r="R19" s="489"/>
      <c r="S19" s="40">
        <v>0.7895833333333333</v>
      </c>
      <c r="T19" s="40">
        <v>0.83194444444444438</v>
      </c>
      <c r="U19" s="173">
        <f t="shared" si="18"/>
        <v>6.9999999999999751</v>
      </c>
      <c r="V19" s="182">
        <f t="shared" si="17"/>
        <v>60.999999999999943</v>
      </c>
      <c r="W19" s="23">
        <f>T19</f>
        <v>0.83194444444444438</v>
      </c>
      <c r="X19" s="23">
        <f>S20</f>
        <v>0.87152777777777768</v>
      </c>
      <c r="Y19" s="26"/>
      <c r="Z19" s="26"/>
      <c r="AA19" s="503"/>
      <c r="AB19" s="504"/>
      <c r="AC19" s="154"/>
      <c r="AD19" s="25"/>
      <c r="AE19" s="19">
        <f t="shared" si="8"/>
        <v>-87.868852459014533</v>
      </c>
      <c r="AF19" s="172">
        <f t="shared" si="9"/>
        <v>0.95606557377049273</v>
      </c>
      <c r="AG19" s="489"/>
    </row>
    <row r="20" spans="1:33" ht="16.5" customHeight="1">
      <c r="A20" s="526" t="s">
        <v>961</v>
      </c>
      <c r="B20" s="183" t="s">
        <v>103</v>
      </c>
      <c r="C20" s="179" t="s">
        <v>123</v>
      </c>
      <c r="D20" s="180"/>
      <c r="E20" s="42">
        <v>50.98</v>
      </c>
      <c r="F20" s="183">
        <v>1718</v>
      </c>
      <c r="G20" s="173">
        <f t="shared" si="15"/>
        <v>87583.64</v>
      </c>
      <c r="H20" s="125" t="s">
        <v>79</v>
      </c>
      <c r="I20" s="181">
        <v>16</v>
      </c>
      <c r="J20" s="37">
        <v>2000</v>
      </c>
      <c r="K20" s="17">
        <f t="shared" si="1"/>
        <v>125</v>
      </c>
      <c r="L20" s="181">
        <v>16</v>
      </c>
      <c r="M20" s="18">
        <f t="shared" si="16"/>
        <v>1908.8888888888898</v>
      </c>
      <c r="N20" s="17">
        <f t="shared" si="3"/>
        <v>119.30555555555561</v>
      </c>
      <c r="O20" s="19">
        <f t="shared" si="4"/>
        <v>0</v>
      </c>
      <c r="P20" s="20">
        <f t="shared" si="5"/>
        <v>-5.694444444444386</v>
      </c>
      <c r="Q20" s="172">
        <f t="shared" si="6"/>
        <v>0.95444444444444487</v>
      </c>
      <c r="R20" s="489"/>
      <c r="S20" s="40">
        <v>0.87152777777777768</v>
      </c>
      <c r="T20" s="40">
        <v>0.90902777777777766</v>
      </c>
      <c r="U20" s="173">
        <f t="shared" si="18"/>
        <v>56.999999999999957</v>
      </c>
      <c r="V20" s="182">
        <f t="shared" si="17"/>
        <v>53.999999999999972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-91.111111111110176</v>
      </c>
      <c r="AF20" s="172">
        <f t="shared" si="9"/>
        <v>0.95444444444444487</v>
      </c>
      <c r="AG20" s="489"/>
    </row>
    <row r="21" spans="1:33" ht="16.5" customHeight="1">
      <c r="A21" s="526" t="s">
        <v>961</v>
      </c>
      <c r="B21" s="183" t="s">
        <v>103</v>
      </c>
      <c r="C21" s="521" t="s">
        <v>132</v>
      </c>
      <c r="D21" s="522"/>
      <c r="E21" s="42">
        <v>50.92</v>
      </c>
      <c r="F21" s="183">
        <v>1446</v>
      </c>
      <c r="G21" s="173">
        <f t="shared" si="15"/>
        <v>73630.320000000007</v>
      </c>
      <c r="H21" s="125" t="s">
        <v>79</v>
      </c>
      <c r="I21" s="181">
        <v>15</v>
      </c>
      <c r="J21" s="37">
        <v>2000</v>
      </c>
      <c r="K21" s="17">
        <f t="shared" si="1"/>
        <v>133.33333333333334</v>
      </c>
      <c r="L21" s="181">
        <v>15</v>
      </c>
      <c r="M21" s="18">
        <f t="shared" si="16"/>
        <v>1928</v>
      </c>
      <c r="N21" s="17">
        <f t="shared" si="3"/>
        <v>128.53333333333333</v>
      </c>
      <c r="O21" s="19">
        <f t="shared" si="4"/>
        <v>0</v>
      </c>
      <c r="P21" s="20">
        <f t="shared" si="5"/>
        <v>-4.8000000000000114</v>
      </c>
      <c r="Q21" s="172">
        <f t="shared" si="6"/>
        <v>0.96399999999999997</v>
      </c>
      <c r="R21" s="489"/>
      <c r="S21" s="40">
        <v>0.91458333333333319</v>
      </c>
      <c r="T21" s="40">
        <v>0.94583333333333319</v>
      </c>
      <c r="U21" s="173">
        <f t="shared" si="18"/>
        <v>7.9999999999999716</v>
      </c>
      <c r="V21" s="182">
        <f t="shared" si="17"/>
        <v>45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-72</v>
      </c>
      <c r="AF21" s="172">
        <f t="shared" si="9"/>
        <v>0.96399999999999997</v>
      </c>
      <c r="AG21" s="489"/>
    </row>
    <row r="22" spans="1:33" ht="16.5" customHeight="1">
      <c r="A22" s="526" t="s">
        <v>961</v>
      </c>
      <c r="B22" s="42" t="s">
        <v>958</v>
      </c>
      <c r="C22" s="494"/>
      <c r="D22" s="494"/>
      <c r="E22" s="175"/>
      <c r="F22" s="44"/>
      <c r="G22" s="17"/>
      <c r="H22" s="183"/>
      <c r="I22" s="30">
        <v>16.666666666666668</v>
      </c>
      <c r="J22" s="37">
        <v>1833.3333333333333</v>
      </c>
      <c r="K22" s="17">
        <f t="shared" si="1"/>
        <v>109.99999999999999</v>
      </c>
      <c r="L22" s="30">
        <v>16.666666666666668</v>
      </c>
      <c r="M22" s="18">
        <f>AVERAGE(M13:M21)</f>
        <v>1760.6797948822057</v>
      </c>
      <c r="N22" s="17">
        <f t="shared" si="3"/>
        <v>105.64078769293234</v>
      </c>
      <c r="O22" s="19">
        <f t="shared" si="4"/>
        <v>0</v>
      </c>
      <c r="P22" s="20">
        <f t="shared" si="5"/>
        <v>-4.3592123070676507</v>
      </c>
      <c r="Q22" s="172">
        <f t="shared" si="6"/>
        <v>0.96037079720847585</v>
      </c>
      <c r="R22" s="489"/>
      <c r="S22" s="40"/>
      <c r="T22" s="40"/>
      <c r="U22" s="173"/>
      <c r="V22" s="182"/>
      <c r="W22" s="17"/>
      <c r="X22" s="17"/>
      <c r="Y22" s="31">
        <f>SUM(Y13:Y21)</f>
        <v>0</v>
      </c>
      <c r="Z22" s="31">
        <f>SUM(Z13:Z21)</f>
        <v>0</v>
      </c>
      <c r="AA22" s="495"/>
      <c r="AB22" s="495"/>
      <c r="AC22" s="31">
        <f>SUM(AC13:AC21)</f>
        <v>4</v>
      </c>
      <c r="AD22" s="31">
        <f>SUM(AD13:AD21)</f>
        <v>0</v>
      </c>
      <c r="AE22" s="19">
        <f t="shared" si="8"/>
        <v>-72.653538451127588</v>
      </c>
      <c r="AF22" s="172">
        <f t="shared" si="9"/>
        <v>0.96037079720847585</v>
      </c>
      <c r="AG22" s="489"/>
    </row>
    <row r="23" spans="1:33" ht="15.75" customHeight="1">
      <c r="A23" s="519" t="s">
        <v>962</v>
      </c>
      <c r="B23" s="42" t="s">
        <v>126</v>
      </c>
      <c r="C23" s="515" t="s">
        <v>135</v>
      </c>
      <c r="D23" s="515"/>
      <c r="E23" s="42">
        <v>43.14</v>
      </c>
      <c r="F23" s="183">
        <v>905</v>
      </c>
      <c r="G23" s="173">
        <f t="shared" ref="G23:G33" si="19">E23*F23</f>
        <v>39041.699999999997</v>
      </c>
      <c r="H23" s="125" t="s">
        <v>79</v>
      </c>
      <c r="I23" s="181">
        <v>17</v>
      </c>
      <c r="J23" s="37">
        <v>2000</v>
      </c>
      <c r="K23" s="17">
        <f t="shared" si="1"/>
        <v>117.64705882352941</v>
      </c>
      <c r="L23" s="181">
        <v>17</v>
      </c>
      <c r="M23" s="18">
        <f t="shared" ref="M23:M33" si="20">F23/V23*60</f>
        <v>1939.2857142857129</v>
      </c>
      <c r="N23" s="17">
        <f t="shared" si="3"/>
        <v>114.07563025210075</v>
      </c>
      <c r="O23" s="19">
        <f t="shared" si="4"/>
        <v>0</v>
      </c>
      <c r="P23" s="20">
        <f t="shared" si="5"/>
        <v>-3.5714285714286547</v>
      </c>
      <c r="Q23" s="172">
        <f t="shared" si="6"/>
        <v>0.96964285714285647</v>
      </c>
      <c r="R23" s="489">
        <f>Q34</f>
        <v>0.96717527206714049</v>
      </c>
      <c r="S23" s="40">
        <v>0.20833333333333334</v>
      </c>
      <c r="T23" s="40">
        <v>0.2277777777777778</v>
      </c>
      <c r="U23" s="173"/>
      <c r="V23" s="182">
        <f t="shared" ref="V23:V33" si="21">(T23-S23)*24*60</f>
        <v>28.000000000000021</v>
      </c>
      <c r="W23" s="28"/>
      <c r="X23" s="28"/>
      <c r="Y23" s="28"/>
      <c r="Z23" s="28"/>
      <c r="AA23" s="491"/>
      <c r="AB23" s="491"/>
      <c r="AC23" s="154">
        <v>4</v>
      </c>
      <c r="AD23" s="25"/>
      <c r="AE23" s="19">
        <f t="shared" si="8"/>
        <v>-60.714285714287143</v>
      </c>
      <c r="AF23" s="172">
        <f t="shared" si="9"/>
        <v>0.96964285714285647</v>
      </c>
      <c r="AG23" s="489">
        <f>AF34</f>
        <v>0.9671752720671406</v>
      </c>
    </row>
    <row r="24" spans="1:33" ht="15.75" customHeight="1">
      <c r="A24" s="520" t="s">
        <v>56</v>
      </c>
      <c r="B24" s="42" t="s">
        <v>130</v>
      </c>
      <c r="C24" s="515" t="s">
        <v>136</v>
      </c>
      <c r="D24" s="515"/>
      <c r="E24" s="42">
        <v>49.9</v>
      </c>
      <c r="F24" s="183">
        <v>853</v>
      </c>
      <c r="G24" s="173">
        <f t="shared" si="19"/>
        <v>42564.7</v>
      </c>
      <c r="H24" s="125" t="s">
        <v>79</v>
      </c>
      <c r="I24" s="181">
        <v>17</v>
      </c>
      <c r="J24" s="37">
        <v>2000</v>
      </c>
      <c r="K24" s="17">
        <f t="shared" si="1"/>
        <v>117.64705882352941</v>
      </c>
      <c r="L24" s="181">
        <v>17</v>
      </c>
      <c r="M24" s="18">
        <f t="shared" si="20"/>
        <v>1968.4615384615397</v>
      </c>
      <c r="N24" s="17">
        <f t="shared" si="3"/>
        <v>115.79185520361999</v>
      </c>
      <c r="O24" s="19">
        <f t="shared" si="4"/>
        <v>0</v>
      </c>
      <c r="P24" s="20">
        <f t="shared" si="5"/>
        <v>-1.8552036199094175</v>
      </c>
      <c r="Q24" s="172">
        <f t="shared" si="6"/>
        <v>0.98423076923076991</v>
      </c>
      <c r="R24" s="489"/>
      <c r="S24" s="40">
        <v>0.23125000000000001</v>
      </c>
      <c r="T24" s="40">
        <v>0.24930555555555556</v>
      </c>
      <c r="U24" s="173">
        <f t="shared" ref="U24:U33" si="22">IF(S24=TIME(17,0,0),"",(S24-T23)*24*60)</f>
        <v>4.9999999999999822</v>
      </c>
      <c r="V24" s="182">
        <f t="shared" si="21"/>
        <v>25.999999999999986</v>
      </c>
      <c r="W24" s="23"/>
      <c r="X24" s="173"/>
      <c r="Y24" s="173"/>
      <c r="Z24" s="173"/>
      <c r="AA24" s="491"/>
      <c r="AB24" s="491"/>
      <c r="AC24" s="154"/>
      <c r="AD24" s="25"/>
      <c r="AE24" s="19">
        <f t="shared" si="8"/>
        <v>-31.538461538460297</v>
      </c>
      <c r="AF24" s="172">
        <f t="shared" si="9"/>
        <v>0.9842307692307698</v>
      </c>
      <c r="AG24" s="489"/>
    </row>
    <row r="25" spans="1:33" ht="15.75" customHeight="1">
      <c r="A25" s="520" t="s">
        <v>56</v>
      </c>
      <c r="B25" s="42" t="s">
        <v>103</v>
      </c>
      <c r="C25" s="515" t="s">
        <v>137</v>
      </c>
      <c r="D25" s="515"/>
      <c r="E25" s="42">
        <v>57.73</v>
      </c>
      <c r="F25" s="183">
        <v>2642</v>
      </c>
      <c r="G25" s="173">
        <f t="shared" si="19"/>
        <v>152522.66</v>
      </c>
      <c r="H25" s="125" t="s">
        <v>79</v>
      </c>
      <c r="I25" s="181">
        <v>14</v>
      </c>
      <c r="J25" s="37">
        <v>2000</v>
      </c>
      <c r="K25" s="17">
        <f t="shared" si="1"/>
        <v>142.85714285714286</v>
      </c>
      <c r="L25" s="181">
        <v>14</v>
      </c>
      <c r="M25" s="18">
        <f t="shared" si="20"/>
        <v>1909.8795180722886</v>
      </c>
      <c r="N25" s="17">
        <f t="shared" si="3"/>
        <v>136.41996557659203</v>
      </c>
      <c r="O25" s="19">
        <f t="shared" si="4"/>
        <v>0</v>
      </c>
      <c r="P25" s="20">
        <f t="shared" si="5"/>
        <v>-6.4371772805508272</v>
      </c>
      <c r="Q25" s="172">
        <f t="shared" si="6"/>
        <v>0.95493975903614425</v>
      </c>
      <c r="R25" s="489"/>
      <c r="S25" s="40">
        <v>0.25347222222222221</v>
      </c>
      <c r="T25" s="40">
        <v>0.31111111111111112</v>
      </c>
      <c r="U25" s="173">
        <f t="shared" si="22"/>
        <v>5.9999999999999787</v>
      </c>
      <c r="V25" s="182">
        <f t="shared" si="21"/>
        <v>83.000000000000028</v>
      </c>
      <c r="W25" s="23"/>
      <c r="X25" s="173"/>
      <c r="Y25" s="173"/>
      <c r="Z25" s="173"/>
      <c r="AA25" s="491"/>
      <c r="AB25" s="491"/>
      <c r="AC25" s="154"/>
      <c r="AD25" s="25"/>
      <c r="AE25" s="19">
        <f t="shared" si="8"/>
        <v>-90.120481927711353</v>
      </c>
      <c r="AF25" s="172">
        <f t="shared" si="9"/>
        <v>0.95493975903614436</v>
      </c>
      <c r="AG25" s="489"/>
    </row>
    <row r="26" spans="1:33" ht="15.75" customHeight="1">
      <c r="A26" s="520" t="s">
        <v>56</v>
      </c>
      <c r="B26" s="42" t="s">
        <v>103</v>
      </c>
      <c r="C26" s="515" t="s">
        <v>138</v>
      </c>
      <c r="D26" s="515"/>
      <c r="E26" s="42">
        <v>53.68</v>
      </c>
      <c r="F26" s="183">
        <v>1452</v>
      </c>
      <c r="G26" s="173">
        <f t="shared" si="19"/>
        <v>77943.360000000001</v>
      </c>
      <c r="H26" s="125" t="s">
        <v>79</v>
      </c>
      <c r="I26" s="181">
        <v>16</v>
      </c>
      <c r="J26" s="37">
        <v>2000</v>
      </c>
      <c r="K26" s="17">
        <f t="shared" si="1"/>
        <v>125</v>
      </c>
      <c r="L26" s="181">
        <v>16</v>
      </c>
      <c r="M26" s="18">
        <f t="shared" si="20"/>
        <v>1936</v>
      </c>
      <c r="N26" s="17">
        <f t="shared" si="3"/>
        <v>121</v>
      </c>
      <c r="O26" s="19">
        <f t="shared" si="4"/>
        <v>0</v>
      </c>
      <c r="P26" s="20">
        <f t="shared" si="5"/>
        <v>-4</v>
      </c>
      <c r="Q26" s="172">
        <f t="shared" si="6"/>
        <v>0.96799999999999997</v>
      </c>
      <c r="R26" s="489"/>
      <c r="S26" s="40">
        <v>0.31527777777777777</v>
      </c>
      <c r="T26" s="40">
        <v>0.34652777777777777</v>
      </c>
      <c r="U26" s="173">
        <f t="shared" si="22"/>
        <v>5.9999999999999787</v>
      </c>
      <c r="V26" s="182">
        <f t="shared" si="21"/>
        <v>45</v>
      </c>
      <c r="W26" s="23"/>
      <c r="X26" s="173"/>
      <c r="Y26" s="173"/>
      <c r="Z26" s="173"/>
      <c r="AA26" s="491"/>
      <c r="AB26" s="491"/>
      <c r="AC26" s="154"/>
      <c r="AD26" s="25"/>
      <c r="AE26" s="19">
        <f t="shared" si="8"/>
        <v>-64</v>
      </c>
      <c r="AF26" s="172">
        <f t="shared" si="9"/>
        <v>0.96799999999999997</v>
      </c>
      <c r="AG26" s="489"/>
    </row>
    <row r="27" spans="1:33" ht="15.75" customHeight="1">
      <c r="A27" s="520" t="s">
        <v>56</v>
      </c>
      <c r="B27" s="42" t="s">
        <v>103</v>
      </c>
      <c r="C27" s="515" t="s">
        <v>139</v>
      </c>
      <c r="D27" s="515"/>
      <c r="E27" s="42">
        <v>49.91</v>
      </c>
      <c r="F27" s="183">
        <v>712</v>
      </c>
      <c r="G27" s="173">
        <f t="shared" si="19"/>
        <v>35535.919999999998</v>
      </c>
      <c r="H27" s="125" t="s">
        <v>79</v>
      </c>
      <c r="I27" s="181">
        <v>17</v>
      </c>
      <c r="J27" s="37">
        <v>2000</v>
      </c>
      <c r="K27" s="17">
        <f t="shared" si="1"/>
        <v>117.64705882352941</v>
      </c>
      <c r="L27" s="181">
        <v>17</v>
      </c>
      <c r="M27" s="18">
        <f t="shared" si="20"/>
        <v>1941.818181818182</v>
      </c>
      <c r="N27" s="17">
        <f t="shared" si="3"/>
        <v>114.22459893048129</v>
      </c>
      <c r="O27" s="19">
        <f t="shared" si="4"/>
        <v>0</v>
      </c>
      <c r="P27" s="20">
        <f t="shared" si="5"/>
        <v>-3.4224598930481136</v>
      </c>
      <c r="Q27" s="172">
        <f t="shared" si="6"/>
        <v>0.97090909090909105</v>
      </c>
      <c r="R27" s="489"/>
      <c r="S27" s="40">
        <v>0.3520833333333333</v>
      </c>
      <c r="T27" s="40">
        <v>0.36736111111111108</v>
      </c>
      <c r="U27" s="173">
        <f t="shared" si="22"/>
        <v>7.9999999999999716</v>
      </c>
      <c r="V27" s="182">
        <f t="shared" si="21"/>
        <v>22</v>
      </c>
      <c r="W27" s="23"/>
      <c r="X27" s="173"/>
      <c r="Y27" s="173"/>
      <c r="Z27" s="173"/>
      <c r="AA27" s="491"/>
      <c r="AB27" s="491"/>
      <c r="AC27" s="154"/>
      <c r="AD27" s="25"/>
      <c r="AE27" s="19">
        <f t="shared" si="8"/>
        <v>-58.181818181818016</v>
      </c>
      <c r="AF27" s="172">
        <f t="shared" si="9"/>
        <v>0.97090909090909094</v>
      </c>
      <c r="AG27" s="489"/>
    </row>
    <row r="28" spans="1:33" ht="15.75" customHeight="1">
      <c r="A28" s="520" t="s">
        <v>56</v>
      </c>
      <c r="B28" s="42" t="s">
        <v>103</v>
      </c>
      <c r="C28" s="515" t="s">
        <v>140</v>
      </c>
      <c r="D28" s="515"/>
      <c r="E28" s="42">
        <v>50.49</v>
      </c>
      <c r="F28" s="183">
        <v>600</v>
      </c>
      <c r="G28" s="173">
        <f t="shared" si="19"/>
        <v>30294</v>
      </c>
      <c r="H28" s="125">
        <v>2</v>
      </c>
      <c r="I28" s="181">
        <v>15</v>
      </c>
      <c r="J28" s="37">
        <v>2000</v>
      </c>
      <c r="K28" s="17">
        <f t="shared" si="1"/>
        <v>133.33333333333334</v>
      </c>
      <c r="L28" s="181">
        <v>15</v>
      </c>
      <c r="M28" s="18">
        <f t="shared" si="20"/>
        <v>2000.000000000007</v>
      </c>
      <c r="N28" s="17">
        <f t="shared" si="3"/>
        <v>133.3333333333338</v>
      </c>
      <c r="O28" s="19">
        <f t="shared" si="4"/>
        <v>0</v>
      </c>
      <c r="P28" s="20">
        <f t="shared" si="5"/>
        <v>4.5474735088646412E-13</v>
      </c>
      <c r="Q28" s="172">
        <f t="shared" si="6"/>
        <v>1.0000000000000033</v>
      </c>
      <c r="R28" s="489"/>
      <c r="S28" s="40">
        <v>0.70833333333333337</v>
      </c>
      <c r="T28" s="40">
        <v>0.72083333333333333</v>
      </c>
      <c r="U28" s="173" t="str">
        <f t="shared" si="22"/>
        <v/>
      </c>
      <c r="V28" s="182">
        <f t="shared" si="21"/>
        <v>17.999999999999936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7.0485839387401938E-12</v>
      </c>
      <c r="AF28" s="172">
        <f t="shared" si="9"/>
        <v>1.0000000000000036</v>
      </c>
      <c r="AG28" s="489"/>
    </row>
    <row r="29" spans="1:33" ht="15.75" customHeight="1">
      <c r="A29" s="520" t="s">
        <v>56</v>
      </c>
      <c r="B29" s="42" t="s">
        <v>103</v>
      </c>
      <c r="C29" s="515" t="s">
        <v>141</v>
      </c>
      <c r="D29" s="515"/>
      <c r="E29" s="42">
        <v>57.73</v>
      </c>
      <c r="F29" s="183">
        <v>1103</v>
      </c>
      <c r="G29" s="173">
        <f t="shared" si="19"/>
        <v>63676.189999999995</v>
      </c>
      <c r="H29" s="125" t="s">
        <v>79</v>
      </c>
      <c r="I29" s="181">
        <v>16</v>
      </c>
      <c r="J29" s="37">
        <v>1500</v>
      </c>
      <c r="K29" s="17">
        <f t="shared" si="1"/>
        <v>93.75</v>
      </c>
      <c r="L29" s="181">
        <v>16</v>
      </c>
      <c r="M29" s="18">
        <f t="shared" si="20"/>
        <v>1438.695652173913</v>
      </c>
      <c r="N29" s="17">
        <f t="shared" si="3"/>
        <v>89.918478260869563</v>
      </c>
      <c r="O29" s="19">
        <f t="shared" si="4"/>
        <v>0</v>
      </c>
      <c r="P29" s="20">
        <f t="shared" si="5"/>
        <v>-3.8315217391304373</v>
      </c>
      <c r="Q29" s="172">
        <f t="shared" si="6"/>
        <v>0.95913043478260862</v>
      </c>
      <c r="R29" s="489"/>
      <c r="S29" s="40">
        <v>0.72638888888888886</v>
      </c>
      <c r="T29" s="40">
        <v>0.7583333333333333</v>
      </c>
      <c r="U29" s="173">
        <f t="shared" si="22"/>
        <v>7.9999999999999716</v>
      </c>
      <c r="V29" s="182">
        <f t="shared" si="21"/>
        <v>46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-61.304347826086996</v>
      </c>
      <c r="AF29" s="172">
        <f t="shared" si="9"/>
        <v>0.95913043478260862</v>
      </c>
      <c r="AG29" s="489"/>
    </row>
    <row r="30" spans="1:33" ht="15.75" customHeight="1">
      <c r="A30" s="520" t="s">
        <v>56</v>
      </c>
      <c r="B30" s="42" t="s">
        <v>103</v>
      </c>
      <c r="C30" s="521" t="s">
        <v>108</v>
      </c>
      <c r="D30" s="522"/>
      <c r="E30" s="42">
        <v>54.29</v>
      </c>
      <c r="F30" s="183">
        <v>700</v>
      </c>
      <c r="G30" s="173">
        <f t="shared" si="19"/>
        <v>38003</v>
      </c>
      <c r="H30" s="125">
        <v>2</v>
      </c>
      <c r="I30" s="181">
        <v>20</v>
      </c>
      <c r="J30" s="37">
        <v>2000</v>
      </c>
      <c r="K30" s="17">
        <f t="shared" si="1"/>
        <v>100</v>
      </c>
      <c r="L30" s="181">
        <v>20</v>
      </c>
      <c r="M30" s="18">
        <f t="shared" si="20"/>
        <v>1909.0909090909158</v>
      </c>
      <c r="N30" s="17">
        <f t="shared" si="3"/>
        <v>95.454545454545794</v>
      </c>
      <c r="O30" s="19">
        <f t="shared" si="4"/>
        <v>0</v>
      </c>
      <c r="P30" s="20">
        <f t="shared" si="5"/>
        <v>-4.5454545454542057</v>
      </c>
      <c r="Q30" s="172">
        <f t="shared" si="6"/>
        <v>0.95454545454545792</v>
      </c>
      <c r="R30" s="489"/>
      <c r="S30" s="40">
        <v>0.76249999999999996</v>
      </c>
      <c r="T30" s="40">
        <v>0.77777777777777768</v>
      </c>
      <c r="U30" s="173">
        <f t="shared" si="22"/>
        <v>5.9999999999999787</v>
      </c>
      <c r="V30" s="182">
        <f t="shared" si="21"/>
        <v>21.999999999999922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-90.909090909084171</v>
      </c>
      <c r="AF30" s="172">
        <f t="shared" si="9"/>
        <v>0.95454545454545792</v>
      </c>
      <c r="AG30" s="489"/>
    </row>
    <row r="31" spans="1:33" ht="15.75" customHeight="1">
      <c r="A31" s="520" t="s">
        <v>56</v>
      </c>
      <c r="B31" s="42" t="s">
        <v>103</v>
      </c>
      <c r="C31" s="521" t="s">
        <v>142</v>
      </c>
      <c r="D31" s="522"/>
      <c r="E31" s="42">
        <v>53.68</v>
      </c>
      <c r="F31" s="183">
        <v>2081</v>
      </c>
      <c r="G31" s="173">
        <f t="shared" si="19"/>
        <v>111708.08</v>
      </c>
      <c r="H31" s="125" t="s">
        <v>79</v>
      </c>
      <c r="I31" s="181">
        <v>16</v>
      </c>
      <c r="J31" s="37">
        <v>1500</v>
      </c>
      <c r="K31" s="17">
        <f t="shared" si="1"/>
        <v>93.75</v>
      </c>
      <c r="L31" s="181">
        <v>16</v>
      </c>
      <c r="M31" s="18">
        <f t="shared" si="20"/>
        <v>1435.1724137931033</v>
      </c>
      <c r="N31" s="17">
        <f t="shared" si="3"/>
        <v>89.698275862068954</v>
      </c>
      <c r="O31" s="19">
        <f t="shared" si="4"/>
        <v>0</v>
      </c>
      <c r="P31" s="20">
        <f t="shared" si="5"/>
        <v>-4.0517241379310462</v>
      </c>
      <c r="Q31" s="172">
        <f t="shared" si="6"/>
        <v>0.95678160919540223</v>
      </c>
      <c r="R31" s="489"/>
      <c r="S31" s="40">
        <v>0.78124999999999989</v>
      </c>
      <c r="T31" s="40">
        <v>0.84166666666666656</v>
      </c>
      <c r="U31" s="173">
        <f t="shared" si="22"/>
        <v>4.9999999999999822</v>
      </c>
      <c r="V31" s="182">
        <f t="shared" si="21"/>
        <v>87.000000000000014</v>
      </c>
      <c r="W31" s="23">
        <f>T31</f>
        <v>0.84166666666666656</v>
      </c>
      <c r="X31" s="23">
        <f>S32</f>
        <v>0.88263888888888875</v>
      </c>
      <c r="Y31" s="26"/>
      <c r="Z31" s="26"/>
      <c r="AA31" s="503"/>
      <c r="AB31" s="504"/>
      <c r="AC31" s="154"/>
      <c r="AD31" s="25"/>
      <c r="AE31" s="19">
        <f t="shared" si="8"/>
        <v>-64.82758620689674</v>
      </c>
      <c r="AF31" s="172">
        <f t="shared" si="9"/>
        <v>0.95678160919540223</v>
      </c>
      <c r="AG31" s="489"/>
    </row>
    <row r="32" spans="1:33" ht="15.75" customHeight="1">
      <c r="A32" s="520" t="s">
        <v>56</v>
      </c>
      <c r="B32" s="42" t="s">
        <v>103</v>
      </c>
      <c r="C32" s="521" t="s">
        <v>140</v>
      </c>
      <c r="D32" s="522"/>
      <c r="E32" s="42">
        <v>50.49</v>
      </c>
      <c r="F32" s="183">
        <v>1334</v>
      </c>
      <c r="G32" s="173">
        <f t="shared" si="19"/>
        <v>67353.66</v>
      </c>
      <c r="H32" s="125" t="s">
        <v>79</v>
      </c>
      <c r="I32" s="181">
        <v>15</v>
      </c>
      <c r="J32" s="37">
        <v>2000</v>
      </c>
      <c r="K32" s="17">
        <f t="shared" si="1"/>
        <v>133.33333333333334</v>
      </c>
      <c r="L32" s="181">
        <v>15</v>
      </c>
      <c r="M32" s="18">
        <f t="shared" si="20"/>
        <v>1905.7142857142851</v>
      </c>
      <c r="N32" s="17">
        <f t="shared" si="3"/>
        <v>127.04761904761901</v>
      </c>
      <c r="O32" s="19">
        <f t="shared" si="4"/>
        <v>0</v>
      </c>
      <c r="P32" s="20">
        <f t="shared" si="5"/>
        <v>-6.2857142857143344</v>
      </c>
      <c r="Q32" s="172">
        <f t="shared" si="6"/>
        <v>0.95285714285714251</v>
      </c>
      <c r="R32" s="489"/>
      <c r="S32" s="40">
        <v>0.88263888888888875</v>
      </c>
      <c r="T32" s="40">
        <v>0.91180555555555542</v>
      </c>
      <c r="U32" s="173">
        <f t="shared" si="22"/>
        <v>58.99999999999995</v>
      </c>
      <c r="V32" s="182">
        <f t="shared" si="21"/>
        <v>42.000000000000014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-94.285714285714903</v>
      </c>
      <c r="AF32" s="172">
        <f t="shared" si="9"/>
        <v>0.95285714285714251</v>
      </c>
      <c r="AG32" s="489"/>
    </row>
    <row r="33" spans="1:33" ht="15.75" customHeight="1">
      <c r="A33" s="520" t="s">
        <v>56</v>
      </c>
      <c r="B33" s="42" t="s">
        <v>103</v>
      </c>
      <c r="C33" s="521" t="s">
        <v>108</v>
      </c>
      <c r="D33" s="522"/>
      <c r="E33" s="42">
        <v>54.29</v>
      </c>
      <c r="F33" s="183">
        <v>2055</v>
      </c>
      <c r="G33" s="173">
        <f t="shared" si="19"/>
        <v>111565.95</v>
      </c>
      <c r="H33" s="125" t="s">
        <v>79</v>
      </c>
      <c r="I33" s="181">
        <v>20</v>
      </c>
      <c r="J33" s="37">
        <v>2000</v>
      </c>
      <c r="K33" s="17">
        <f t="shared" si="1"/>
        <v>100</v>
      </c>
      <c r="L33" s="181">
        <v>20</v>
      </c>
      <c r="M33" s="18">
        <f t="shared" si="20"/>
        <v>1926.562500000002</v>
      </c>
      <c r="N33" s="17">
        <f t="shared" si="3"/>
        <v>96.328125000000099</v>
      </c>
      <c r="O33" s="19">
        <f t="shared" si="4"/>
        <v>0</v>
      </c>
      <c r="P33" s="20">
        <f t="shared" si="5"/>
        <v>-3.6718749999999005</v>
      </c>
      <c r="Q33" s="172">
        <f t="shared" si="6"/>
        <v>0.96328125000000098</v>
      </c>
      <c r="R33" s="489"/>
      <c r="S33" s="40">
        <v>0.91527777777777763</v>
      </c>
      <c r="T33" s="40">
        <v>0.95972222222222203</v>
      </c>
      <c r="U33" s="173">
        <f t="shared" si="22"/>
        <v>4.9999999999999822</v>
      </c>
      <c r="V33" s="182">
        <f t="shared" si="21"/>
        <v>63.999999999999929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-73.437499999997954</v>
      </c>
      <c r="AF33" s="172">
        <f t="shared" si="9"/>
        <v>0.96328125000000098</v>
      </c>
      <c r="AG33" s="489"/>
    </row>
    <row r="34" spans="1:33" ht="15.75" customHeight="1">
      <c r="A34" s="520" t="s">
        <v>56</v>
      </c>
      <c r="B34" s="42" t="s">
        <v>71</v>
      </c>
      <c r="C34" s="494"/>
      <c r="D34" s="494"/>
      <c r="E34" s="175"/>
      <c r="F34" s="183"/>
      <c r="G34" s="173"/>
      <c r="H34" s="183"/>
      <c r="I34" s="30">
        <v>16.636363636363637</v>
      </c>
      <c r="J34" s="37">
        <v>1909.090909090909</v>
      </c>
      <c r="K34" s="17">
        <f t="shared" si="1"/>
        <v>114.75409836065573</v>
      </c>
      <c r="L34" s="30">
        <v>16.636363636363637</v>
      </c>
      <c r="M34" s="18">
        <f>AVERAGE(M23:M33)</f>
        <v>1846.4255194009047</v>
      </c>
      <c r="N34" s="17">
        <f t="shared" si="3"/>
        <v>110.98732630278661</v>
      </c>
      <c r="O34" s="19">
        <f t="shared" si="4"/>
        <v>0</v>
      </c>
      <c r="P34" s="20">
        <f t="shared" si="5"/>
        <v>-3.7667720578691188</v>
      </c>
      <c r="Q34" s="172">
        <f t="shared" si="6"/>
        <v>0.96717527206714049</v>
      </c>
      <c r="R34" s="489"/>
      <c r="S34" s="40"/>
      <c r="T34" s="40"/>
      <c r="U34" s="17"/>
      <c r="V34" s="182"/>
      <c r="W34" s="17"/>
      <c r="X34" s="17"/>
      <c r="Y34" s="31">
        <f>SUM(Y23:Y33)</f>
        <v>0</v>
      </c>
      <c r="Z34" s="31">
        <f>SUM(Z23:Z33)</f>
        <v>0</v>
      </c>
      <c r="AA34" s="495"/>
      <c r="AB34" s="495"/>
      <c r="AC34" s="31">
        <f>SUM(AC23:AC33)</f>
        <v>4</v>
      </c>
      <c r="AD34" s="31">
        <f>SUM(AD23:AD33)</f>
        <v>0</v>
      </c>
      <c r="AE34" s="19">
        <f t="shared" si="8"/>
        <v>-62.665389690004304</v>
      </c>
      <c r="AF34" s="172">
        <f t="shared" si="9"/>
        <v>0.9671752720671406</v>
      </c>
      <c r="AG34" s="489"/>
    </row>
    <row r="35" spans="1:33" ht="15.75" customHeight="1">
      <c r="A35" s="518" t="s">
        <v>310</v>
      </c>
      <c r="B35" s="42" t="s">
        <v>80</v>
      </c>
      <c r="C35" s="515" t="s">
        <v>81</v>
      </c>
      <c r="D35" s="515"/>
      <c r="E35" s="42">
        <v>31.29</v>
      </c>
      <c r="F35" s="183">
        <v>6831</v>
      </c>
      <c r="G35" s="173">
        <f t="shared" ref="G35:G39" si="23">E35*F35</f>
        <v>213741.99</v>
      </c>
      <c r="H35" s="125" t="s">
        <v>79</v>
      </c>
      <c r="I35" s="181">
        <v>18</v>
      </c>
      <c r="J35" s="37">
        <v>2400</v>
      </c>
      <c r="K35" s="17">
        <f t="shared" si="1"/>
        <v>133.33333333333334</v>
      </c>
      <c r="L35" s="181">
        <v>18</v>
      </c>
      <c r="M35" s="18">
        <f t="shared" ref="M35:M39" si="24">F35/V35*60</f>
        <v>2289.7206703910615</v>
      </c>
      <c r="N35" s="17">
        <f t="shared" si="3"/>
        <v>127.20670391061452</v>
      </c>
      <c r="O35" s="19">
        <f t="shared" si="4"/>
        <v>0</v>
      </c>
      <c r="P35" s="20">
        <f t="shared" si="5"/>
        <v>-6.1266294227188212</v>
      </c>
      <c r="Q35" s="172">
        <f t="shared" si="6"/>
        <v>0.95405027932960884</v>
      </c>
      <c r="R35" s="489">
        <f>Q40</f>
        <v>0.95677379376645422</v>
      </c>
      <c r="S35" s="40">
        <v>8.3333333333333329E-2</v>
      </c>
      <c r="T35" s="40">
        <v>0.20763888888888887</v>
      </c>
      <c r="U35" s="173"/>
      <c r="V35" s="182">
        <f t="shared" ref="V35:V39" si="25">(T35-S35)*24*60</f>
        <v>178.99999999999997</v>
      </c>
      <c r="W35" s="23">
        <f>T35</f>
        <v>0.20763888888888887</v>
      </c>
      <c r="X35" s="23">
        <f>S36</f>
        <v>0.22638888888888886</v>
      </c>
      <c r="Y35" s="23"/>
      <c r="Z35" s="23"/>
      <c r="AA35" s="491"/>
      <c r="AB35" s="491"/>
      <c r="AC35" s="154">
        <v>6</v>
      </c>
      <c r="AD35" s="25"/>
      <c r="AE35" s="19">
        <f t="shared" si="8"/>
        <v>-110.2793296089385</v>
      </c>
      <c r="AF35" s="172">
        <f t="shared" si="9"/>
        <v>0.95405027932960895</v>
      </c>
      <c r="AG35" s="489">
        <f>AF40</f>
        <v>0.95677379376645433</v>
      </c>
    </row>
    <row r="36" spans="1:33" ht="15.75" customHeight="1">
      <c r="A36" s="518" t="s">
        <v>310</v>
      </c>
      <c r="B36" s="42" t="s">
        <v>80</v>
      </c>
      <c r="C36" s="515" t="s">
        <v>82</v>
      </c>
      <c r="D36" s="515"/>
      <c r="E36" s="42">
        <v>26.2</v>
      </c>
      <c r="F36" s="183">
        <v>3694</v>
      </c>
      <c r="G36" s="173">
        <f t="shared" si="23"/>
        <v>96782.8</v>
      </c>
      <c r="H36" s="125" t="s">
        <v>79</v>
      </c>
      <c r="I36" s="181">
        <v>20</v>
      </c>
      <c r="J36" s="37">
        <v>2400</v>
      </c>
      <c r="K36" s="17">
        <f t="shared" si="1"/>
        <v>120</v>
      </c>
      <c r="L36" s="181">
        <v>20</v>
      </c>
      <c r="M36" s="18">
        <f t="shared" si="24"/>
        <v>2284.9484536082482</v>
      </c>
      <c r="N36" s="17">
        <f t="shared" si="3"/>
        <v>114.24742268041241</v>
      </c>
      <c r="O36" s="19">
        <f t="shared" si="4"/>
        <v>0</v>
      </c>
      <c r="P36" s="20">
        <f t="shared" si="5"/>
        <v>-5.7525773195875871</v>
      </c>
      <c r="Q36" s="172">
        <f t="shared" si="6"/>
        <v>0.95206185567010349</v>
      </c>
      <c r="R36" s="489"/>
      <c r="S36" s="40">
        <v>0.22638888888888886</v>
      </c>
      <c r="T36" s="40">
        <v>0.29374999999999996</v>
      </c>
      <c r="U36" s="173">
        <f t="shared" ref="U36:U39" si="26">(S36-T35)*24*60</f>
        <v>26.999999999999986</v>
      </c>
      <c r="V36" s="182">
        <f t="shared" si="25"/>
        <v>96.999999999999972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-115.0515463917518</v>
      </c>
      <c r="AF36" s="172">
        <f t="shared" si="9"/>
        <v>0.95206185567010337</v>
      </c>
      <c r="AG36" s="489"/>
    </row>
    <row r="37" spans="1:33" ht="15.75" customHeight="1">
      <c r="A37" s="518" t="s">
        <v>310</v>
      </c>
      <c r="B37" s="42" t="s">
        <v>80</v>
      </c>
      <c r="C37" s="515" t="s">
        <v>83</v>
      </c>
      <c r="D37" s="515"/>
      <c r="E37" s="42">
        <v>25.99</v>
      </c>
      <c r="F37" s="183">
        <v>3301</v>
      </c>
      <c r="G37" s="173">
        <f t="shared" si="23"/>
        <v>85792.989999999991</v>
      </c>
      <c r="H37" s="125" t="s">
        <v>79</v>
      </c>
      <c r="I37" s="181">
        <v>14</v>
      </c>
      <c r="J37" s="37">
        <v>2400</v>
      </c>
      <c r="K37" s="17">
        <f t="shared" si="1"/>
        <v>171.42857142857142</v>
      </c>
      <c r="L37" s="181">
        <v>14</v>
      </c>
      <c r="M37" s="18">
        <f t="shared" si="24"/>
        <v>2303.0232558139528</v>
      </c>
      <c r="N37" s="17">
        <f t="shared" si="3"/>
        <v>164.50166112956805</v>
      </c>
      <c r="O37" s="19">
        <f t="shared" si="4"/>
        <v>0</v>
      </c>
      <c r="P37" s="20">
        <f t="shared" si="5"/>
        <v>-6.9269102990033673</v>
      </c>
      <c r="Q37" s="172">
        <f t="shared" si="6"/>
        <v>0.95959302325581364</v>
      </c>
      <c r="R37" s="489"/>
      <c r="S37" s="40">
        <v>0.29722222222222217</v>
      </c>
      <c r="T37" s="40">
        <v>0.3569444444444444</v>
      </c>
      <c r="U37" s="173">
        <f t="shared" si="26"/>
        <v>4.9999999999999822</v>
      </c>
      <c r="V37" s="182">
        <f t="shared" si="25"/>
        <v>86.000000000000014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-96.976744186047199</v>
      </c>
      <c r="AF37" s="172">
        <f t="shared" si="9"/>
        <v>0.95959302325581364</v>
      </c>
      <c r="AG37" s="489"/>
    </row>
    <row r="38" spans="1:33" ht="15.75" customHeight="1">
      <c r="A38" s="518" t="s">
        <v>963</v>
      </c>
      <c r="B38" s="42" t="s">
        <v>80</v>
      </c>
      <c r="C38" s="515" t="s">
        <v>84</v>
      </c>
      <c r="D38" s="515"/>
      <c r="E38" s="42">
        <v>20.52</v>
      </c>
      <c r="F38" s="183">
        <v>3103</v>
      </c>
      <c r="G38" s="173">
        <f t="shared" si="23"/>
        <v>63673.56</v>
      </c>
      <c r="H38" s="125" t="s">
        <v>79</v>
      </c>
      <c r="I38" s="181">
        <v>18</v>
      </c>
      <c r="J38" s="37">
        <v>2400</v>
      </c>
      <c r="K38" s="17">
        <f t="shared" si="1"/>
        <v>133.33333333333334</v>
      </c>
      <c r="L38" s="181">
        <v>18</v>
      </c>
      <c r="M38" s="18">
        <f t="shared" si="24"/>
        <v>2298.5185185185178</v>
      </c>
      <c r="N38" s="17">
        <f t="shared" si="3"/>
        <v>127.69547325102877</v>
      </c>
      <c r="O38" s="19">
        <f t="shared" si="4"/>
        <v>0</v>
      </c>
      <c r="P38" s="20">
        <f t="shared" si="5"/>
        <v>-5.6378600823045701</v>
      </c>
      <c r="Q38" s="172">
        <f t="shared" si="6"/>
        <v>0.95771604938271571</v>
      </c>
      <c r="R38" s="489"/>
      <c r="S38" s="40">
        <v>0.36041666666666661</v>
      </c>
      <c r="T38" s="40">
        <v>0.41666666666666663</v>
      </c>
      <c r="U38" s="173">
        <f t="shared" si="26"/>
        <v>4.9999999999999822</v>
      </c>
      <c r="V38" s="182">
        <f t="shared" si="25"/>
        <v>81.000000000000028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-101.48148148148221</v>
      </c>
      <c r="AF38" s="172">
        <f t="shared" si="9"/>
        <v>0.95771604938271571</v>
      </c>
      <c r="AG38" s="489"/>
    </row>
    <row r="39" spans="1:33" ht="15.75" customHeight="1">
      <c r="A39" s="518" t="s">
        <v>310</v>
      </c>
      <c r="B39" s="42" t="s">
        <v>80</v>
      </c>
      <c r="C39" s="515" t="s">
        <v>85</v>
      </c>
      <c r="D39" s="515"/>
      <c r="E39" s="42">
        <v>25.98</v>
      </c>
      <c r="F39" s="183">
        <v>2574</v>
      </c>
      <c r="G39" s="173">
        <f t="shared" si="23"/>
        <v>66872.52</v>
      </c>
      <c r="H39" s="125" t="s">
        <v>79</v>
      </c>
      <c r="I39" s="181">
        <v>21</v>
      </c>
      <c r="J39" s="37">
        <v>2400</v>
      </c>
      <c r="K39" s="17">
        <f t="shared" si="1"/>
        <v>114.28571428571429</v>
      </c>
      <c r="L39" s="181">
        <v>21</v>
      </c>
      <c r="M39" s="18">
        <f t="shared" si="24"/>
        <v>2305.0746268656717</v>
      </c>
      <c r="N39" s="17">
        <f t="shared" si="3"/>
        <v>109.76545842217485</v>
      </c>
      <c r="O39" s="19">
        <f t="shared" si="4"/>
        <v>0</v>
      </c>
      <c r="P39" s="20">
        <f t="shared" si="5"/>
        <v>-4.5202558635394468</v>
      </c>
      <c r="Q39" s="172">
        <f t="shared" si="6"/>
        <v>0.96044776119402986</v>
      </c>
      <c r="R39" s="489"/>
      <c r="S39" s="40">
        <v>0.42222222222222217</v>
      </c>
      <c r="T39" s="40">
        <v>0.46874999999999994</v>
      </c>
      <c r="U39" s="173">
        <f t="shared" si="26"/>
        <v>7.9999999999999716</v>
      </c>
      <c r="V39" s="182">
        <f t="shared" si="25"/>
        <v>67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-94.925373134328311</v>
      </c>
      <c r="AF39" s="172">
        <f t="shared" si="9"/>
        <v>0.96044776119402986</v>
      </c>
      <c r="AG39" s="489"/>
    </row>
    <row r="40" spans="1:33" ht="15.75" customHeight="1">
      <c r="A40" s="518" t="s">
        <v>310</v>
      </c>
      <c r="B40" s="42" t="s">
        <v>71</v>
      </c>
      <c r="C40" s="494"/>
      <c r="D40" s="494"/>
      <c r="E40" s="175"/>
      <c r="F40" s="183"/>
      <c r="G40" s="173"/>
      <c r="H40" s="183"/>
      <c r="I40" s="30">
        <v>18.2</v>
      </c>
      <c r="J40" s="37">
        <v>2400</v>
      </c>
      <c r="K40" s="17">
        <f t="shared" si="1"/>
        <v>131.86813186813188</v>
      </c>
      <c r="L40" s="30">
        <v>18.2</v>
      </c>
      <c r="M40" s="18">
        <f>AVERAGE(M35:M39)</f>
        <v>2296.2571050394904</v>
      </c>
      <c r="N40" s="17">
        <f t="shared" si="3"/>
        <v>126.16797280436761</v>
      </c>
      <c r="O40" s="19">
        <f t="shared" si="4"/>
        <v>0</v>
      </c>
      <c r="P40" s="20">
        <f t="shared" si="5"/>
        <v>-5.7001590637642749</v>
      </c>
      <c r="Q40" s="172">
        <f t="shared" si="6"/>
        <v>0.95677379376645422</v>
      </c>
      <c r="R40" s="489"/>
      <c r="S40" s="40"/>
      <c r="T40" s="40"/>
      <c r="U40" s="173"/>
      <c r="V40" s="182"/>
      <c r="W40" s="173"/>
      <c r="X40" s="173"/>
      <c r="Y40" s="31">
        <f>SUM(Y35:Y39)</f>
        <v>0</v>
      </c>
      <c r="Z40" s="31">
        <f>SUM(Z35:Z39)</f>
        <v>0</v>
      </c>
      <c r="AA40" s="495"/>
      <c r="AB40" s="495"/>
      <c r="AC40" s="31">
        <f>SUM(AC35:AC39)</f>
        <v>6</v>
      </c>
      <c r="AD40" s="31">
        <f>SUM(AD35:AD39)</f>
        <v>0</v>
      </c>
      <c r="AE40" s="19">
        <f t="shared" si="8"/>
        <v>-103.7428949605096</v>
      </c>
      <c r="AF40" s="172">
        <f t="shared" si="9"/>
        <v>0.95677379376645433</v>
      </c>
      <c r="AG40" s="489"/>
    </row>
    <row r="41" spans="1:33" ht="15.75" customHeight="1">
      <c r="A41" s="516" t="s">
        <v>964</v>
      </c>
      <c r="B41" s="42" t="s">
        <v>80</v>
      </c>
      <c r="C41" s="490" t="s">
        <v>86</v>
      </c>
      <c r="D41" s="490"/>
      <c r="E41" s="42">
        <v>22.69</v>
      </c>
      <c r="F41" s="183">
        <v>389</v>
      </c>
      <c r="G41" s="173">
        <f t="shared" ref="G41:G47" si="27">E41*F41</f>
        <v>8826.41</v>
      </c>
      <c r="H41" s="125" t="s">
        <v>79</v>
      </c>
      <c r="I41" s="181">
        <v>15</v>
      </c>
      <c r="J41" s="37">
        <v>2400</v>
      </c>
      <c r="K41" s="17">
        <f t="shared" si="1"/>
        <v>160</v>
      </c>
      <c r="L41" s="181">
        <v>15</v>
      </c>
      <c r="M41" s="18">
        <f t="shared" ref="M41:M47" si="28">F41/V41*60</f>
        <v>2333.9999999999991</v>
      </c>
      <c r="N41" s="17">
        <f t="shared" si="3"/>
        <v>155.59999999999994</v>
      </c>
      <c r="O41" s="19">
        <f t="shared" si="4"/>
        <v>0</v>
      </c>
      <c r="P41" s="20">
        <f t="shared" si="5"/>
        <v>-4.4000000000000625</v>
      </c>
      <c r="Q41" s="172">
        <f t="shared" si="6"/>
        <v>0.97249999999999959</v>
      </c>
      <c r="R41" s="489">
        <f>Q48</f>
        <v>0.95476128828055462</v>
      </c>
      <c r="S41" s="40">
        <v>8.3333333333333329E-2</v>
      </c>
      <c r="T41" s="40">
        <v>9.0277777777777776E-2</v>
      </c>
      <c r="U41" s="173"/>
      <c r="V41" s="182">
        <f t="shared" ref="V41:V47" si="29">(T41-S41)*24*60</f>
        <v>10.000000000000004</v>
      </c>
      <c r="W41" s="28">
        <f>T41</f>
        <v>9.0277777777777776E-2</v>
      </c>
      <c r="X41" s="28">
        <f>S42</f>
        <v>0.10902777777777778</v>
      </c>
      <c r="Y41" s="28"/>
      <c r="Z41" s="28"/>
      <c r="AA41" s="491"/>
      <c r="AB41" s="491"/>
      <c r="AC41" s="154">
        <v>5</v>
      </c>
      <c r="AD41" s="25"/>
      <c r="AE41" s="19">
        <f t="shared" si="8"/>
        <v>-66.000000000000909</v>
      </c>
      <c r="AF41" s="172">
        <f t="shared" si="9"/>
        <v>0.97249999999999959</v>
      </c>
      <c r="AG41" s="489">
        <f>AF48</f>
        <v>0.95476128828055473</v>
      </c>
    </row>
    <row r="42" spans="1:33" ht="15.75" customHeight="1">
      <c r="A42" s="516" t="s">
        <v>964</v>
      </c>
      <c r="B42" s="42" t="s">
        <v>80</v>
      </c>
      <c r="C42" s="490" t="s">
        <v>87</v>
      </c>
      <c r="D42" s="490"/>
      <c r="E42" s="42">
        <v>26.2</v>
      </c>
      <c r="F42" s="183">
        <v>4879</v>
      </c>
      <c r="G42" s="173">
        <f t="shared" si="27"/>
        <v>127829.8</v>
      </c>
      <c r="H42" s="125" t="s">
        <v>79</v>
      </c>
      <c r="I42" s="181">
        <v>18</v>
      </c>
      <c r="J42" s="37">
        <v>2400</v>
      </c>
      <c r="K42" s="17">
        <f t="shared" si="1"/>
        <v>133.33333333333334</v>
      </c>
      <c r="L42" s="181">
        <v>18</v>
      </c>
      <c r="M42" s="18">
        <f t="shared" si="28"/>
        <v>2287.0312499999995</v>
      </c>
      <c r="N42" s="17">
        <f t="shared" si="3"/>
        <v>127.05729166666664</v>
      </c>
      <c r="O42" s="19">
        <f t="shared" si="4"/>
        <v>0</v>
      </c>
      <c r="P42" s="20">
        <f t="shared" si="5"/>
        <v>-6.2760416666666998</v>
      </c>
      <c r="Q42" s="172">
        <f t="shared" si="6"/>
        <v>0.95292968749999973</v>
      </c>
      <c r="R42" s="489"/>
      <c r="S42" s="40">
        <v>0.10902777777777778</v>
      </c>
      <c r="T42" s="40">
        <v>0.19791666666666669</v>
      </c>
      <c r="U42" s="173">
        <f t="shared" ref="U42:U47" si="30">(S42-T41)*24*60</f>
        <v>27.000000000000004</v>
      </c>
      <c r="V42" s="182">
        <f t="shared" si="29"/>
        <v>128.00000000000003</v>
      </c>
      <c r="W42" s="173"/>
      <c r="X42" s="173"/>
      <c r="Y42" s="173"/>
      <c r="Z42" s="173"/>
      <c r="AA42" s="491"/>
      <c r="AB42" s="491"/>
      <c r="AC42" s="154"/>
      <c r="AD42" s="25"/>
      <c r="AE42" s="19">
        <f t="shared" si="8"/>
        <v>-112.96875000000045</v>
      </c>
      <c r="AF42" s="172">
        <f t="shared" si="9"/>
        <v>0.95292968749999984</v>
      </c>
      <c r="AG42" s="489"/>
    </row>
    <row r="43" spans="1:33">
      <c r="A43" s="517" t="s">
        <v>61</v>
      </c>
      <c r="B43" s="42" t="s">
        <v>80</v>
      </c>
      <c r="C43" s="490" t="s">
        <v>88</v>
      </c>
      <c r="D43" s="490"/>
      <c r="E43" s="42">
        <v>26.18</v>
      </c>
      <c r="F43" s="183">
        <v>1734</v>
      </c>
      <c r="G43" s="173">
        <f t="shared" si="27"/>
        <v>45396.12</v>
      </c>
      <c r="H43" s="125" t="s">
        <v>79</v>
      </c>
      <c r="I43" s="181">
        <v>19</v>
      </c>
      <c r="J43" s="37">
        <v>2400</v>
      </c>
      <c r="K43" s="17">
        <f t="shared" si="1"/>
        <v>126.31578947368421</v>
      </c>
      <c r="L43" s="181">
        <v>19</v>
      </c>
      <c r="M43" s="18">
        <f t="shared" si="28"/>
        <v>2312</v>
      </c>
      <c r="N43" s="17">
        <f t="shared" si="3"/>
        <v>121.68421052631579</v>
      </c>
      <c r="O43" s="19">
        <f t="shared" si="4"/>
        <v>0</v>
      </c>
      <c r="P43" s="20">
        <f t="shared" si="5"/>
        <v>-4.6315789473684106</v>
      </c>
      <c r="Q43" s="172">
        <f t="shared" si="6"/>
        <v>0.96333333333333337</v>
      </c>
      <c r="R43" s="489"/>
      <c r="S43" s="40">
        <v>0.20208333333333336</v>
      </c>
      <c r="T43" s="40">
        <v>0.23333333333333336</v>
      </c>
      <c r="U43" s="173">
        <f t="shared" si="30"/>
        <v>6.0000000000000187</v>
      </c>
      <c r="V43" s="182">
        <f t="shared" si="29"/>
        <v>45</v>
      </c>
      <c r="W43" s="173"/>
      <c r="X43" s="173"/>
      <c r="Y43" s="173"/>
      <c r="Z43" s="173"/>
      <c r="AA43" s="491"/>
      <c r="AB43" s="491"/>
      <c r="AC43" s="154"/>
      <c r="AD43" s="25"/>
      <c r="AE43" s="19">
        <f t="shared" si="8"/>
        <v>-88</v>
      </c>
      <c r="AF43" s="172">
        <f t="shared" si="9"/>
        <v>0.96333333333333337</v>
      </c>
      <c r="AG43" s="489"/>
    </row>
    <row r="44" spans="1:33">
      <c r="A44" s="517" t="s">
        <v>964</v>
      </c>
      <c r="B44" s="42" t="s">
        <v>80</v>
      </c>
      <c r="C44" s="490" t="s">
        <v>89</v>
      </c>
      <c r="D44" s="490"/>
      <c r="E44" s="42">
        <v>26.39</v>
      </c>
      <c r="F44" s="183">
        <v>4678</v>
      </c>
      <c r="G44" s="173">
        <f t="shared" si="27"/>
        <v>123452.42</v>
      </c>
      <c r="H44" s="125" t="s">
        <v>79</v>
      </c>
      <c r="I44" s="181">
        <v>19</v>
      </c>
      <c r="J44" s="37">
        <v>2400</v>
      </c>
      <c r="K44" s="17">
        <f t="shared" si="1"/>
        <v>126.31578947368421</v>
      </c>
      <c r="L44" s="181">
        <v>19</v>
      </c>
      <c r="M44" s="18">
        <f t="shared" si="28"/>
        <v>2281.9512195121961</v>
      </c>
      <c r="N44" s="17">
        <f t="shared" si="3"/>
        <v>120.10269576379979</v>
      </c>
      <c r="O44" s="19">
        <f t="shared" si="4"/>
        <v>0</v>
      </c>
      <c r="P44" s="20">
        <f t="shared" si="5"/>
        <v>-6.2130937098844186</v>
      </c>
      <c r="Q44" s="172">
        <f t="shared" si="6"/>
        <v>0.95081300813008174</v>
      </c>
      <c r="R44" s="489"/>
      <c r="S44" s="40">
        <v>0.23750000000000004</v>
      </c>
      <c r="T44" s="40">
        <v>0.32291666666666669</v>
      </c>
      <c r="U44" s="173">
        <f t="shared" si="30"/>
        <v>6.0000000000000187</v>
      </c>
      <c r="V44" s="182">
        <f t="shared" si="29"/>
        <v>122.99999999999996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-118.04878048780392</v>
      </c>
      <c r="AF44" s="172">
        <f t="shared" si="9"/>
        <v>0.95081300813008174</v>
      </c>
      <c r="AG44" s="489"/>
    </row>
    <row r="45" spans="1:33">
      <c r="A45" s="517" t="s">
        <v>61</v>
      </c>
      <c r="B45" s="42" t="s">
        <v>80</v>
      </c>
      <c r="C45" s="490" t="s">
        <v>90</v>
      </c>
      <c r="D45" s="490"/>
      <c r="E45" s="42">
        <v>22.69</v>
      </c>
      <c r="F45" s="183">
        <v>1598</v>
      </c>
      <c r="G45" s="173">
        <f t="shared" si="27"/>
        <v>36258.620000000003</v>
      </c>
      <c r="H45" s="125" t="s">
        <v>79</v>
      </c>
      <c r="I45" s="181">
        <v>15</v>
      </c>
      <c r="J45" s="37">
        <v>2400</v>
      </c>
      <c r="K45" s="17">
        <f t="shared" si="1"/>
        <v>160</v>
      </c>
      <c r="L45" s="181">
        <v>15</v>
      </c>
      <c r="M45" s="18">
        <f t="shared" si="28"/>
        <v>2338.5365853658527</v>
      </c>
      <c r="N45" s="17">
        <f t="shared" si="3"/>
        <v>155.90243902439019</v>
      </c>
      <c r="O45" s="19">
        <f t="shared" si="4"/>
        <v>0</v>
      </c>
      <c r="P45" s="20">
        <f t="shared" si="5"/>
        <v>-4.0975609756098095</v>
      </c>
      <c r="Q45" s="172">
        <f t="shared" si="6"/>
        <v>0.97439024390243867</v>
      </c>
      <c r="R45" s="489"/>
      <c r="S45" s="40">
        <v>0.32847222222222222</v>
      </c>
      <c r="T45" s="40">
        <v>0.35694444444444445</v>
      </c>
      <c r="U45" s="173">
        <f t="shared" si="30"/>
        <v>7.9999999999999716</v>
      </c>
      <c r="V45" s="182">
        <f t="shared" si="29"/>
        <v>41.000000000000014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-61.463414634147284</v>
      </c>
      <c r="AF45" s="172">
        <f t="shared" si="9"/>
        <v>0.97439024390243867</v>
      </c>
      <c r="AG45" s="489"/>
    </row>
    <row r="46" spans="1:33">
      <c r="A46" s="517" t="s">
        <v>964</v>
      </c>
      <c r="B46" s="42" t="s">
        <v>80</v>
      </c>
      <c r="C46" s="490" t="s">
        <v>91</v>
      </c>
      <c r="D46" s="490"/>
      <c r="E46" s="42">
        <v>24.45</v>
      </c>
      <c r="F46" s="183">
        <v>1969</v>
      </c>
      <c r="G46" s="173">
        <f t="shared" si="27"/>
        <v>48142.049999999996</v>
      </c>
      <c r="H46" s="125" t="s">
        <v>79</v>
      </c>
      <c r="I46" s="181">
        <v>20</v>
      </c>
      <c r="J46" s="37">
        <v>2400</v>
      </c>
      <c r="K46" s="17">
        <f t="shared" si="1"/>
        <v>120</v>
      </c>
      <c r="L46" s="181">
        <v>20</v>
      </c>
      <c r="M46" s="18">
        <f t="shared" si="28"/>
        <v>2316.4705882352951</v>
      </c>
      <c r="N46" s="17">
        <f t="shared" si="3"/>
        <v>115.82352941176475</v>
      </c>
      <c r="O46" s="19">
        <f t="shared" si="4"/>
        <v>0</v>
      </c>
      <c r="P46" s="20">
        <f t="shared" si="5"/>
        <v>-4.1764705882352473</v>
      </c>
      <c r="Q46" s="172">
        <f t="shared" si="6"/>
        <v>0.96519607843137289</v>
      </c>
      <c r="R46" s="489"/>
      <c r="S46" s="40">
        <v>0.3611111111111111</v>
      </c>
      <c r="T46" s="40">
        <v>0.39652777777777776</v>
      </c>
      <c r="U46" s="173">
        <f t="shared" si="30"/>
        <v>5.9999999999999787</v>
      </c>
      <c r="V46" s="182">
        <f t="shared" si="29"/>
        <v>50.999999999999979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-83.529411764704946</v>
      </c>
      <c r="AF46" s="172">
        <f t="shared" si="9"/>
        <v>0.96519607843137289</v>
      </c>
      <c r="AG46" s="489"/>
    </row>
    <row r="47" spans="1:33">
      <c r="A47" s="517" t="s">
        <v>964</v>
      </c>
      <c r="B47" s="42" t="s">
        <v>80</v>
      </c>
      <c r="C47" s="490" t="s">
        <v>92</v>
      </c>
      <c r="D47" s="490"/>
      <c r="E47" s="42">
        <v>28.51</v>
      </c>
      <c r="F47" s="183">
        <v>217</v>
      </c>
      <c r="G47" s="173">
        <f t="shared" si="27"/>
        <v>6186.67</v>
      </c>
      <c r="H47" s="125" t="s">
        <v>79</v>
      </c>
      <c r="I47" s="181">
        <v>16</v>
      </c>
      <c r="J47" s="37">
        <v>2400</v>
      </c>
      <c r="K47" s="17">
        <f t="shared" si="1"/>
        <v>150</v>
      </c>
      <c r="L47" s="181">
        <v>16</v>
      </c>
      <c r="M47" s="18">
        <f t="shared" si="28"/>
        <v>2169.9999999999791</v>
      </c>
      <c r="N47" s="17">
        <f t="shared" si="3"/>
        <v>135.62499999999869</v>
      </c>
      <c r="O47" s="19">
        <f t="shared" si="4"/>
        <v>0</v>
      </c>
      <c r="P47" s="20">
        <f t="shared" si="5"/>
        <v>-14.375000000001307</v>
      </c>
      <c r="Q47" s="172">
        <f t="shared" si="6"/>
        <v>0.9041666666666579</v>
      </c>
      <c r="R47" s="489"/>
      <c r="S47" s="40">
        <v>0.40069444444444441</v>
      </c>
      <c r="T47" s="40">
        <v>0.40486111111111112</v>
      </c>
      <c r="U47" s="173">
        <f t="shared" si="30"/>
        <v>5.9999999999999787</v>
      </c>
      <c r="V47" s="182">
        <f t="shared" si="29"/>
        <v>6.0000000000000586</v>
      </c>
      <c r="W47" s="23"/>
      <c r="X47" s="23"/>
      <c r="Y47" s="26"/>
      <c r="Z47" s="26"/>
      <c r="AA47" s="503"/>
      <c r="AB47" s="504"/>
      <c r="AC47" s="154"/>
      <c r="AD47" s="25"/>
      <c r="AE47" s="19">
        <f t="shared" si="8"/>
        <v>-230.00000000002092</v>
      </c>
      <c r="AF47" s="172">
        <f t="shared" si="9"/>
        <v>0.9041666666666579</v>
      </c>
      <c r="AG47" s="489"/>
    </row>
    <row r="48" spans="1:33">
      <c r="A48" s="517" t="s">
        <v>964</v>
      </c>
      <c r="B48" s="44" t="s">
        <v>958</v>
      </c>
      <c r="C48" s="494"/>
      <c r="D48" s="494"/>
      <c r="E48" s="175"/>
      <c r="F48" s="44"/>
      <c r="G48" s="17"/>
      <c r="H48" s="183"/>
      <c r="I48" s="30">
        <v>17.428571428571427</v>
      </c>
      <c r="J48" s="37">
        <v>2400</v>
      </c>
      <c r="K48" s="17">
        <f t="shared" si="1"/>
        <v>137.70491803278691</v>
      </c>
      <c r="L48" s="30">
        <v>17.428571428571427</v>
      </c>
      <c r="M48" s="18">
        <f>AVERAGE(M41:M47)</f>
        <v>2291.4270918733314</v>
      </c>
      <c r="N48" s="17">
        <f t="shared" si="3"/>
        <v>131.47532494355181</v>
      </c>
      <c r="O48" s="19">
        <f t="shared" si="4"/>
        <v>0</v>
      </c>
      <c r="P48" s="20">
        <f t="shared" si="5"/>
        <v>-6.2295930892350952</v>
      </c>
      <c r="Q48" s="172">
        <f t="shared" si="6"/>
        <v>0.95476128828055462</v>
      </c>
      <c r="R48" s="489"/>
      <c r="S48" s="40"/>
      <c r="T48" s="40"/>
      <c r="U48" s="17"/>
      <c r="V48" s="182"/>
      <c r="W48" s="17"/>
      <c r="X48" s="17"/>
      <c r="Y48" s="31">
        <f>SUM(Y41:Y47)</f>
        <v>0</v>
      </c>
      <c r="Z48" s="31">
        <f>SUM(Z41:Z47)</f>
        <v>0</v>
      </c>
      <c r="AA48" s="495"/>
      <c r="AB48" s="495"/>
      <c r="AC48" s="31">
        <f>SUM(AC41:AC47)</f>
        <v>5</v>
      </c>
      <c r="AD48" s="31">
        <f>SUM(AD41:AD47)</f>
        <v>0</v>
      </c>
      <c r="AE48" s="19">
        <f t="shared" si="8"/>
        <v>-108.57290812666861</v>
      </c>
      <c r="AF48" s="172">
        <f t="shared" si="9"/>
        <v>0.95476128828055473</v>
      </c>
      <c r="AG48" s="489"/>
    </row>
    <row r="49" spans="1:33" ht="15.75" customHeight="1">
      <c r="A49" s="512" t="s">
        <v>65</v>
      </c>
      <c r="B49" s="42" t="s">
        <v>93</v>
      </c>
      <c r="C49" s="501" t="s">
        <v>94</v>
      </c>
      <c r="D49" s="502"/>
      <c r="E49" s="42">
        <v>21.13</v>
      </c>
      <c r="F49" s="183">
        <v>4857</v>
      </c>
      <c r="G49" s="173">
        <f t="shared" ref="G49:G57" si="31">E49*F49</f>
        <v>102628.40999999999</v>
      </c>
      <c r="H49" s="125" t="s">
        <v>79</v>
      </c>
      <c r="I49" s="181">
        <v>10</v>
      </c>
      <c r="J49" s="37">
        <v>3000</v>
      </c>
      <c r="K49" s="17">
        <f t="shared" si="1"/>
        <v>300</v>
      </c>
      <c r="L49" s="181">
        <v>10</v>
      </c>
      <c r="M49" s="18">
        <f t="shared" ref="M49:M57" si="32">F49/V49*60</f>
        <v>2857.0588235294113</v>
      </c>
      <c r="N49" s="18">
        <f t="shared" si="3"/>
        <v>285.7058823529411</v>
      </c>
      <c r="O49" s="19">
        <f t="shared" si="4"/>
        <v>0</v>
      </c>
      <c r="P49" s="20">
        <f t="shared" si="5"/>
        <v>-14.294117647058897</v>
      </c>
      <c r="Q49" s="172">
        <f t="shared" si="6"/>
        <v>0.95235294117647029</v>
      </c>
      <c r="R49" s="509">
        <f>Q58</f>
        <v>0.95596287061904994</v>
      </c>
      <c r="S49" s="40">
        <v>8.3333333333333329E-2</v>
      </c>
      <c r="T49" s="40">
        <v>0.15416666666666667</v>
      </c>
      <c r="U49" s="28"/>
      <c r="V49" s="182">
        <f t="shared" ref="V49:V57" si="33">(T49-S49)*24*60</f>
        <v>102.00000000000001</v>
      </c>
      <c r="W49" s="23">
        <f>T49</f>
        <v>0.15416666666666667</v>
      </c>
      <c r="X49" s="23">
        <f>S50</f>
        <v>0.17500000000000002</v>
      </c>
      <c r="Y49" s="26"/>
      <c r="Z49" s="26"/>
      <c r="AA49" s="503"/>
      <c r="AB49" s="504"/>
      <c r="AC49" s="154" t="s">
        <v>79</v>
      </c>
      <c r="AD49" s="25"/>
      <c r="AE49" s="19">
        <f t="shared" si="8"/>
        <v>-142.94117647058874</v>
      </c>
      <c r="AF49" s="172">
        <f t="shared" si="9"/>
        <v>0.9523529411764704</v>
      </c>
      <c r="AG49" s="509">
        <f>AF58</f>
        <v>0.95596287061904994</v>
      </c>
    </row>
    <row r="50" spans="1:33" ht="15.75" customHeight="1">
      <c r="A50" s="513" t="s">
        <v>965</v>
      </c>
      <c r="B50" s="42" t="s">
        <v>93</v>
      </c>
      <c r="C50" s="501" t="s">
        <v>95</v>
      </c>
      <c r="D50" s="502"/>
      <c r="E50" s="42">
        <v>27.17</v>
      </c>
      <c r="F50" s="183">
        <v>6017</v>
      </c>
      <c r="G50" s="173">
        <f t="shared" si="31"/>
        <v>163481.89000000001</v>
      </c>
      <c r="H50" s="125" t="s">
        <v>79</v>
      </c>
      <c r="I50" s="181">
        <v>10</v>
      </c>
      <c r="J50" s="37">
        <v>3000</v>
      </c>
      <c r="K50" s="17">
        <f t="shared" si="1"/>
        <v>300</v>
      </c>
      <c r="L50" s="181">
        <v>10</v>
      </c>
      <c r="M50" s="18">
        <f t="shared" si="32"/>
        <v>2865.2380952380959</v>
      </c>
      <c r="N50" s="18">
        <f t="shared" si="3"/>
        <v>286.52380952380958</v>
      </c>
      <c r="O50" s="19">
        <f t="shared" si="4"/>
        <v>0</v>
      </c>
      <c r="P50" s="20">
        <f t="shared" si="5"/>
        <v>-13.476190476190425</v>
      </c>
      <c r="Q50" s="172">
        <f t="shared" si="6"/>
        <v>0.95507936507936531</v>
      </c>
      <c r="R50" s="510"/>
      <c r="S50" s="40">
        <v>0.17500000000000002</v>
      </c>
      <c r="T50" s="40">
        <v>0.26250000000000001</v>
      </c>
      <c r="U50" s="173">
        <f t="shared" ref="U50:U57" si="34">(S50-T49)*24*60</f>
        <v>30.000000000000014</v>
      </c>
      <c r="V50" s="182">
        <f t="shared" si="33"/>
        <v>125.99999999999997</v>
      </c>
      <c r="W50" s="23"/>
      <c r="X50" s="23"/>
      <c r="Y50" s="26"/>
      <c r="Z50" s="26"/>
      <c r="AA50" s="503"/>
      <c r="AB50" s="504"/>
      <c r="AC50" s="154">
        <v>1</v>
      </c>
      <c r="AD50" s="25"/>
      <c r="AE50" s="19">
        <f t="shared" si="8"/>
        <v>-134.76190476190413</v>
      </c>
      <c r="AF50" s="172">
        <f t="shared" si="9"/>
        <v>0.95507936507936531</v>
      </c>
      <c r="AG50" s="510"/>
    </row>
    <row r="51" spans="1:33" ht="15.75" customHeight="1">
      <c r="A51" s="513" t="s">
        <v>65</v>
      </c>
      <c r="B51" s="42" t="s">
        <v>93</v>
      </c>
      <c r="C51" s="501" t="s">
        <v>96</v>
      </c>
      <c r="D51" s="502"/>
      <c r="E51" s="42">
        <v>35.119999999999997</v>
      </c>
      <c r="F51" s="183">
        <v>4427</v>
      </c>
      <c r="G51" s="173">
        <f t="shared" si="31"/>
        <v>155476.24</v>
      </c>
      <c r="H51" s="125" t="s">
        <v>79</v>
      </c>
      <c r="I51" s="181">
        <v>10</v>
      </c>
      <c r="J51" s="37">
        <v>3000</v>
      </c>
      <c r="K51" s="17">
        <f t="shared" si="1"/>
        <v>300</v>
      </c>
      <c r="L51" s="181">
        <v>10</v>
      </c>
      <c r="M51" s="18">
        <f t="shared" si="32"/>
        <v>2856.1290322580649</v>
      </c>
      <c r="N51" s="18">
        <f t="shared" si="3"/>
        <v>285.61290322580646</v>
      </c>
      <c r="O51" s="19">
        <f t="shared" si="4"/>
        <v>0</v>
      </c>
      <c r="P51" s="20">
        <f t="shared" si="5"/>
        <v>-14.387096774193537</v>
      </c>
      <c r="Q51" s="172">
        <f t="shared" si="6"/>
        <v>0.95204301075268816</v>
      </c>
      <c r="R51" s="510"/>
      <c r="S51" s="40">
        <v>0.2673611111111111</v>
      </c>
      <c r="T51" s="40">
        <v>0.33194444444444443</v>
      </c>
      <c r="U51" s="173">
        <f t="shared" si="34"/>
        <v>6.9999999999999751</v>
      </c>
      <c r="V51" s="182">
        <f t="shared" si="33"/>
        <v>92.999999999999986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-143.87096774193515</v>
      </c>
      <c r="AF51" s="172">
        <f t="shared" si="9"/>
        <v>0.95204301075268827</v>
      </c>
      <c r="AG51" s="510"/>
    </row>
    <row r="52" spans="1:33" ht="15.75" customHeight="1">
      <c r="A52" s="513" t="s">
        <v>965</v>
      </c>
      <c r="B52" s="42" t="s">
        <v>93</v>
      </c>
      <c r="C52" s="501" t="s">
        <v>97</v>
      </c>
      <c r="D52" s="502"/>
      <c r="E52" s="42">
        <v>31</v>
      </c>
      <c r="F52" s="183">
        <v>1187</v>
      </c>
      <c r="G52" s="173">
        <f t="shared" si="31"/>
        <v>36797</v>
      </c>
      <c r="H52" s="125" t="s">
        <v>79</v>
      </c>
      <c r="I52" s="181">
        <v>13</v>
      </c>
      <c r="J52" s="37">
        <v>2000</v>
      </c>
      <c r="K52" s="17">
        <f t="shared" si="1"/>
        <v>153.84615384615384</v>
      </c>
      <c r="L52" s="181">
        <v>13</v>
      </c>
      <c r="M52" s="18">
        <f t="shared" si="32"/>
        <v>1924.8648648648636</v>
      </c>
      <c r="N52" s="18">
        <f t="shared" si="3"/>
        <v>148.06652806652798</v>
      </c>
      <c r="O52" s="19">
        <f t="shared" si="4"/>
        <v>0</v>
      </c>
      <c r="P52" s="20">
        <f t="shared" si="5"/>
        <v>-5.7796257796258601</v>
      </c>
      <c r="Q52" s="172">
        <f t="shared" si="6"/>
        <v>0.96243243243243193</v>
      </c>
      <c r="R52" s="510"/>
      <c r="S52" s="40">
        <v>0.33680555555555552</v>
      </c>
      <c r="T52" s="40">
        <v>0.36249999999999999</v>
      </c>
      <c r="U52" s="173">
        <f t="shared" si="34"/>
        <v>6.9999999999999751</v>
      </c>
      <c r="V52" s="182">
        <f t="shared" si="33"/>
        <v>37.000000000000028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-75.135135135136352</v>
      </c>
      <c r="AF52" s="172">
        <f t="shared" si="9"/>
        <v>0.96243243243243182</v>
      </c>
      <c r="AG52" s="510"/>
    </row>
    <row r="53" spans="1:33" ht="15.75" customHeight="1">
      <c r="A53" s="513" t="s">
        <v>965</v>
      </c>
      <c r="B53" s="42" t="s">
        <v>93</v>
      </c>
      <c r="C53" s="501" t="s">
        <v>98</v>
      </c>
      <c r="D53" s="502"/>
      <c r="E53" s="42">
        <v>37.880000000000003</v>
      </c>
      <c r="F53" s="183">
        <v>1464</v>
      </c>
      <c r="G53" s="173">
        <f t="shared" si="31"/>
        <v>55456.320000000007</v>
      </c>
      <c r="H53" s="125" t="s">
        <v>79</v>
      </c>
      <c r="I53" s="181">
        <v>14</v>
      </c>
      <c r="J53" s="37">
        <v>2000</v>
      </c>
      <c r="K53" s="17">
        <f t="shared" si="1"/>
        <v>142.85714285714286</v>
      </c>
      <c r="L53" s="181">
        <v>14</v>
      </c>
      <c r="M53" s="18">
        <f t="shared" si="32"/>
        <v>1909.5652173913043</v>
      </c>
      <c r="N53" s="18">
        <f t="shared" si="3"/>
        <v>136.3975155279503</v>
      </c>
      <c r="O53" s="19">
        <f t="shared" si="4"/>
        <v>0</v>
      </c>
      <c r="P53" s="20">
        <f t="shared" si="5"/>
        <v>-6.459627329192557</v>
      </c>
      <c r="Q53" s="172">
        <f t="shared" si="6"/>
        <v>0.95478260869565212</v>
      </c>
      <c r="R53" s="510"/>
      <c r="S53" s="40">
        <v>0.36805555555555552</v>
      </c>
      <c r="T53" s="40">
        <v>0.39999999999999997</v>
      </c>
      <c r="U53" s="173">
        <f t="shared" si="34"/>
        <v>7.9999999999999716</v>
      </c>
      <c r="V53" s="182">
        <f t="shared" si="33"/>
        <v>46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-90.434782608695741</v>
      </c>
      <c r="AF53" s="172">
        <f t="shared" si="9"/>
        <v>0.95478260869565212</v>
      </c>
      <c r="AG53" s="510"/>
    </row>
    <row r="54" spans="1:33" ht="15.75" customHeight="1">
      <c r="A54" s="513" t="s">
        <v>65</v>
      </c>
      <c r="B54" s="42" t="s">
        <v>93</v>
      </c>
      <c r="C54" s="501" t="s">
        <v>99</v>
      </c>
      <c r="D54" s="502"/>
      <c r="E54" s="42">
        <v>32.020000000000003</v>
      </c>
      <c r="F54" s="183">
        <v>2691</v>
      </c>
      <c r="G54" s="173">
        <f t="shared" si="31"/>
        <v>86165.82</v>
      </c>
      <c r="H54" s="125" t="s">
        <v>79</v>
      </c>
      <c r="I54" s="181">
        <v>11</v>
      </c>
      <c r="J54" s="37">
        <v>3000</v>
      </c>
      <c r="K54" s="17">
        <f t="shared" si="1"/>
        <v>272.72727272727275</v>
      </c>
      <c r="L54" s="181">
        <v>11</v>
      </c>
      <c r="M54" s="18">
        <f t="shared" si="32"/>
        <v>2883.2142857142835</v>
      </c>
      <c r="N54" s="18">
        <f t="shared" si="3"/>
        <v>262.1103896103894</v>
      </c>
      <c r="O54" s="19">
        <f t="shared" si="4"/>
        <v>0</v>
      </c>
      <c r="P54" s="20">
        <f t="shared" si="5"/>
        <v>-10.616883116883344</v>
      </c>
      <c r="Q54" s="172">
        <f t="shared" si="6"/>
        <v>0.96107142857142769</v>
      </c>
      <c r="R54" s="510"/>
      <c r="S54" s="40">
        <v>0.40416666666666662</v>
      </c>
      <c r="T54" s="40">
        <v>0.44305555555555554</v>
      </c>
      <c r="U54" s="173">
        <f t="shared" si="34"/>
        <v>5.9999999999999787</v>
      </c>
      <c r="V54" s="182">
        <f t="shared" si="33"/>
        <v>56.000000000000043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-116.78571428571649</v>
      </c>
      <c r="AF54" s="172">
        <f t="shared" si="9"/>
        <v>0.9610714285714278</v>
      </c>
      <c r="AG54" s="510"/>
    </row>
    <row r="55" spans="1:33" ht="15.75" customHeight="1">
      <c r="A55" s="513" t="s">
        <v>65</v>
      </c>
      <c r="B55" s="42" t="s">
        <v>93</v>
      </c>
      <c r="C55" s="501" t="s">
        <v>114</v>
      </c>
      <c r="D55" s="502"/>
      <c r="E55" s="42">
        <v>36.14</v>
      </c>
      <c r="F55" s="183">
        <v>1157</v>
      </c>
      <c r="G55" s="173">
        <f t="shared" si="31"/>
        <v>41813.980000000003</v>
      </c>
      <c r="H55" s="125" t="s">
        <v>79</v>
      </c>
      <c r="I55" s="181">
        <v>9</v>
      </c>
      <c r="J55" s="37">
        <v>3000</v>
      </c>
      <c r="K55" s="17">
        <f t="shared" si="1"/>
        <v>333.33333333333331</v>
      </c>
      <c r="L55" s="181">
        <v>9</v>
      </c>
      <c r="M55" s="18">
        <f t="shared" si="32"/>
        <v>2892.5000000000009</v>
      </c>
      <c r="N55" s="18">
        <f t="shared" si="3"/>
        <v>321.38888888888897</v>
      </c>
      <c r="O55" s="19">
        <f t="shared" si="4"/>
        <v>0</v>
      </c>
      <c r="P55" s="20">
        <f t="shared" si="5"/>
        <v>-11.944444444444343</v>
      </c>
      <c r="Q55" s="172">
        <f t="shared" si="6"/>
        <v>0.96416666666666695</v>
      </c>
      <c r="R55" s="510"/>
      <c r="S55" s="40">
        <v>0.44791666666666663</v>
      </c>
      <c r="T55" s="40">
        <v>0.46458333333333329</v>
      </c>
      <c r="U55" s="173">
        <f t="shared" si="34"/>
        <v>6.9999999999999751</v>
      </c>
      <c r="V55" s="182">
        <f t="shared" si="33"/>
        <v>23.999999999999993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-107.49999999999909</v>
      </c>
      <c r="AF55" s="172">
        <f t="shared" si="9"/>
        <v>0.96416666666666695</v>
      </c>
      <c r="AG55" s="510"/>
    </row>
    <row r="56" spans="1:33" ht="15.75" customHeight="1">
      <c r="A56" s="513" t="s">
        <v>965</v>
      </c>
      <c r="B56" s="42" t="s">
        <v>93</v>
      </c>
      <c r="C56" s="501" t="s">
        <v>112</v>
      </c>
      <c r="D56" s="502"/>
      <c r="E56" s="42">
        <v>35.869999999999997</v>
      </c>
      <c r="F56" s="183">
        <v>2901</v>
      </c>
      <c r="G56" s="173">
        <f t="shared" si="31"/>
        <v>104058.87</v>
      </c>
      <c r="H56" s="125" t="s">
        <v>79</v>
      </c>
      <c r="I56" s="181">
        <v>9</v>
      </c>
      <c r="J56" s="37">
        <v>3000</v>
      </c>
      <c r="K56" s="17">
        <f t="shared" si="1"/>
        <v>333.33333333333331</v>
      </c>
      <c r="L56" s="181">
        <v>9</v>
      </c>
      <c r="M56" s="18">
        <f t="shared" si="32"/>
        <v>2853.4426229508185</v>
      </c>
      <c r="N56" s="18">
        <f t="shared" si="3"/>
        <v>317.04918032786873</v>
      </c>
      <c r="O56" s="19">
        <f t="shared" si="4"/>
        <v>0</v>
      </c>
      <c r="P56" s="20">
        <f t="shared" si="5"/>
        <v>-16.284153005464589</v>
      </c>
      <c r="Q56" s="172">
        <f t="shared" si="6"/>
        <v>0.95114754098360621</v>
      </c>
      <c r="R56" s="510"/>
      <c r="S56" s="40">
        <v>0.4680555555555555</v>
      </c>
      <c r="T56" s="40">
        <v>0.51041666666666663</v>
      </c>
      <c r="U56" s="173">
        <f t="shared" si="34"/>
        <v>4.9999999999999822</v>
      </c>
      <c r="V56" s="182">
        <f t="shared" si="33"/>
        <v>61.000000000000021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-146.55737704918147</v>
      </c>
      <c r="AF56" s="172">
        <f t="shared" si="9"/>
        <v>0.95114754098360621</v>
      </c>
      <c r="AG56" s="510"/>
    </row>
    <row r="57" spans="1:33" ht="15.75" customHeight="1">
      <c r="A57" s="513" t="s">
        <v>965</v>
      </c>
      <c r="B57" s="42" t="s">
        <v>93</v>
      </c>
      <c r="C57" s="501" t="s">
        <v>113</v>
      </c>
      <c r="D57" s="502"/>
      <c r="E57" s="42">
        <v>34.36</v>
      </c>
      <c r="F57" s="183">
        <v>1619</v>
      </c>
      <c r="G57" s="173">
        <f t="shared" si="31"/>
        <v>55628.84</v>
      </c>
      <c r="H57" s="125" t="s">
        <v>79</v>
      </c>
      <c r="I57" s="181">
        <v>10</v>
      </c>
      <c r="J57" s="37">
        <v>3000</v>
      </c>
      <c r="K57" s="17">
        <f t="shared" si="1"/>
        <v>300</v>
      </c>
      <c r="L57" s="181">
        <v>10</v>
      </c>
      <c r="M57" s="18">
        <f t="shared" si="32"/>
        <v>2857.0588235294085</v>
      </c>
      <c r="N57" s="18">
        <f t="shared" si="3"/>
        <v>285.70588235294088</v>
      </c>
      <c r="O57" s="19">
        <f t="shared" si="4"/>
        <v>0</v>
      </c>
      <c r="P57" s="20">
        <f t="shared" si="5"/>
        <v>-14.294117647059124</v>
      </c>
      <c r="Q57" s="172">
        <f t="shared" si="6"/>
        <v>0.95235294117646963</v>
      </c>
      <c r="R57" s="510"/>
      <c r="S57" s="40">
        <v>0.51458333333333328</v>
      </c>
      <c r="T57" s="40">
        <v>0.53819444444444442</v>
      </c>
      <c r="U57" s="173">
        <f t="shared" si="34"/>
        <v>5.9999999999999787</v>
      </c>
      <c r="V57" s="182">
        <f t="shared" si="33"/>
        <v>34.000000000000043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-142.94117647059147</v>
      </c>
      <c r="AF57" s="172">
        <f t="shared" si="9"/>
        <v>0.95235294117646951</v>
      </c>
      <c r="AG57" s="510"/>
    </row>
    <row r="58" spans="1:33" ht="15.75" customHeight="1">
      <c r="A58" s="514" t="s">
        <v>965</v>
      </c>
      <c r="B58" s="42" t="s">
        <v>958</v>
      </c>
      <c r="C58" s="492"/>
      <c r="D58" s="493"/>
      <c r="E58" s="174"/>
      <c r="F58" s="183"/>
      <c r="G58" s="173"/>
      <c r="H58" s="183"/>
      <c r="I58" s="30">
        <v>10.666666666666666</v>
      </c>
      <c r="J58" s="37">
        <v>2777.7777777777778</v>
      </c>
      <c r="K58" s="17">
        <f t="shared" si="1"/>
        <v>260.41666666666669</v>
      </c>
      <c r="L58" s="30">
        <v>10.666666666666666</v>
      </c>
      <c r="M58" s="18">
        <f>AVERAGE(M49:M57)</f>
        <v>2655.45241838625</v>
      </c>
      <c r="N58" s="17">
        <f t="shared" si="3"/>
        <v>248.94866422371095</v>
      </c>
      <c r="O58" s="19">
        <f t="shared" si="4"/>
        <v>0</v>
      </c>
      <c r="P58" s="20">
        <f t="shared" si="5"/>
        <v>-11.468002442955736</v>
      </c>
      <c r="Q58" s="172">
        <f t="shared" si="6"/>
        <v>0.95596287061904994</v>
      </c>
      <c r="R58" s="511"/>
      <c r="S58" s="40"/>
      <c r="T58" s="40"/>
      <c r="U58" s="173"/>
      <c r="V58" s="182"/>
      <c r="W58" s="23"/>
      <c r="X58" s="23"/>
      <c r="Y58" s="31">
        <f>SUM(Y49:Y57)</f>
        <v>0</v>
      </c>
      <c r="Z58" s="31">
        <f>SUM(Z49:Z57)</f>
        <v>0</v>
      </c>
      <c r="AA58" s="505"/>
      <c r="AB58" s="506"/>
      <c r="AC58" s="31">
        <f>SUM(AC49:AC57)</f>
        <v>1</v>
      </c>
      <c r="AD58" s="31">
        <f>SUM(AD49:AD57)</f>
        <v>0</v>
      </c>
      <c r="AE58" s="19">
        <f t="shared" si="8"/>
        <v>-122.32535939152785</v>
      </c>
      <c r="AF58" s="172">
        <f t="shared" si="9"/>
        <v>0.95596287061904994</v>
      </c>
      <c r="AG58" s="511"/>
    </row>
    <row r="59" spans="1:33" ht="15.75" customHeight="1">
      <c r="A59" s="507" t="s">
        <v>67</v>
      </c>
      <c r="B59" s="42" t="s">
        <v>100</v>
      </c>
      <c r="C59" s="490" t="s">
        <v>101</v>
      </c>
      <c r="D59" s="490"/>
      <c r="E59" s="42">
        <v>46</v>
      </c>
      <c r="F59" s="46">
        <v>1249</v>
      </c>
      <c r="G59" s="173">
        <f t="shared" ref="G59:G65" si="35">E59*F59</f>
        <v>57454</v>
      </c>
      <c r="H59" s="125" t="s">
        <v>79</v>
      </c>
      <c r="I59" s="181">
        <v>17</v>
      </c>
      <c r="J59" s="37">
        <v>2000</v>
      </c>
      <c r="K59" s="17">
        <f t="shared" si="1"/>
        <v>117.64705882352941</v>
      </c>
      <c r="L59" s="181">
        <v>17</v>
      </c>
      <c r="M59" s="18">
        <f t="shared" ref="M59:M65" si="36">F59/V59*60</f>
        <v>1921.5384615384626</v>
      </c>
      <c r="N59" s="18">
        <f t="shared" si="3"/>
        <v>113.03167420814486</v>
      </c>
      <c r="O59" s="19">
        <f t="shared" si="4"/>
        <v>0</v>
      </c>
      <c r="P59" s="20">
        <f t="shared" si="5"/>
        <v>-4.6153846153845421</v>
      </c>
      <c r="Q59" s="172">
        <f t="shared" si="6"/>
        <v>0.96076923076923137</v>
      </c>
      <c r="R59" s="489">
        <f>Q66</f>
        <v>0.92648711785926141</v>
      </c>
      <c r="S59" s="40">
        <v>0.20833333333333334</v>
      </c>
      <c r="T59" s="40">
        <v>0.23541666666666666</v>
      </c>
      <c r="U59" s="28"/>
      <c r="V59" s="182">
        <f t="shared" ref="V59:V65" si="37">(T59-S59)*24*60</f>
        <v>38.999999999999979</v>
      </c>
      <c r="W59" s="28"/>
      <c r="X59" s="28"/>
      <c r="Y59" s="28"/>
      <c r="Z59" s="28"/>
      <c r="AA59" s="491"/>
      <c r="AB59" s="491"/>
      <c r="AC59" s="154">
        <v>3</v>
      </c>
      <c r="AD59" s="25"/>
      <c r="AE59" s="19">
        <f t="shared" si="8"/>
        <v>-78.46153846153743</v>
      </c>
      <c r="AF59" s="172">
        <f t="shared" si="9"/>
        <v>0.96076923076923126</v>
      </c>
      <c r="AG59" s="489">
        <f>AF66</f>
        <v>0.92648711785926141</v>
      </c>
    </row>
    <row r="60" spans="1:33" ht="15.75" customHeight="1">
      <c r="A60" s="507" t="s">
        <v>966</v>
      </c>
      <c r="B60" s="42" t="s">
        <v>100</v>
      </c>
      <c r="C60" s="490" t="s">
        <v>102</v>
      </c>
      <c r="D60" s="490"/>
      <c r="E60" s="42">
        <v>46</v>
      </c>
      <c r="F60" s="46">
        <v>1372</v>
      </c>
      <c r="G60" s="173">
        <f t="shared" si="35"/>
        <v>63112</v>
      </c>
      <c r="H60" s="125" t="s">
        <v>79</v>
      </c>
      <c r="I60" s="181">
        <v>17</v>
      </c>
      <c r="J60" s="37">
        <v>2000</v>
      </c>
      <c r="K60" s="17">
        <f t="shared" si="1"/>
        <v>117.64705882352941</v>
      </c>
      <c r="L60" s="181">
        <v>17</v>
      </c>
      <c r="M60" s="18">
        <f t="shared" si="36"/>
        <v>1914.4186046511643</v>
      </c>
      <c r="N60" s="18">
        <f t="shared" si="3"/>
        <v>112.61285909712731</v>
      </c>
      <c r="O60" s="19">
        <f t="shared" si="4"/>
        <v>0</v>
      </c>
      <c r="P60" s="20">
        <f t="shared" si="5"/>
        <v>-5.0341997264020932</v>
      </c>
      <c r="Q60" s="172">
        <f t="shared" si="6"/>
        <v>0.95720930232558221</v>
      </c>
      <c r="R60" s="489"/>
      <c r="S60" s="40">
        <v>0.23958333333333334</v>
      </c>
      <c r="T60" s="40">
        <v>0.26944444444444443</v>
      </c>
      <c r="U60" s="173">
        <f t="shared" ref="U60:U65" si="38">IF(S60=TIME(17,0,0),"",(S60-T59)*24*60)</f>
        <v>6.0000000000000187</v>
      </c>
      <c r="V60" s="182">
        <f t="shared" si="37"/>
        <v>42.999999999999964</v>
      </c>
      <c r="W60" s="23"/>
      <c r="X60" s="23"/>
      <c r="Y60" s="23"/>
      <c r="Z60" s="23"/>
      <c r="AA60" s="491"/>
      <c r="AB60" s="491"/>
      <c r="AC60" s="154"/>
      <c r="AD60" s="25"/>
      <c r="AE60" s="19">
        <f t="shared" si="8"/>
        <v>-85.581395348835713</v>
      </c>
      <c r="AF60" s="172">
        <f t="shared" si="9"/>
        <v>0.9572093023255821</v>
      </c>
      <c r="AG60" s="489"/>
    </row>
    <row r="61" spans="1:33" ht="15.75" customHeight="1">
      <c r="A61" s="507" t="s">
        <v>966</v>
      </c>
      <c r="B61" s="42" t="s">
        <v>103</v>
      </c>
      <c r="C61" s="501" t="s">
        <v>105</v>
      </c>
      <c r="D61" s="502"/>
      <c r="E61" s="42">
        <v>56.43</v>
      </c>
      <c r="F61" s="46">
        <v>2087</v>
      </c>
      <c r="G61" s="173">
        <f t="shared" si="35"/>
        <v>117769.41</v>
      </c>
      <c r="H61" s="125" t="s">
        <v>79</v>
      </c>
      <c r="I61" s="181">
        <v>22</v>
      </c>
      <c r="J61" s="37">
        <v>2000</v>
      </c>
      <c r="K61" s="17">
        <f t="shared" si="1"/>
        <v>90.909090909090907</v>
      </c>
      <c r="L61" s="181">
        <v>22</v>
      </c>
      <c r="M61" s="18">
        <f t="shared" si="36"/>
        <v>1669.6000000000008</v>
      </c>
      <c r="N61" s="18">
        <f t="shared" si="3"/>
        <v>75.890909090909133</v>
      </c>
      <c r="O61" s="19">
        <f t="shared" si="4"/>
        <v>0</v>
      </c>
      <c r="P61" s="20">
        <f t="shared" si="5"/>
        <v>-15.018181818181773</v>
      </c>
      <c r="Q61" s="172">
        <f t="shared" si="6"/>
        <v>0.83480000000000054</v>
      </c>
      <c r="R61" s="489"/>
      <c r="S61" s="40">
        <v>0.27291666666666664</v>
      </c>
      <c r="T61" s="40">
        <v>0.32499999999999996</v>
      </c>
      <c r="U61" s="173">
        <f t="shared" si="38"/>
        <v>4.9999999999999822</v>
      </c>
      <c r="V61" s="182">
        <f t="shared" si="37"/>
        <v>74.999999999999972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-330.39999999999918</v>
      </c>
      <c r="AF61" s="172">
        <f t="shared" si="9"/>
        <v>0.83480000000000043</v>
      </c>
      <c r="AG61" s="489"/>
    </row>
    <row r="62" spans="1:33" ht="15.75" customHeight="1">
      <c r="A62" s="507" t="s">
        <v>67</v>
      </c>
      <c r="B62" s="42" t="s">
        <v>103</v>
      </c>
      <c r="C62" s="177" t="s">
        <v>518</v>
      </c>
      <c r="D62" s="178"/>
      <c r="E62" s="42">
        <v>51.75</v>
      </c>
      <c r="F62" s="46">
        <v>1961</v>
      </c>
      <c r="G62" s="173">
        <f t="shared" si="35"/>
        <v>101481.75</v>
      </c>
      <c r="H62" s="125" t="s">
        <v>79</v>
      </c>
      <c r="I62" s="181">
        <v>25</v>
      </c>
      <c r="J62" s="37">
        <v>2000</v>
      </c>
      <c r="K62" s="17">
        <f t="shared" si="1"/>
        <v>80</v>
      </c>
      <c r="L62" s="181">
        <v>25</v>
      </c>
      <c r="M62" s="18">
        <f t="shared" si="36"/>
        <v>1680.8571428571431</v>
      </c>
      <c r="N62" s="18">
        <f t="shared" si="3"/>
        <v>67.234285714285718</v>
      </c>
      <c r="O62" s="19">
        <f t="shared" si="4"/>
        <v>0</v>
      </c>
      <c r="P62" s="20">
        <f t="shared" si="5"/>
        <v>-12.765714285714282</v>
      </c>
      <c r="Q62" s="172">
        <f t="shared" si="6"/>
        <v>0.84042857142857152</v>
      </c>
      <c r="R62" s="489"/>
      <c r="S62" s="40">
        <v>0.32916666666666661</v>
      </c>
      <c r="T62" s="40">
        <v>0.37777777777777771</v>
      </c>
      <c r="U62" s="173">
        <f t="shared" si="38"/>
        <v>5.9999999999999787</v>
      </c>
      <c r="V62" s="182">
        <f t="shared" si="37"/>
        <v>69.999999999999986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-319.14285714285688</v>
      </c>
      <c r="AF62" s="172">
        <f t="shared" si="9"/>
        <v>0.84042857142857152</v>
      </c>
      <c r="AG62" s="489"/>
    </row>
    <row r="63" spans="1:33" ht="15.75" customHeight="1">
      <c r="A63" s="507" t="s">
        <v>67</v>
      </c>
      <c r="B63" s="42" t="s">
        <v>103</v>
      </c>
      <c r="C63" s="177" t="s">
        <v>106</v>
      </c>
      <c r="D63" s="178"/>
      <c r="E63" s="42">
        <v>55.56</v>
      </c>
      <c r="F63" s="46">
        <v>1856</v>
      </c>
      <c r="G63" s="173">
        <f t="shared" si="35"/>
        <v>103119.36</v>
      </c>
      <c r="H63" s="125" t="s">
        <v>79</v>
      </c>
      <c r="I63" s="181">
        <v>17</v>
      </c>
      <c r="J63" s="37">
        <v>2000</v>
      </c>
      <c r="K63" s="17">
        <f t="shared" si="1"/>
        <v>117.64705882352941</v>
      </c>
      <c r="L63" s="181">
        <v>17</v>
      </c>
      <c r="M63" s="18">
        <f t="shared" si="36"/>
        <v>1920.0000000000014</v>
      </c>
      <c r="N63" s="18">
        <f t="shared" si="3"/>
        <v>112.94117647058832</v>
      </c>
      <c r="O63" s="19">
        <f t="shared" si="4"/>
        <v>0</v>
      </c>
      <c r="P63" s="20">
        <f t="shared" si="5"/>
        <v>-4.7058823529410887</v>
      </c>
      <c r="Q63" s="172">
        <f t="shared" si="6"/>
        <v>0.96000000000000074</v>
      </c>
      <c r="R63" s="489"/>
      <c r="S63" s="40">
        <v>0.70833333333333337</v>
      </c>
      <c r="T63" s="40">
        <v>0.74861111111111112</v>
      </c>
      <c r="U63" s="173" t="str">
        <f t="shared" si="38"/>
        <v/>
      </c>
      <c r="V63" s="182">
        <f t="shared" si="37"/>
        <v>57.999999999999957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-79.999999999998636</v>
      </c>
      <c r="AF63" s="172">
        <f t="shared" si="9"/>
        <v>0.96000000000000063</v>
      </c>
      <c r="AG63" s="489"/>
    </row>
    <row r="64" spans="1:33" ht="15.75" customHeight="1">
      <c r="A64" s="507" t="s">
        <v>966</v>
      </c>
      <c r="B64" s="42" t="s">
        <v>103</v>
      </c>
      <c r="C64" s="501" t="s">
        <v>107</v>
      </c>
      <c r="D64" s="502"/>
      <c r="E64" s="42">
        <v>55.32</v>
      </c>
      <c r="F64" s="46">
        <v>1387</v>
      </c>
      <c r="G64" s="173">
        <f t="shared" si="35"/>
        <v>76728.84</v>
      </c>
      <c r="H64" s="125" t="s">
        <v>79</v>
      </c>
      <c r="I64" s="181">
        <v>15</v>
      </c>
      <c r="J64" s="37">
        <v>2000</v>
      </c>
      <c r="K64" s="17">
        <f t="shared" si="1"/>
        <v>133.33333333333334</v>
      </c>
      <c r="L64" s="181">
        <v>15</v>
      </c>
      <c r="M64" s="18">
        <f t="shared" si="36"/>
        <v>1935.3488372093018</v>
      </c>
      <c r="N64" s="18">
        <f t="shared" si="3"/>
        <v>129.02325581395345</v>
      </c>
      <c r="O64" s="19">
        <f t="shared" si="4"/>
        <v>0</v>
      </c>
      <c r="P64" s="20">
        <f t="shared" si="5"/>
        <v>-4.3100775193798881</v>
      </c>
      <c r="Q64" s="172">
        <f t="shared" si="6"/>
        <v>0.96767441860465087</v>
      </c>
      <c r="R64" s="489"/>
      <c r="S64" s="40">
        <v>0.75208333333333333</v>
      </c>
      <c r="T64" s="40">
        <v>0.78194444444444444</v>
      </c>
      <c r="U64" s="173">
        <f t="shared" si="38"/>
        <v>4.9999999999999822</v>
      </c>
      <c r="V64" s="182">
        <f t="shared" si="37"/>
        <v>43.000000000000007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-64.651162790698208</v>
      </c>
      <c r="AF64" s="172">
        <f t="shared" si="9"/>
        <v>0.96767441860465087</v>
      </c>
      <c r="AG64" s="489"/>
    </row>
    <row r="65" spans="1:33" ht="15.75" customHeight="1">
      <c r="A65" s="507" t="s">
        <v>966</v>
      </c>
      <c r="B65" s="42" t="s">
        <v>103</v>
      </c>
      <c r="C65" s="501" t="s">
        <v>516</v>
      </c>
      <c r="D65" s="502"/>
      <c r="E65" s="42">
        <v>50.67</v>
      </c>
      <c r="F65" s="46">
        <v>1704</v>
      </c>
      <c r="G65" s="173">
        <f t="shared" si="35"/>
        <v>86341.680000000008</v>
      </c>
      <c r="H65" s="125" t="s">
        <v>79</v>
      </c>
      <c r="I65" s="181">
        <v>16</v>
      </c>
      <c r="J65" s="37">
        <v>2000</v>
      </c>
      <c r="K65" s="17">
        <f t="shared" si="1"/>
        <v>125</v>
      </c>
      <c r="L65" s="181">
        <v>16</v>
      </c>
      <c r="M65" s="18">
        <f t="shared" si="36"/>
        <v>1929.0566037735859</v>
      </c>
      <c r="N65" s="18">
        <f t="shared" si="3"/>
        <v>120.56603773584912</v>
      </c>
      <c r="O65" s="19">
        <f t="shared" si="4"/>
        <v>0</v>
      </c>
      <c r="P65" s="20">
        <f t="shared" si="5"/>
        <v>-4.4339622641508782</v>
      </c>
      <c r="Q65" s="172">
        <f t="shared" si="6"/>
        <v>0.96452830188679295</v>
      </c>
      <c r="R65" s="489"/>
      <c r="S65" s="40">
        <v>0.78611111111111109</v>
      </c>
      <c r="T65" s="40">
        <v>0.82291666666666663</v>
      </c>
      <c r="U65" s="173">
        <f t="shared" si="38"/>
        <v>5.9999999999999787</v>
      </c>
      <c r="V65" s="182">
        <f t="shared" si="37"/>
        <v>52.999999999999972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-70.943396226414052</v>
      </c>
      <c r="AF65" s="172">
        <f t="shared" si="9"/>
        <v>0.96452830188679295</v>
      </c>
      <c r="AG65" s="489"/>
    </row>
    <row r="66" spans="1:33">
      <c r="A66" s="508" t="s">
        <v>67</v>
      </c>
      <c r="B66" s="42" t="s">
        <v>71</v>
      </c>
      <c r="C66" s="494"/>
      <c r="D66" s="494"/>
      <c r="E66" s="175"/>
      <c r="F66" s="44"/>
      <c r="G66" s="17"/>
      <c r="H66" s="183"/>
      <c r="I66" s="30">
        <v>18.428571428571427</v>
      </c>
      <c r="J66" s="37">
        <v>2000</v>
      </c>
      <c r="K66" s="17">
        <f t="shared" si="1"/>
        <v>108.52713178294574</v>
      </c>
      <c r="L66" s="30">
        <v>18.428571428571427</v>
      </c>
      <c r="M66" s="18">
        <f>AVERAGE(M59:M65)</f>
        <v>1852.9742357185228</v>
      </c>
      <c r="N66" s="17">
        <f t="shared" si="3"/>
        <v>100.54898953511365</v>
      </c>
      <c r="O66" s="19">
        <f t="shared" si="4"/>
        <v>0</v>
      </c>
      <c r="P66" s="20">
        <f t="shared" si="5"/>
        <v>-7.9781422478320962</v>
      </c>
      <c r="Q66" s="172">
        <f t="shared" si="6"/>
        <v>0.92648711785926141</v>
      </c>
      <c r="R66" s="489"/>
      <c r="S66" s="41"/>
      <c r="T66" s="40"/>
      <c r="U66" s="17"/>
      <c r="V66" s="182"/>
      <c r="W66" s="17"/>
      <c r="X66" s="17"/>
      <c r="Y66" s="31">
        <f>SUM(Y59:Y65)</f>
        <v>0</v>
      </c>
      <c r="Z66" s="31">
        <f>SUM(Z59:Z65)</f>
        <v>0</v>
      </c>
      <c r="AA66" s="495"/>
      <c r="AB66" s="495"/>
      <c r="AC66" s="31">
        <f>SUM(AC59:AC65)</f>
        <v>3</v>
      </c>
      <c r="AD66" s="31">
        <f>SUM(AD59:AD65)</f>
        <v>0</v>
      </c>
      <c r="AE66" s="19">
        <f t="shared" si="8"/>
        <v>-147.02576428147722</v>
      </c>
      <c r="AF66" s="172">
        <f t="shared" si="9"/>
        <v>0.92648711785926141</v>
      </c>
      <c r="AG66" s="489"/>
    </row>
    <row r="67" spans="1:33" ht="15.75" customHeight="1">
      <c r="A67" s="499" t="s">
        <v>72</v>
      </c>
      <c r="B67" s="183" t="s">
        <v>100</v>
      </c>
      <c r="C67" s="490" t="s">
        <v>109</v>
      </c>
      <c r="D67" s="490"/>
      <c r="E67" s="42">
        <v>26.97</v>
      </c>
      <c r="F67" s="46">
        <v>1931</v>
      </c>
      <c r="G67" s="173">
        <f t="shared" ref="G67:G70" si="39">E67*F67</f>
        <v>52079.07</v>
      </c>
      <c r="H67" s="125" t="s">
        <v>79</v>
      </c>
      <c r="I67" s="181">
        <v>8</v>
      </c>
      <c r="J67" s="37">
        <v>1500</v>
      </c>
      <c r="K67" s="17">
        <f t="shared" si="1"/>
        <v>187.5</v>
      </c>
      <c r="L67" s="181">
        <v>8</v>
      </c>
      <c r="M67" s="18">
        <f t="shared" ref="M67:M70" si="40">F67/V67*60</f>
        <v>1430.3703703703707</v>
      </c>
      <c r="N67" s="17">
        <f t="shared" si="3"/>
        <v>178.79629629629633</v>
      </c>
      <c r="O67" s="19">
        <f t="shared" si="4"/>
        <v>0</v>
      </c>
      <c r="P67" s="20">
        <f t="shared" si="5"/>
        <v>-8.7037037037036669</v>
      </c>
      <c r="Q67" s="172">
        <f t="shared" si="6"/>
        <v>0.95358024691358045</v>
      </c>
      <c r="R67" s="489">
        <f>Q71</f>
        <v>0.95642929242509978</v>
      </c>
      <c r="S67" s="40">
        <v>0.20833333333333334</v>
      </c>
      <c r="T67" s="40">
        <v>0.26458333333333334</v>
      </c>
      <c r="U67" s="173"/>
      <c r="V67" s="182">
        <f t="shared" ref="V67:V70" si="41">(T67-S67)*24*60</f>
        <v>80.999999999999986</v>
      </c>
      <c r="W67" s="28"/>
      <c r="X67" s="28"/>
      <c r="Y67" s="28"/>
      <c r="Z67" s="28"/>
      <c r="AA67" s="491"/>
      <c r="AB67" s="491"/>
      <c r="AC67" s="154" t="s">
        <v>79</v>
      </c>
      <c r="AD67" s="25"/>
      <c r="AE67" s="19">
        <f t="shared" si="8"/>
        <v>-69.629629629629335</v>
      </c>
      <c r="AF67" s="172">
        <f t="shared" si="9"/>
        <v>0.95358024691358045</v>
      </c>
      <c r="AG67" s="489">
        <f>AF71</f>
        <v>0.95642929242509978</v>
      </c>
    </row>
    <row r="68" spans="1:33" ht="15.75" customHeight="1">
      <c r="A68" s="499" t="s">
        <v>967</v>
      </c>
      <c r="B68" s="183" t="s">
        <v>93</v>
      </c>
      <c r="C68" s="490" t="s">
        <v>110</v>
      </c>
      <c r="D68" s="490"/>
      <c r="E68" s="42">
        <v>26.78</v>
      </c>
      <c r="F68" s="46">
        <v>2538</v>
      </c>
      <c r="G68" s="173">
        <f t="shared" si="39"/>
        <v>67967.64</v>
      </c>
      <c r="H68" s="125" t="s">
        <v>79</v>
      </c>
      <c r="I68" s="181">
        <v>10</v>
      </c>
      <c r="J68" s="37">
        <v>3000</v>
      </c>
      <c r="K68" s="17">
        <f t="shared" si="1"/>
        <v>300</v>
      </c>
      <c r="L68" s="181">
        <v>10</v>
      </c>
      <c r="M68" s="18">
        <f t="shared" si="40"/>
        <v>2873.2075471698126</v>
      </c>
      <c r="N68" s="17">
        <f t="shared" si="3"/>
        <v>287.32075471698124</v>
      </c>
      <c r="O68" s="19">
        <f t="shared" si="4"/>
        <v>0</v>
      </c>
      <c r="P68" s="20">
        <f t="shared" si="5"/>
        <v>-12.679245283018759</v>
      </c>
      <c r="Q68" s="172">
        <f t="shared" si="6"/>
        <v>0.95773584905660414</v>
      </c>
      <c r="R68" s="489"/>
      <c r="S68" s="40">
        <v>0.26944444444444443</v>
      </c>
      <c r="T68" s="40">
        <v>0.30624999999999997</v>
      </c>
      <c r="U68" s="173">
        <f t="shared" ref="U68:U70" si="42">(S68-T67)*24*60</f>
        <v>6.9999999999999751</v>
      </c>
      <c r="V68" s="182">
        <f t="shared" si="41"/>
        <v>52.999999999999972</v>
      </c>
      <c r="W68" s="173"/>
      <c r="X68" s="173"/>
      <c r="Y68" s="173"/>
      <c r="Z68" s="173"/>
      <c r="AA68" s="491"/>
      <c r="AB68" s="491"/>
      <c r="AC68" s="154" t="s">
        <v>79</v>
      </c>
      <c r="AD68" s="25"/>
      <c r="AE68" s="19">
        <f t="shared" si="8"/>
        <v>-126.79245283018736</v>
      </c>
      <c r="AF68" s="172">
        <f t="shared" si="9"/>
        <v>0.95773584905660425</v>
      </c>
      <c r="AG68" s="489"/>
    </row>
    <row r="69" spans="1:33" ht="15.75" customHeight="1">
      <c r="A69" s="499" t="s">
        <v>72</v>
      </c>
      <c r="B69" s="183" t="s">
        <v>93</v>
      </c>
      <c r="C69" s="490" t="s">
        <v>111</v>
      </c>
      <c r="D69" s="490"/>
      <c r="E69" s="42">
        <v>37.880000000000003</v>
      </c>
      <c r="F69" s="46">
        <v>2385</v>
      </c>
      <c r="G69" s="173">
        <f t="shared" si="39"/>
        <v>90343.8</v>
      </c>
      <c r="H69" s="125" t="s">
        <v>79</v>
      </c>
      <c r="I69" s="181">
        <v>10</v>
      </c>
      <c r="J69" s="37">
        <v>3000</v>
      </c>
      <c r="K69" s="17">
        <f t="shared" ref="K69:K77" si="43">J69/I69</f>
        <v>300</v>
      </c>
      <c r="L69" s="181">
        <v>10</v>
      </c>
      <c r="M69" s="18">
        <f t="shared" si="40"/>
        <v>2862.0000000000009</v>
      </c>
      <c r="N69" s="17">
        <f t="shared" ref="N69:N77" si="44">M69/L69</f>
        <v>286.2000000000001</v>
      </c>
      <c r="O69" s="19">
        <f t="shared" ref="O69:O77" si="45">L69-I69</f>
        <v>0</v>
      </c>
      <c r="P69" s="20">
        <f t="shared" ref="P69:P77" si="46">N69-K69</f>
        <v>-13.799999999999898</v>
      </c>
      <c r="Q69" s="172">
        <f t="shared" ref="Q69:Q77" si="47">N69/K69</f>
        <v>0.95400000000000029</v>
      </c>
      <c r="R69" s="489"/>
      <c r="S69" s="40">
        <v>0.31111111111111106</v>
      </c>
      <c r="T69" s="40">
        <v>0.34583333333333327</v>
      </c>
      <c r="U69" s="173">
        <f t="shared" si="42"/>
        <v>6.9999999999999751</v>
      </c>
      <c r="V69" s="182">
        <f t="shared" si="41"/>
        <v>49.999999999999986</v>
      </c>
      <c r="W69" s="173"/>
      <c r="X69" s="173"/>
      <c r="Y69" s="173"/>
      <c r="Z69" s="173"/>
      <c r="AA69" s="491"/>
      <c r="AB69" s="491"/>
      <c r="AC69" s="154" t="s">
        <v>79</v>
      </c>
      <c r="AD69" s="25"/>
      <c r="AE69" s="19">
        <f t="shared" ref="AE69:AE77" si="48">M69-J69</f>
        <v>-137.99999999999909</v>
      </c>
      <c r="AF69" s="172">
        <f t="shared" ref="AF69:AF77" si="49">M69/J69</f>
        <v>0.95400000000000029</v>
      </c>
      <c r="AG69" s="489"/>
    </row>
    <row r="70" spans="1:33" ht="15.75" customHeight="1">
      <c r="A70" s="499" t="s">
        <v>967</v>
      </c>
      <c r="B70" s="183" t="s">
        <v>100</v>
      </c>
      <c r="C70" s="490" t="s">
        <v>519</v>
      </c>
      <c r="D70" s="490"/>
      <c r="E70" s="42">
        <v>27.4</v>
      </c>
      <c r="F70" s="46">
        <v>2524</v>
      </c>
      <c r="G70" s="173">
        <f t="shared" si="39"/>
        <v>69157.599999999991</v>
      </c>
      <c r="H70" s="125" t="s">
        <v>79</v>
      </c>
      <c r="I70" s="181">
        <v>10</v>
      </c>
      <c r="J70" s="37">
        <v>1500</v>
      </c>
      <c r="K70" s="17">
        <f t="shared" si="43"/>
        <v>150</v>
      </c>
      <c r="L70" s="181">
        <v>10</v>
      </c>
      <c r="M70" s="18">
        <f t="shared" si="40"/>
        <v>1442.2857142857138</v>
      </c>
      <c r="N70" s="17">
        <f t="shared" si="44"/>
        <v>144.22857142857137</v>
      </c>
      <c r="O70" s="19">
        <f t="shared" si="45"/>
        <v>0</v>
      </c>
      <c r="P70" s="20">
        <f t="shared" si="46"/>
        <v>-5.7714285714286291</v>
      </c>
      <c r="Q70" s="172">
        <f t="shared" si="47"/>
        <v>0.96152380952380911</v>
      </c>
      <c r="R70" s="489"/>
      <c r="S70" s="40">
        <v>0.35069444444444436</v>
      </c>
      <c r="T70" s="40">
        <v>0.42361111111111105</v>
      </c>
      <c r="U70" s="173">
        <f t="shared" si="42"/>
        <v>6.9999999999999751</v>
      </c>
      <c r="V70" s="182">
        <f t="shared" si="41"/>
        <v>105.00000000000003</v>
      </c>
      <c r="W70" s="173"/>
      <c r="X70" s="173"/>
      <c r="Y70" s="173"/>
      <c r="Z70" s="173"/>
      <c r="AA70" s="491"/>
      <c r="AB70" s="491"/>
      <c r="AC70" s="154" t="s">
        <v>79</v>
      </c>
      <c r="AD70" s="25"/>
      <c r="AE70" s="19">
        <f t="shared" si="48"/>
        <v>-57.714285714286234</v>
      </c>
      <c r="AF70" s="172">
        <f t="shared" si="49"/>
        <v>0.96152380952380923</v>
      </c>
      <c r="AG70" s="489"/>
    </row>
    <row r="71" spans="1:33">
      <c r="A71" s="500" t="s">
        <v>967</v>
      </c>
      <c r="B71" s="42" t="s">
        <v>958</v>
      </c>
      <c r="C71" s="494"/>
      <c r="D71" s="494"/>
      <c r="E71" s="175"/>
      <c r="F71" s="44"/>
      <c r="G71" s="17"/>
      <c r="H71" s="183"/>
      <c r="I71" s="30">
        <v>9.75</v>
      </c>
      <c r="J71" s="37">
        <v>2250</v>
      </c>
      <c r="K71" s="17">
        <f t="shared" si="43"/>
        <v>230.76923076923077</v>
      </c>
      <c r="L71" s="30">
        <v>9.75</v>
      </c>
      <c r="M71" s="18">
        <f>AVERAGE(M67:M70)</f>
        <v>2151.9659079564744</v>
      </c>
      <c r="N71" s="17">
        <f t="shared" si="44"/>
        <v>220.71445209809994</v>
      </c>
      <c r="O71" s="19">
        <f t="shared" si="45"/>
        <v>0</v>
      </c>
      <c r="P71" s="20">
        <f t="shared" si="46"/>
        <v>-10.054778671130833</v>
      </c>
      <c r="Q71" s="172">
        <f t="shared" si="47"/>
        <v>0.95642929242509978</v>
      </c>
      <c r="R71" s="489"/>
      <c r="S71" s="40"/>
      <c r="T71" s="40"/>
      <c r="U71" s="17"/>
      <c r="V71" s="182"/>
      <c r="W71" s="17"/>
      <c r="X71" s="17"/>
      <c r="Y71" s="31">
        <f>SUM(Y67:Y70)</f>
        <v>0</v>
      </c>
      <c r="Z71" s="31">
        <f>SUM(Z67:Z70)</f>
        <v>0</v>
      </c>
      <c r="AA71" s="495"/>
      <c r="AB71" s="495"/>
      <c r="AC71" s="31">
        <f>SUM(AC67:AC70)</f>
        <v>0</v>
      </c>
      <c r="AD71" s="31">
        <f>SUM(AD67:AD70)</f>
        <v>0</v>
      </c>
      <c r="AE71" s="19">
        <f t="shared" si="48"/>
        <v>-98.034092043525561</v>
      </c>
      <c r="AF71" s="172">
        <f t="shared" si="49"/>
        <v>0.95642929242509978</v>
      </c>
      <c r="AG71" s="489"/>
    </row>
    <row r="72" spans="1:33" ht="15.75" customHeight="1">
      <c r="A72" s="496" t="s">
        <v>75</v>
      </c>
      <c r="B72" s="183" t="s">
        <v>80</v>
      </c>
      <c r="C72" s="490" t="s">
        <v>115</v>
      </c>
      <c r="D72" s="490"/>
      <c r="E72" s="42">
        <v>20.2</v>
      </c>
      <c r="F72" s="183">
        <v>1597</v>
      </c>
      <c r="G72" s="173">
        <f t="shared" ref="G72:G76" si="50">E72*F72</f>
        <v>32259.399999999998</v>
      </c>
      <c r="H72" s="125" t="s">
        <v>79</v>
      </c>
      <c r="I72" s="181">
        <v>19</v>
      </c>
      <c r="J72" s="37">
        <v>2400</v>
      </c>
      <c r="K72" s="17">
        <f t="shared" si="43"/>
        <v>126.31578947368421</v>
      </c>
      <c r="L72" s="181">
        <v>19</v>
      </c>
      <c r="M72" s="18">
        <f t="shared" ref="M72:M76" si="51">F72/V72*60</f>
        <v>2337.0731707317077</v>
      </c>
      <c r="N72" s="17">
        <f t="shared" si="44"/>
        <v>123.00385109114251</v>
      </c>
      <c r="O72" s="19">
        <f t="shared" si="45"/>
        <v>0</v>
      </c>
      <c r="P72" s="20">
        <f t="shared" si="46"/>
        <v>-3.3119383825416975</v>
      </c>
      <c r="Q72" s="172">
        <f t="shared" si="47"/>
        <v>0.97378048780487825</v>
      </c>
      <c r="R72" s="489">
        <f>Q77</f>
        <v>0.96174931494249105</v>
      </c>
      <c r="S72" s="40">
        <v>8.3333333333333329E-2</v>
      </c>
      <c r="T72" s="40">
        <v>0.11180555555555555</v>
      </c>
      <c r="U72" s="28"/>
      <c r="V72" s="182">
        <f t="shared" ref="V72:V76" si="52">(T72-S72)*24*60</f>
        <v>40.999999999999993</v>
      </c>
      <c r="W72" s="23">
        <f>T72</f>
        <v>0.11180555555555555</v>
      </c>
      <c r="X72" s="23">
        <f>S73</f>
        <v>0.13125000000000001</v>
      </c>
      <c r="Y72" s="23"/>
      <c r="Z72" s="23"/>
      <c r="AA72" s="491"/>
      <c r="AB72" s="491"/>
      <c r="AC72" s="154">
        <v>6</v>
      </c>
      <c r="AD72" s="25"/>
      <c r="AE72" s="19">
        <f t="shared" si="48"/>
        <v>-62.926829268292295</v>
      </c>
      <c r="AF72" s="172">
        <f t="shared" si="49"/>
        <v>0.97378048780487825</v>
      </c>
      <c r="AG72" s="489">
        <f>AF77</f>
        <v>0.96174931494249094</v>
      </c>
    </row>
    <row r="73" spans="1:33" ht="15.75" customHeight="1">
      <c r="A73" s="497" t="s">
        <v>75</v>
      </c>
      <c r="B73" s="183" t="s">
        <v>80</v>
      </c>
      <c r="C73" s="490" t="s">
        <v>116</v>
      </c>
      <c r="D73" s="490"/>
      <c r="E73" s="42">
        <v>20.52</v>
      </c>
      <c r="F73" s="183">
        <v>2432</v>
      </c>
      <c r="G73" s="173">
        <f t="shared" si="50"/>
        <v>49904.639999999999</v>
      </c>
      <c r="H73" s="125" t="s">
        <v>79</v>
      </c>
      <c r="I73" s="181">
        <v>18</v>
      </c>
      <c r="J73" s="37">
        <v>2400</v>
      </c>
      <c r="K73" s="17">
        <f t="shared" si="43"/>
        <v>133.33333333333334</v>
      </c>
      <c r="L73" s="181">
        <v>18</v>
      </c>
      <c r="M73" s="18">
        <f t="shared" si="51"/>
        <v>2316.1904761904757</v>
      </c>
      <c r="N73" s="17">
        <f t="shared" si="44"/>
        <v>128.67724867724866</v>
      </c>
      <c r="O73" s="19">
        <f t="shared" si="45"/>
        <v>0</v>
      </c>
      <c r="P73" s="20">
        <f t="shared" si="46"/>
        <v>-4.6560846560846869</v>
      </c>
      <c r="Q73" s="172">
        <f t="shared" si="47"/>
        <v>0.96507936507936487</v>
      </c>
      <c r="R73" s="489"/>
      <c r="S73" s="40">
        <v>0.13125000000000001</v>
      </c>
      <c r="T73" s="40">
        <v>0.17500000000000002</v>
      </c>
      <c r="U73" s="173">
        <f t="shared" ref="U73:U76" si="53">(S73-T72)*24*60</f>
        <v>28.000000000000021</v>
      </c>
      <c r="V73" s="182">
        <f t="shared" si="52"/>
        <v>63.000000000000014</v>
      </c>
      <c r="W73" s="23"/>
      <c r="X73" s="23"/>
      <c r="Y73" s="23"/>
      <c r="Z73" s="23"/>
      <c r="AA73" s="491"/>
      <c r="AB73" s="491"/>
      <c r="AC73" s="154"/>
      <c r="AD73" s="25"/>
      <c r="AE73" s="19">
        <f t="shared" si="48"/>
        <v>-83.809523809524308</v>
      </c>
      <c r="AF73" s="172">
        <f t="shared" si="49"/>
        <v>0.96507936507936487</v>
      </c>
      <c r="AG73" s="489"/>
    </row>
    <row r="74" spans="1:33" ht="15.75" customHeight="1">
      <c r="A74" s="497" t="s">
        <v>75</v>
      </c>
      <c r="B74" s="183" t="s">
        <v>80</v>
      </c>
      <c r="C74" s="490" t="s">
        <v>117</v>
      </c>
      <c r="D74" s="490"/>
      <c r="E74" s="42">
        <v>24.43</v>
      </c>
      <c r="F74" s="183">
        <v>5153</v>
      </c>
      <c r="G74" s="173">
        <f t="shared" si="50"/>
        <v>125887.79</v>
      </c>
      <c r="H74" s="125" t="s">
        <v>79</v>
      </c>
      <c r="I74" s="181">
        <v>14</v>
      </c>
      <c r="J74" s="37">
        <v>2400</v>
      </c>
      <c r="K74" s="17">
        <f t="shared" si="43"/>
        <v>171.42857142857142</v>
      </c>
      <c r="L74" s="181">
        <v>14</v>
      </c>
      <c r="M74" s="18">
        <f t="shared" si="51"/>
        <v>2290.2222222222213</v>
      </c>
      <c r="N74" s="17">
        <f t="shared" si="44"/>
        <v>163.58730158730151</v>
      </c>
      <c r="O74" s="19">
        <f t="shared" si="45"/>
        <v>0</v>
      </c>
      <c r="P74" s="20">
        <f t="shared" si="46"/>
        <v>-7.8412698412699058</v>
      </c>
      <c r="Q74" s="172">
        <f t="shared" si="47"/>
        <v>0.95425925925925892</v>
      </c>
      <c r="R74" s="489"/>
      <c r="S74" s="40">
        <v>0.17847222222222223</v>
      </c>
      <c r="T74" s="40">
        <v>0.27222222222222225</v>
      </c>
      <c r="U74" s="173">
        <f t="shared" si="53"/>
        <v>4.9999999999999822</v>
      </c>
      <c r="V74" s="182">
        <f t="shared" si="52"/>
        <v>135.00000000000006</v>
      </c>
      <c r="W74" s="23"/>
      <c r="X74" s="23"/>
      <c r="Y74" s="23"/>
      <c r="Z74" s="23"/>
      <c r="AA74" s="491"/>
      <c r="AB74" s="491"/>
      <c r="AC74" s="154"/>
      <c r="AD74" s="25"/>
      <c r="AE74" s="19">
        <f t="shared" si="48"/>
        <v>-109.77777777777874</v>
      </c>
      <c r="AF74" s="172">
        <f t="shared" si="49"/>
        <v>0.95425925925925881</v>
      </c>
      <c r="AG74" s="489"/>
    </row>
    <row r="75" spans="1:33" ht="15.75" customHeight="1">
      <c r="A75" s="497" t="s">
        <v>75</v>
      </c>
      <c r="B75" s="183" t="s">
        <v>80</v>
      </c>
      <c r="C75" s="490" t="s">
        <v>118</v>
      </c>
      <c r="D75" s="490"/>
      <c r="E75" s="42">
        <v>20.21</v>
      </c>
      <c r="F75" s="183">
        <v>3117</v>
      </c>
      <c r="G75" s="173">
        <f t="shared" si="50"/>
        <v>62994.57</v>
      </c>
      <c r="H75" s="125" t="s">
        <v>79</v>
      </c>
      <c r="I75" s="181">
        <v>16</v>
      </c>
      <c r="J75" s="37">
        <v>2400</v>
      </c>
      <c r="K75" s="17">
        <f t="shared" si="43"/>
        <v>150</v>
      </c>
      <c r="L75" s="181">
        <v>16</v>
      </c>
      <c r="M75" s="18">
        <f t="shared" si="51"/>
        <v>2308.8888888888878</v>
      </c>
      <c r="N75" s="17">
        <f t="shared" si="44"/>
        <v>144.30555555555549</v>
      </c>
      <c r="O75" s="19">
        <f t="shared" si="45"/>
        <v>0</v>
      </c>
      <c r="P75" s="20">
        <f t="shared" si="46"/>
        <v>-5.6944444444445139</v>
      </c>
      <c r="Q75" s="172">
        <f t="shared" si="47"/>
        <v>0.96203703703703658</v>
      </c>
      <c r="R75" s="489"/>
      <c r="S75" s="40">
        <v>0.27777777777777779</v>
      </c>
      <c r="T75" s="40">
        <v>0.33402777777777781</v>
      </c>
      <c r="U75" s="173">
        <f t="shared" si="53"/>
        <v>7.9999999999999716</v>
      </c>
      <c r="V75" s="182">
        <f t="shared" si="52"/>
        <v>81.000000000000028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-91.111111111112223</v>
      </c>
      <c r="AF75" s="172">
        <f t="shared" si="49"/>
        <v>0.96203703703703658</v>
      </c>
      <c r="AG75" s="489"/>
    </row>
    <row r="76" spans="1:33" ht="15.75" customHeight="1">
      <c r="A76" s="497" t="s">
        <v>75</v>
      </c>
      <c r="B76" s="183" t="s">
        <v>80</v>
      </c>
      <c r="C76" s="490" t="s">
        <v>119</v>
      </c>
      <c r="D76" s="490"/>
      <c r="E76" s="42">
        <v>19.02</v>
      </c>
      <c r="F76" s="183">
        <v>7171</v>
      </c>
      <c r="G76" s="173">
        <f t="shared" si="50"/>
        <v>136392.41999999998</v>
      </c>
      <c r="H76" s="125" t="s">
        <v>79</v>
      </c>
      <c r="I76" s="181">
        <v>15</v>
      </c>
      <c r="J76" s="37">
        <v>2400</v>
      </c>
      <c r="K76" s="17">
        <f t="shared" si="43"/>
        <v>160</v>
      </c>
      <c r="L76" s="181">
        <v>15</v>
      </c>
      <c r="M76" s="18">
        <f t="shared" si="51"/>
        <v>2288.6170212765965</v>
      </c>
      <c r="N76" s="17">
        <f t="shared" si="44"/>
        <v>152.57446808510642</v>
      </c>
      <c r="O76" s="19">
        <f t="shared" si="45"/>
        <v>0</v>
      </c>
      <c r="P76" s="20">
        <f t="shared" si="46"/>
        <v>-7.4255319148935826</v>
      </c>
      <c r="Q76" s="172">
        <f t="shared" si="47"/>
        <v>0.95359042553191509</v>
      </c>
      <c r="R76" s="489"/>
      <c r="S76" s="40">
        <v>0.33750000000000002</v>
      </c>
      <c r="T76" s="40">
        <v>0.46805555555555556</v>
      </c>
      <c r="U76" s="173">
        <f t="shared" si="53"/>
        <v>4.9999999999999822</v>
      </c>
      <c r="V76" s="182">
        <f t="shared" si="52"/>
        <v>187.99999999999997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8"/>
        <v>-111.38297872340354</v>
      </c>
      <c r="AF76" s="172">
        <f t="shared" si="49"/>
        <v>0.9535904255319152</v>
      </c>
      <c r="AG76" s="489"/>
    </row>
    <row r="77" spans="1:33" ht="16.5" customHeight="1">
      <c r="A77" s="498" t="s">
        <v>75</v>
      </c>
      <c r="B77" s="42" t="s">
        <v>71</v>
      </c>
      <c r="C77" s="492"/>
      <c r="D77" s="493"/>
      <c r="E77" s="175"/>
      <c r="F77" s="44"/>
      <c r="G77" s="17"/>
      <c r="H77" s="183"/>
      <c r="I77" s="30">
        <v>16.399999999999999</v>
      </c>
      <c r="J77" s="37">
        <v>2400</v>
      </c>
      <c r="K77" s="17">
        <f t="shared" si="43"/>
        <v>146.34146341463415</v>
      </c>
      <c r="L77" s="30">
        <v>16.399999999999999</v>
      </c>
      <c r="M77" s="18">
        <f>AVERAGE(M72:M76)</f>
        <v>2308.1983558619781</v>
      </c>
      <c r="N77" s="17">
        <f t="shared" si="44"/>
        <v>140.74380218670601</v>
      </c>
      <c r="O77" s="19">
        <f t="shared" si="45"/>
        <v>0</v>
      </c>
      <c r="P77" s="20">
        <f t="shared" si="46"/>
        <v>-5.5976612279281426</v>
      </c>
      <c r="Q77" s="172">
        <f t="shared" si="47"/>
        <v>0.96174931494249105</v>
      </c>
      <c r="R77" s="489"/>
      <c r="S77" s="40"/>
      <c r="T77" s="40"/>
      <c r="U77" s="17"/>
      <c r="V77" s="182"/>
      <c r="W77" s="17"/>
      <c r="X77" s="17"/>
      <c r="Y77" s="31">
        <f>SUM(Y72:Y76)</f>
        <v>0</v>
      </c>
      <c r="Z77" s="31">
        <f>SUM(Z72:Z76)</f>
        <v>0</v>
      </c>
      <c r="AA77" s="495"/>
      <c r="AB77" s="495"/>
      <c r="AC77" s="31">
        <f>SUM(AC72:AC76)</f>
        <v>6</v>
      </c>
      <c r="AD77" s="31">
        <f>SUM(AD72:AD76)</f>
        <v>0</v>
      </c>
      <c r="AE77" s="19">
        <f t="shared" si="48"/>
        <v>-91.801644138021857</v>
      </c>
      <c r="AF77" s="172">
        <f t="shared" si="49"/>
        <v>0.96174931494249094</v>
      </c>
      <c r="AG77" s="489"/>
    </row>
    <row r="78" spans="1:33">
      <c r="D78" s="33"/>
      <c r="E78" s="33"/>
    </row>
  </sheetData>
  <mergeCells count="20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2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19:AB19"/>
    <mergeCell ref="A13:A22"/>
    <mergeCell ref="C13:D13"/>
    <mergeCell ref="R13:R22"/>
    <mergeCell ref="A23:A34"/>
    <mergeCell ref="C23:D23"/>
    <mergeCell ref="R23:R34"/>
    <mergeCell ref="AA23:AB23"/>
    <mergeCell ref="AA28:AB28"/>
    <mergeCell ref="C29:D29"/>
    <mergeCell ref="AA29:AB29"/>
    <mergeCell ref="C30:D30"/>
    <mergeCell ref="AA30:AB30"/>
    <mergeCell ref="C31:D31"/>
    <mergeCell ref="AA31:AB31"/>
    <mergeCell ref="C27:D27"/>
    <mergeCell ref="AA27:AB27"/>
    <mergeCell ref="C28:D28"/>
    <mergeCell ref="C24:D24"/>
    <mergeCell ref="AA24:AB24"/>
    <mergeCell ref="C25:D25"/>
    <mergeCell ref="AA25:AB25"/>
    <mergeCell ref="C26:D26"/>
    <mergeCell ref="AA26:AB26"/>
    <mergeCell ref="AA13:AB13"/>
    <mergeCell ref="AA20:AB20"/>
    <mergeCell ref="C21:D21"/>
    <mergeCell ref="AA21:AB21"/>
    <mergeCell ref="C22:D22"/>
    <mergeCell ref="AA22:AB22"/>
    <mergeCell ref="AG35:AG40"/>
    <mergeCell ref="C36:D36"/>
    <mergeCell ref="AA36:AB36"/>
    <mergeCell ref="C37:D37"/>
    <mergeCell ref="AA37:AB37"/>
    <mergeCell ref="C38:D38"/>
    <mergeCell ref="C32:D32"/>
    <mergeCell ref="AA32:AB32"/>
    <mergeCell ref="C33:D33"/>
    <mergeCell ref="AA33:AB33"/>
    <mergeCell ref="C34:D34"/>
    <mergeCell ref="AA34:AB34"/>
    <mergeCell ref="AA38:AB38"/>
    <mergeCell ref="C39:D39"/>
    <mergeCell ref="AA39:AB39"/>
    <mergeCell ref="C40:D40"/>
    <mergeCell ref="AA40:AB40"/>
    <mergeCell ref="AG23:AG34"/>
    <mergeCell ref="A41:A48"/>
    <mergeCell ref="C41:D41"/>
    <mergeCell ref="R41:R48"/>
    <mergeCell ref="AA41:AB41"/>
    <mergeCell ref="AA46:AB46"/>
    <mergeCell ref="A35:A40"/>
    <mergeCell ref="C35:D35"/>
    <mergeCell ref="R35:R40"/>
    <mergeCell ref="AA35:AB35"/>
    <mergeCell ref="AG41:AG48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C47:D47"/>
    <mergeCell ref="AA47:AB47"/>
    <mergeCell ref="C48:D48"/>
    <mergeCell ref="AA48:AB48"/>
    <mergeCell ref="A49:A58"/>
    <mergeCell ref="C49:D49"/>
    <mergeCell ref="R49:R58"/>
    <mergeCell ref="AA49:AB49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AG49:AG58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54:D54"/>
    <mergeCell ref="A59:A66"/>
    <mergeCell ref="C59:D59"/>
    <mergeCell ref="R59:R66"/>
    <mergeCell ref="AA59:AB59"/>
    <mergeCell ref="AG59:AG66"/>
    <mergeCell ref="C60:D60"/>
    <mergeCell ref="AA60:AB60"/>
    <mergeCell ref="C61:D61"/>
    <mergeCell ref="AA61:AB61"/>
    <mergeCell ref="AA62:AB62"/>
    <mergeCell ref="AG67:AG71"/>
    <mergeCell ref="C68:D68"/>
    <mergeCell ref="AA68:AB68"/>
    <mergeCell ref="C69:D69"/>
    <mergeCell ref="AA69:AB69"/>
    <mergeCell ref="C70:D70"/>
    <mergeCell ref="AA63:AB63"/>
    <mergeCell ref="C64:D64"/>
    <mergeCell ref="AA64:AB64"/>
    <mergeCell ref="C65:D65"/>
    <mergeCell ref="AA65:AB65"/>
    <mergeCell ref="C66:D66"/>
    <mergeCell ref="AA66:AB66"/>
    <mergeCell ref="AA70:AB70"/>
    <mergeCell ref="C71:D71"/>
    <mergeCell ref="AA71:AB71"/>
    <mergeCell ref="A72:A77"/>
    <mergeCell ref="C72:D72"/>
    <mergeCell ref="R72:R77"/>
    <mergeCell ref="AA72:AB72"/>
    <mergeCell ref="AA77:AB77"/>
    <mergeCell ref="A67:A71"/>
    <mergeCell ref="C67:D67"/>
    <mergeCell ref="R67:R71"/>
    <mergeCell ref="AA67:AB67"/>
    <mergeCell ref="AG72:AG77"/>
    <mergeCell ref="C73:D73"/>
    <mergeCell ref="AA73:AB73"/>
    <mergeCell ref="C74:D74"/>
    <mergeCell ref="AA74:AB74"/>
    <mergeCell ref="C75:D75"/>
    <mergeCell ref="AA75:AB75"/>
    <mergeCell ref="C76:D76"/>
    <mergeCell ref="AA76:AB76"/>
    <mergeCell ref="C77:D77"/>
  </mergeCells>
  <phoneticPr fontId="3" type="noConversion"/>
  <conditionalFormatting sqref="O66:O67 O70:O77 O5:O10 O12:O14 O58:O64 O22:O54">
    <cfRule type="cellIs" dxfId="867" priority="76" operator="greaterThan">
      <formula>0</formula>
    </cfRule>
  </conditionalFormatting>
  <conditionalFormatting sqref="P5:P8 P70 AE70 P72:P76 P35:P39 P67 P10 P12:P14 P23:P33 P59:P64 P41:P54 AE5:AE67 AE72:AE77">
    <cfRule type="cellIs" dxfId="866" priority="80" operator="lessThan">
      <formula>0</formula>
    </cfRule>
  </conditionalFormatting>
  <conditionalFormatting sqref="AF70 Q66:Q67 Q70:Q77 Q5:Q10 Q12:Q14 Q58:Q64 Q22:Q54 AF5:AF67 AF72:AF77">
    <cfRule type="cellIs" dxfId="865" priority="77" operator="greaterThan">
      <formula>1</formula>
    </cfRule>
    <cfRule type="cellIs" dxfId="864" priority="78" operator="lessThan">
      <formula>0.8</formula>
    </cfRule>
  </conditionalFormatting>
  <conditionalFormatting sqref="AG13:AG14 R13:R14 AG70 R22:R28 AG22:AG28 AG66:AG67 R66:R67 R70:R77 AG5:AG10 R5:R10 R34:R54 AG34:AG54 AG58:AG64 R58:R64">
    <cfRule type="cellIs" dxfId="863" priority="82" operator="lessThan">
      <formula>0.8</formula>
    </cfRule>
  </conditionalFormatting>
  <conditionalFormatting sqref="AG49">
    <cfRule type="cellIs" dxfId="862" priority="84" operator="lessThan">
      <formula>0.8</formula>
    </cfRule>
  </conditionalFormatting>
  <conditionalFormatting sqref="AG23:AG28">
    <cfRule type="cellIs" dxfId="861" priority="81" operator="lessThan">
      <formula>0.8</formula>
    </cfRule>
  </conditionalFormatting>
  <conditionalFormatting sqref="AG35">
    <cfRule type="cellIs" dxfId="860" priority="83" operator="lessThan">
      <formula>0.8</formula>
    </cfRule>
  </conditionalFormatting>
  <conditionalFormatting sqref="AG41:AG47">
    <cfRule type="cellIs" dxfId="859" priority="79" operator="lessThan">
      <formula>0.8</formula>
    </cfRule>
  </conditionalFormatting>
  <conditionalFormatting sqref="AE71">
    <cfRule type="cellIs" dxfId="858" priority="75" operator="lessThan">
      <formula>0</formula>
    </cfRule>
  </conditionalFormatting>
  <conditionalFormatting sqref="AF71">
    <cfRule type="cellIs" dxfId="857" priority="73" operator="greaterThan">
      <formula>1</formula>
    </cfRule>
    <cfRule type="cellIs" dxfId="856" priority="74" operator="lessThan">
      <formula>0.8</formula>
    </cfRule>
  </conditionalFormatting>
  <conditionalFormatting sqref="O15:O16">
    <cfRule type="cellIs" dxfId="855" priority="68" operator="greaterThan">
      <formula>0</formula>
    </cfRule>
  </conditionalFormatting>
  <conditionalFormatting sqref="P15:P16">
    <cfRule type="cellIs" dxfId="854" priority="71" operator="lessThan">
      <formula>0</formula>
    </cfRule>
  </conditionalFormatting>
  <conditionalFormatting sqref="Q15:Q16">
    <cfRule type="cellIs" dxfId="853" priority="69" operator="greaterThan">
      <formula>1</formula>
    </cfRule>
    <cfRule type="cellIs" dxfId="852" priority="70" operator="lessThan">
      <formula>0.8</formula>
    </cfRule>
  </conditionalFormatting>
  <conditionalFormatting sqref="R15:R16 AG15:AG16">
    <cfRule type="cellIs" dxfId="851" priority="72" operator="lessThan">
      <formula>0.8</formula>
    </cfRule>
  </conditionalFormatting>
  <conditionalFormatting sqref="O11">
    <cfRule type="cellIs" dxfId="850" priority="64" operator="greaterThan">
      <formula>0</formula>
    </cfRule>
  </conditionalFormatting>
  <conditionalFormatting sqref="P11">
    <cfRule type="cellIs" dxfId="849" priority="67" operator="lessThan">
      <formula>0</formula>
    </cfRule>
  </conditionalFormatting>
  <conditionalFormatting sqref="Q11">
    <cfRule type="cellIs" dxfId="848" priority="65" operator="greaterThan">
      <formula>1</formula>
    </cfRule>
    <cfRule type="cellIs" dxfId="847" priority="66" operator="lessThan">
      <formula>0.8</formula>
    </cfRule>
  </conditionalFormatting>
  <conditionalFormatting sqref="O65">
    <cfRule type="cellIs" dxfId="846" priority="59" operator="greaterThan">
      <formula>0</formula>
    </cfRule>
  </conditionalFormatting>
  <conditionalFormatting sqref="P65">
    <cfRule type="cellIs" dxfId="845" priority="62" operator="lessThan">
      <formula>0</formula>
    </cfRule>
  </conditionalFormatting>
  <conditionalFormatting sqref="Q65">
    <cfRule type="cellIs" dxfId="844" priority="60" operator="greaterThan">
      <formula>1</formula>
    </cfRule>
    <cfRule type="cellIs" dxfId="843" priority="61" operator="lessThan">
      <formula>0.8</formula>
    </cfRule>
  </conditionalFormatting>
  <conditionalFormatting sqref="R65 AG65">
    <cfRule type="cellIs" dxfId="842" priority="63" operator="lessThan">
      <formula>0.8</formula>
    </cfRule>
  </conditionalFormatting>
  <conditionalFormatting sqref="AG30 R30">
    <cfRule type="cellIs" dxfId="841" priority="58" operator="lessThan">
      <formula>0.8</formula>
    </cfRule>
  </conditionalFormatting>
  <conditionalFormatting sqref="O69">
    <cfRule type="cellIs" dxfId="840" priority="53" operator="greaterThan">
      <formula>0</formula>
    </cfRule>
  </conditionalFormatting>
  <conditionalFormatting sqref="P69 AE69">
    <cfRule type="cellIs" dxfId="839" priority="56" operator="lessThan">
      <formula>0</formula>
    </cfRule>
  </conditionalFormatting>
  <conditionalFormatting sqref="Q69 AF69">
    <cfRule type="cellIs" dxfId="838" priority="54" operator="greaterThan">
      <formula>1</formula>
    </cfRule>
    <cfRule type="cellIs" dxfId="837" priority="55" operator="lessThan">
      <formula>0.8</formula>
    </cfRule>
  </conditionalFormatting>
  <conditionalFormatting sqref="R69 AG69">
    <cfRule type="cellIs" dxfId="836" priority="57" operator="lessThan">
      <formula>0.8</formula>
    </cfRule>
  </conditionalFormatting>
  <conditionalFormatting sqref="O17:O18">
    <cfRule type="cellIs" dxfId="835" priority="48" operator="greaterThan">
      <formula>0</formula>
    </cfRule>
  </conditionalFormatting>
  <conditionalFormatting sqref="P17:P18">
    <cfRule type="cellIs" dxfId="834" priority="51" operator="lessThan">
      <formula>0</formula>
    </cfRule>
  </conditionalFormatting>
  <conditionalFormatting sqref="Q17:Q18">
    <cfRule type="cellIs" dxfId="833" priority="49" operator="greaterThan">
      <formula>1</formula>
    </cfRule>
    <cfRule type="cellIs" dxfId="832" priority="50" operator="lessThan">
      <formula>0.8</formula>
    </cfRule>
  </conditionalFormatting>
  <conditionalFormatting sqref="R17:R18 AG17:AG18">
    <cfRule type="cellIs" dxfId="831" priority="52" operator="lessThan">
      <formula>0.8</formula>
    </cfRule>
  </conditionalFormatting>
  <conditionalFormatting sqref="O55">
    <cfRule type="cellIs" dxfId="830" priority="42" operator="greaterThan">
      <formula>0</formula>
    </cfRule>
  </conditionalFormatting>
  <conditionalFormatting sqref="P55">
    <cfRule type="cellIs" dxfId="829" priority="46" operator="lessThan">
      <formula>0</formula>
    </cfRule>
  </conditionalFormatting>
  <conditionalFormatting sqref="Q55">
    <cfRule type="cellIs" dxfId="828" priority="43" operator="greaterThan">
      <formula>1</formula>
    </cfRule>
    <cfRule type="cellIs" dxfId="827" priority="44" operator="lessThan">
      <formula>0.8</formula>
    </cfRule>
  </conditionalFormatting>
  <conditionalFormatting sqref="R55 AG55">
    <cfRule type="cellIs" dxfId="826" priority="47" operator="lessThan">
      <formula>0.8</formula>
    </cfRule>
  </conditionalFormatting>
  <conditionalFormatting sqref="AG55">
    <cfRule type="cellIs" dxfId="825" priority="45" operator="lessThan">
      <formula>0.8</formula>
    </cfRule>
  </conditionalFormatting>
  <conditionalFormatting sqref="O56">
    <cfRule type="cellIs" dxfId="824" priority="36" operator="greaterThan">
      <formula>0</formula>
    </cfRule>
  </conditionalFormatting>
  <conditionalFormatting sqref="P56">
    <cfRule type="cellIs" dxfId="823" priority="40" operator="lessThan">
      <formula>0</formula>
    </cfRule>
  </conditionalFormatting>
  <conditionalFormatting sqref="Q56">
    <cfRule type="cellIs" dxfId="822" priority="37" operator="greaterThan">
      <formula>1</formula>
    </cfRule>
    <cfRule type="cellIs" dxfId="821" priority="38" operator="lessThan">
      <formula>0.8</formula>
    </cfRule>
  </conditionalFormatting>
  <conditionalFormatting sqref="R56 AG56">
    <cfRule type="cellIs" dxfId="820" priority="41" operator="lessThan">
      <formula>0.8</formula>
    </cfRule>
  </conditionalFormatting>
  <conditionalFormatting sqref="AG56">
    <cfRule type="cellIs" dxfId="819" priority="39" operator="lessThan">
      <formula>0.8</formula>
    </cfRule>
  </conditionalFormatting>
  <conditionalFormatting sqref="AG31 R31">
    <cfRule type="cellIs" dxfId="818" priority="35" operator="lessThan">
      <formula>0.8</formula>
    </cfRule>
  </conditionalFormatting>
  <conditionalFormatting sqref="AG33 R33">
    <cfRule type="cellIs" dxfId="817" priority="34" operator="lessThan">
      <formula>0.8</formula>
    </cfRule>
  </conditionalFormatting>
  <conditionalFormatting sqref="R29 AG29">
    <cfRule type="cellIs" dxfId="816" priority="33" operator="lessThan">
      <formula>0.8</formula>
    </cfRule>
  </conditionalFormatting>
  <conditionalFormatting sqref="AG29">
    <cfRule type="cellIs" dxfId="815" priority="32" operator="lessThan">
      <formula>0.8</formula>
    </cfRule>
  </conditionalFormatting>
  <conditionalFormatting sqref="O57">
    <cfRule type="cellIs" dxfId="814" priority="26" operator="greaterThan">
      <formula>0</formula>
    </cfRule>
  </conditionalFormatting>
  <conditionalFormatting sqref="P57">
    <cfRule type="cellIs" dxfId="813" priority="30" operator="lessThan">
      <formula>0</formula>
    </cfRule>
  </conditionalFormatting>
  <conditionalFormatting sqref="Q57">
    <cfRule type="cellIs" dxfId="812" priority="27" operator="greaterThan">
      <formula>1</formula>
    </cfRule>
    <cfRule type="cellIs" dxfId="811" priority="28" operator="lessThan">
      <formula>0.8</formula>
    </cfRule>
  </conditionalFormatting>
  <conditionalFormatting sqref="R57 AG57">
    <cfRule type="cellIs" dxfId="810" priority="31" operator="lessThan">
      <formula>0.8</formula>
    </cfRule>
  </conditionalFormatting>
  <conditionalFormatting sqref="AG57">
    <cfRule type="cellIs" dxfId="809" priority="29" operator="lessThan">
      <formula>0.8</formula>
    </cfRule>
  </conditionalFormatting>
  <conditionalFormatting sqref="O68">
    <cfRule type="cellIs" dxfId="808" priority="21" operator="greaterThan">
      <formula>0</formula>
    </cfRule>
  </conditionalFormatting>
  <conditionalFormatting sqref="P68 AE68">
    <cfRule type="cellIs" dxfId="807" priority="24" operator="lessThan">
      <formula>0</formula>
    </cfRule>
  </conditionalFormatting>
  <conditionalFormatting sqref="Q68 AF68">
    <cfRule type="cellIs" dxfId="806" priority="22" operator="greaterThan">
      <formula>1</formula>
    </cfRule>
    <cfRule type="cellIs" dxfId="805" priority="23" operator="lessThan">
      <formula>0.8</formula>
    </cfRule>
  </conditionalFormatting>
  <conditionalFormatting sqref="R68 AG68">
    <cfRule type="cellIs" dxfId="804" priority="25" operator="lessThan">
      <formula>0.8</formula>
    </cfRule>
  </conditionalFormatting>
  <conditionalFormatting sqref="O19">
    <cfRule type="cellIs" dxfId="803" priority="16" operator="greaterThan">
      <formula>0</formula>
    </cfRule>
  </conditionalFormatting>
  <conditionalFormatting sqref="P19">
    <cfRule type="cellIs" dxfId="802" priority="19" operator="lessThan">
      <formula>0</formula>
    </cfRule>
  </conditionalFormatting>
  <conditionalFormatting sqref="Q19">
    <cfRule type="cellIs" dxfId="801" priority="17" operator="greaterThan">
      <formula>1</formula>
    </cfRule>
    <cfRule type="cellIs" dxfId="800" priority="18" operator="lessThan">
      <formula>0.8</formula>
    </cfRule>
  </conditionalFormatting>
  <conditionalFormatting sqref="AG19 R19">
    <cfRule type="cellIs" dxfId="799" priority="20" operator="lessThan">
      <formula>0.8</formula>
    </cfRule>
  </conditionalFormatting>
  <conditionalFormatting sqref="O20:O21">
    <cfRule type="cellIs" dxfId="798" priority="11" operator="greaterThan">
      <formula>0</formula>
    </cfRule>
  </conditionalFormatting>
  <conditionalFormatting sqref="P20:P21">
    <cfRule type="cellIs" dxfId="797" priority="14" operator="lessThan">
      <formula>0</formula>
    </cfRule>
  </conditionalFormatting>
  <conditionalFormatting sqref="Q20:Q21">
    <cfRule type="cellIs" dxfId="796" priority="12" operator="greaterThan">
      <formula>1</formula>
    </cfRule>
    <cfRule type="cellIs" dxfId="795" priority="13" operator="lessThan">
      <formula>0.8</formula>
    </cfRule>
  </conditionalFormatting>
  <conditionalFormatting sqref="AG20 R20">
    <cfRule type="cellIs" dxfId="794" priority="15" operator="lessThan">
      <formula>0.8</formula>
    </cfRule>
  </conditionalFormatting>
  <conditionalFormatting sqref="P9">
    <cfRule type="cellIs" dxfId="793" priority="10" operator="lessThan">
      <formula>0</formula>
    </cfRule>
  </conditionalFormatting>
  <conditionalFormatting sqref="P22">
    <cfRule type="cellIs" dxfId="792" priority="9" operator="lessThan">
      <formula>0</formula>
    </cfRule>
  </conditionalFormatting>
  <conditionalFormatting sqref="P34">
    <cfRule type="cellIs" dxfId="791" priority="8" operator="lessThan">
      <formula>0</formula>
    </cfRule>
  </conditionalFormatting>
  <conditionalFormatting sqref="P40">
    <cfRule type="cellIs" dxfId="790" priority="7" operator="lessThan">
      <formula>0</formula>
    </cfRule>
  </conditionalFormatting>
  <conditionalFormatting sqref="P58">
    <cfRule type="cellIs" dxfId="789" priority="6" operator="lessThan">
      <formula>0</formula>
    </cfRule>
  </conditionalFormatting>
  <conditionalFormatting sqref="P66">
    <cfRule type="cellIs" dxfId="788" priority="5" operator="lessThan">
      <formula>0</formula>
    </cfRule>
  </conditionalFormatting>
  <conditionalFormatting sqref="P71">
    <cfRule type="cellIs" dxfId="787" priority="4" operator="lessThan">
      <formula>0</formula>
    </cfRule>
  </conditionalFormatting>
  <conditionalFormatting sqref="P77">
    <cfRule type="cellIs" dxfId="786" priority="3" operator="lessThan">
      <formula>0</formula>
    </cfRule>
  </conditionalFormatting>
  <conditionalFormatting sqref="AG21 R21">
    <cfRule type="cellIs" dxfId="785" priority="2" operator="lessThan">
      <formula>0.8</formula>
    </cfRule>
  </conditionalFormatting>
  <conditionalFormatting sqref="AG32 R32">
    <cfRule type="cellIs" dxfId="784" priority="1" operator="lessThan">
      <formula>0.8</formula>
    </cfRule>
  </conditionalFormatting>
  <dataValidations count="1">
    <dataValidation type="list" allowBlank="1" showInputMessage="1" showErrorMessage="1" sqref="AB9 AA5:AB8 AA9:AA70 AB11:AB67 AA71:AB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793</v>
      </c>
      <c r="C3" s="478" t="str">
        <f>TEXT('0109 4度C'!A2,"yyyy.mm.ddaaaa")</f>
        <v>2026.01.09星期五</v>
      </c>
      <c r="D3" s="479"/>
      <c r="E3" s="56" t="s">
        <v>794</v>
      </c>
      <c r="F3" s="480">
        <f>'0109 4度C'!D1</f>
        <v>134244</v>
      </c>
      <c r="G3" s="481"/>
      <c r="H3" s="56" t="s">
        <v>795</v>
      </c>
      <c r="I3" s="482">
        <f>'0109 4度C'!F1</f>
        <v>4695948.129999999</v>
      </c>
      <c r="J3" s="483"/>
      <c r="K3" s="57"/>
      <c r="L3" s="58"/>
      <c r="M3" s="59"/>
      <c r="N3" s="59"/>
    </row>
    <row r="4" spans="2:17" ht="28.5" customHeight="1">
      <c r="B4" s="484" t="s">
        <v>796</v>
      </c>
      <c r="C4" s="470" t="s">
        <v>797</v>
      </c>
      <c r="D4" s="471"/>
      <c r="E4" s="487" t="s">
        <v>798</v>
      </c>
      <c r="F4" s="488"/>
      <c r="G4" s="487" t="s">
        <v>799</v>
      </c>
      <c r="H4" s="488"/>
      <c r="I4" s="487" t="s">
        <v>800</v>
      </c>
      <c r="J4" s="488"/>
      <c r="K4" s="468" t="s">
        <v>801</v>
      </c>
      <c r="L4" s="469"/>
      <c r="M4" s="469" t="s">
        <v>802</v>
      </c>
      <c r="N4" s="469"/>
    </row>
    <row r="5" spans="2:17" ht="28.5" customHeight="1">
      <c r="B5" s="485"/>
      <c r="C5" s="470" t="s">
        <v>803</v>
      </c>
      <c r="D5" s="471"/>
      <c r="E5" s="470" t="s">
        <v>804</v>
      </c>
      <c r="F5" s="471"/>
      <c r="G5" s="472" t="s">
        <v>805</v>
      </c>
      <c r="H5" s="473"/>
      <c r="I5" s="474" t="s">
        <v>806</v>
      </c>
      <c r="J5" s="475"/>
      <c r="K5" s="60" t="s">
        <v>807</v>
      </c>
      <c r="L5" s="61" t="s">
        <v>176</v>
      </c>
      <c r="M5" s="60" t="s">
        <v>807</v>
      </c>
      <c r="N5" s="61" t="s">
        <v>537</v>
      </c>
    </row>
    <row r="6" spans="2:17" ht="28.5" customHeight="1">
      <c r="B6" s="485"/>
      <c r="C6" s="470" t="s">
        <v>144</v>
      </c>
      <c r="D6" s="471"/>
      <c r="E6" s="462">
        <f>AVERAGE(D13:M13)</f>
        <v>145.32220304796277</v>
      </c>
      <c r="F6" s="463">
        <f>AVERAGE(D31:O31,D13:J13)</f>
        <v>148.18678816629637</v>
      </c>
      <c r="G6" s="464">
        <f>AVERAGE(D13:J13)</f>
        <v>148.18678816629637</v>
      </c>
      <c r="H6" s="465"/>
      <c r="I6" s="464">
        <f>AVERAGE(K13:M13)</f>
        <v>138.63817110518434</v>
      </c>
      <c r="J6" s="465"/>
      <c r="K6" s="466">
        <f>'0109 4度C'!Y2</f>
        <v>0</v>
      </c>
      <c r="L6" s="451">
        <f>'0109 4度C'!Z2</f>
        <v>0</v>
      </c>
      <c r="M6" s="467">
        <f>'0109 4度C'!AC2</f>
        <v>31</v>
      </c>
      <c r="N6" s="451">
        <f>'0109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138.85989109835708</v>
      </c>
      <c r="F7" s="455">
        <f>AVERAGE(D32:O32,D14:J14)</f>
        <v>141.64723964182519</v>
      </c>
      <c r="G7" s="456">
        <f>AVERAGE(D14:J14)</f>
        <v>141.64723964182519</v>
      </c>
      <c r="H7" s="457"/>
      <c r="I7" s="456">
        <f>AVERAGE(K14:M14)</f>
        <v>132.35607783026487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0.95447268248631489</v>
      </c>
      <c r="F8" s="459">
        <f>AVERAGE(D15:J15,D33:O33)</f>
        <v>0.95440056496479886</v>
      </c>
      <c r="G8" s="460">
        <f>AVERAGE(D15:J15)</f>
        <v>0.95440056496479886</v>
      </c>
      <c r="H8" s="461"/>
      <c r="I8" s="460">
        <f>AVERAGE(K15:M15)</f>
        <v>0.95464095670318583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808</v>
      </c>
      <c r="N9" s="59"/>
      <c r="O9" s="59"/>
      <c r="P9" s="59"/>
      <c r="Q9" s="59"/>
    </row>
    <row r="10" spans="2:17" ht="30" customHeight="1">
      <c r="B10" s="434" t="s">
        <v>809</v>
      </c>
      <c r="C10" s="435"/>
      <c r="D10" s="436" t="s">
        <v>810</v>
      </c>
      <c r="E10" s="437"/>
      <c r="F10" s="437"/>
      <c r="G10" s="437"/>
      <c r="H10" s="437"/>
      <c r="I10" s="437"/>
      <c r="J10" s="438"/>
      <c r="K10" s="439" t="s">
        <v>811</v>
      </c>
      <c r="L10" s="440"/>
      <c r="M10" s="441"/>
      <c r="P10" s="65"/>
      <c r="Q10" s="65"/>
    </row>
    <row r="11" spans="2:17" ht="17.25" customHeight="1">
      <c r="B11" s="442" t="s">
        <v>182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812</v>
      </c>
      <c r="C13" s="72" t="s">
        <v>813</v>
      </c>
      <c r="D13" s="73">
        <f>SUMIFS('0109 4度C'!$K:$K,'0109 4度C'!$A:$A,"新豐6線",'0109 4度C'!$B:$B,"平均")</f>
        <v>111.11111111111111</v>
      </c>
      <c r="E13" s="74">
        <f>SUMIFS('0109 4度C'!$K:$K,'0109 4度C'!$A:$A,"新豐2線",'0109 4度C'!$B:$B,"平均")</f>
        <v>83.333333333333329</v>
      </c>
      <c r="F13" s="75">
        <f>SUMIFS('0109 4度C'!$K:$K,'0109 4度C'!$A:$A,"新豐5線",'0109 4度C'!$B:$B,"平均")</f>
        <v>109.99999999999999</v>
      </c>
      <c r="G13" s="75">
        <f>SUMIFS('0109 4度C'!$K:$K,'0109 4度C'!$A:$A,"新豐7線",'0109 4度C'!$B:$B,"平均")</f>
        <v>114.75409836065573</v>
      </c>
      <c r="H13" s="75">
        <f>SUMIFS('0109 4度C'!$K:$K,'0109 4度C'!$A:$A,"新豐3線",'0109 4度C'!$B:$B,"平均")</f>
        <v>260.41666666666669</v>
      </c>
      <c r="I13" s="75">
        <f>SUMIFS('0109 4度C'!$K:$K,'0109 4度C'!$A:$A,"新豐1線",'0109 4度C'!$B:$B,"平均")</f>
        <v>107.69230769230768</v>
      </c>
      <c r="J13" s="76">
        <f>SUMIFS('0109 4度C'!$K:$K,'0109 4度C'!$A:$A,"新豐10線",'0109 4度C'!$B:$B,"平均")</f>
        <v>250</v>
      </c>
      <c r="K13" s="77">
        <f>SUMIFS('0109 4度C'!$K:$K,'0109 4度C'!$A:$A,"新豐8線",'0109 4度C'!$B:$B,"平均")</f>
        <v>131.86813186813188</v>
      </c>
      <c r="L13" s="78">
        <f>SUMIFS('0109 4度C'!$K:$K,'0109 4度C'!$A:$A,"新豐9線",'0109 4度C'!$B:$B,"平均")</f>
        <v>137.70491803278691</v>
      </c>
      <c r="M13" s="76">
        <f>SUMIFS('0109 4度C'!$K:$K,'0109 4度C'!$A:$A,"新豐4線",'0109 4度C'!$B:$B,"平均")</f>
        <v>146.34146341463415</v>
      </c>
    </row>
    <row r="14" spans="2:17" ht="39.6" customHeight="1">
      <c r="B14" s="447"/>
      <c r="C14" s="79" t="s">
        <v>814</v>
      </c>
      <c r="D14" s="80">
        <f>SUMIFS('0109 4度C'!$N:$N,'0109 4度C'!$A:$A,"新豐6線",'0109 4度C'!$B:$B,"平均")</f>
        <v>106.94740142108557</v>
      </c>
      <c r="E14" s="81">
        <f>SUMIFS('0109 4度C'!$N:$N,'0109 4度C'!$A:$A,"新豐2線",'0109 4度C'!$B:$B,"平均")</f>
        <v>79.669768866930909</v>
      </c>
      <c r="F14" s="81">
        <f>SUMIFS('0109 4度C'!$N:$N,'0109 4度C'!$A:$A,"新豐5線",'0109 4度C'!$B:$B,"平均")</f>
        <v>105.46221672555771</v>
      </c>
      <c r="G14" s="81">
        <f>SUMIFS('0109 4度C'!$N:$N,'0109 4度C'!$A:$A,"新豐7線",'0109 4度C'!$B:$B,"平均")</f>
        <v>109.91707908996869</v>
      </c>
      <c r="H14" s="81">
        <f>SUMIFS('0109 4度C'!$N:$N,'0109 4度C'!$A:$A,"新豐3線",'0109 4度C'!$B:$B,"平均")</f>
        <v>249.30990564825495</v>
      </c>
      <c r="I14" s="81">
        <f>SUMIFS('0109 4度C'!$N:$N,'0109 4度C'!$A:$A,"新豐1線",'0109 4度C'!$B:$B,"平均")</f>
        <v>99.777734768091662</v>
      </c>
      <c r="J14" s="82">
        <f>SUMIFS('0109 4度C'!$N:$N,'0109 4度C'!$A:$A,"新豐10線",'0109 4度C'!$B:$B,"平均")</f>
        <v>240.44657097288675</v>
      </c>
      <c r="K14" s="83">
        <f>SUMIFS('0109 4度C'!$N:$N,'0109 4度C'!$A:$A,"新豐8線",'0109 4度C'!$B:$B,"平均")</f>
        <v>126.07990224061651</v>
      </c>
      <c r="L14" s="84">
        <f>SUMIFS('0109 4度C'!$N:$N,'0109 4度C'!$A:$A,"新豐9線",'0109 4度C'!$B:$B,"平均")</f>
        <v>130.81447845355362</v>
      </c>
      <c r="M14" s="82">
        <f>SUMIFS('0109 4度C'!$N:$N,'0109 4度C'!$A:$A,"新豐4線",'0109 4度C'!$B:$B,"平均")</f>
        <v>140.17385279662443</v>
      </c>
    </row>
    <row r="15" spans="2:17" ht="40.15" customHeight="1">
      <c r="B15" s="448"/>
      <c r="C15" s="85" t="s">
        <v>815</v>
      </c>
      <c r="D15" s="86">
        <f t="shared" ref="D15:M15" si="0">D14/D13</f>
        <v>0.96252661278977014</v>
      </c>
      <c r="E15" s="87">
        <f t="shared" si="0"/>
        <v>0.95603722640317101</v>
      </c>
      <c r="F15" s="87">
        <f t="shared" si="0"/>
        <v>0.95874742477779751</v>
      </c>
      <c r="G15" s="87">
        <f t="shared" si="0"/>
        <v>0.95784883206972726</v>
      </c>
      <c r="H15" s="87">
        <f t="shared" si="0"/>
        <v>0.95735003768929894</v>
      </c>
      <c r="I15" s="87">
        <f t="shared" si="0"/>
        <v>0.92650753713227985</v>
      </c>
      <c r="J15" s="88">
        <f t="shared" si="0"/>
        <v>0.96178628389154697</v>
      </c>
      <c r="K15" s="86">
        <f t="shared" si="0"/>
        <v>0.95610592532467509</v>
      </c>
      <c r="L15" s="87">
        <f t="shared" si="0"/>
        <v>0.9499622840079488</v>
      </c>
      <c r="M15" s="88">
        <f t="shared" si="0"/>
        <v>0.9578546607769336</v>
      </c>
    </row>
    <row r="16" spans="2:17" ht="17.25" customHeight="1">
      <c r="B16" s="449" t="s">
        <v>816</v>
      </c>
      <c r="C16" s="89" t="s">
        <v>635</v>
      </c>
      <c r="D16" s="90">
        <f>VLOOKUP("新豐6線",'0109 4度C'!$A:$T,19,0)</f>
        <v>0.70833333333333337</v>
      </c>
      <c r="E16" s="91">
        <f>VLOOKUP("新豐2線",'0109 4度C'!$A:$T,19,0)</f>
        <v>0.16666666666666666</v>
      </c>
      <c r="F16" s="91">
        <f>VLOOKUP("新豐5線",'0109 4度C'!$A:$T,19,0)</f>
        <v>0.20833333333333334</v>
      </c>
      <c r="G16" s="91">
        <f>VLOOKUP("新豐7線",'0109 4度C'!$A:$T,19,0)</f>
        <v>0.20833333333333334</v>
      </c>
      <c r="H16" s="91">
        <f>VLOOKUP("新豐3線",'0109 4度C'!$A:$T,19,0)</f>
        <v>8.3333333333333329E-2</v>
      </c>
      <c r="I16" s="91">
        <f>VLOOKUP("新豐1線",'0109 4度C'!$A:$T,19,0)</f>
        <v>0.20833333333333334</v>
      </c>
      <c r="J16" s="92">
        <f>VLOOKUP("新豐10線",'0109 4度C'!$A:$T,19,0)</f>
        <v>0.20833333333333334</v>
      </c>
      <c r="K16" s="93">
        <f>VLOOKUP("新豐8線",'0109 4度C'!$A:$T,19,0)</f>
        <v>8.3333333333333329E-2</v>
      </c>
      <c r="L16" s="94">
        <f>VLOOKUP("新豐9線",'0109 4度C'!$A:$T,19,0)</f>
        <v>8.3333333333333329E-2</v>
      </c>
      <c r="M16" s="95">
        <f>VLOOKUP("新豐4線",'0109 4度C'!$A:$T,19,0)</f>
        <v>8.3333333333333329E-2</v>
      </c>
    </row>
    <row r="17" spans="2:13" ht="17.25" customHeight="1">
      <c r="B17" s="450"/>
      <c r="C17" s="89" t="s">
        <v>817</v>
      </c>
      <c r="D17" s="93">
        <f>LOOKUP(2,1/(('0109 4度C'!$A:$A="新豐6線")*('0109 4度C'!$T:$T&lt;&gt;"")),'0109 4度C'!$T:$T)</f>
        <v>0.83125000000000004</v>
      </c>
      <c r="E17" s="91">
        <f>LOOKUP(2,1/(('0109 4度C'!$A:$A="新豐2線")*('0109 4度C'!$T:$T&lt;&gt;"")),'0109 4度C'!$T:$T)</f>
        <v>0.37361111111111112</v>
      </c>
      <c r="F17" s="91">
        <f>LOOKUP(2,1/(('0109 4度C'!$A:$A="新豐5線")*('0109 4度C'!$T:$T&lt;&gt;"")),'0109 4度C'!$T:$T)</f>
        <v>0.92847222222222214</v>
      </c>
      <c r="G17" s="91">
        <f>LOOKUP(2,1/(('0109 4度C'!$A:$A="新豐7線")*('0109 4度C'!$T:$T&lt;&gt;"")),'0109 4度C'!$T:$T)</f>
        <v>0.9493055555555554</v>
      </c>
      <c r="H17" s="91">
        <f>LOOKUP(2,1/(('0109 4度C'!$A:$A="新豐3線")*('0109 4度C'!$T:$T&lt;&gt;"")),'0109 4度C'!$T:$T)</f>
        <v>0.49930555555555539</v>
      </c>
      <c r="I17" s="91">
        <f>LOOKUP(2,1/(('0109 4度C'!$A:$A="新豐1線")*('0109 4度C'!$T:$T&lt;&gt;"")),'0109 4度C'!$T:$T)</f>
        <v>0.81527777777777777</v>
      </c>
      <c r="J17" s="92">
        <f>LOOKUP(2,1/(('0109 4度C'!$A:$A="新豐10線")*('0109 4度C'!$T:$T&lt;&gt;"")),'0109 4度C'!$T:$T)</f>
        <v>0.39791666666666664</v>
      </c>
      <c r="K17" s="90">
        <f>LOOKUP(2,1/(('0109 4度C'!$A:$A="新豐8線")*('0109 4度C'!$T:$T&lt;&gt;"")),'0109 4度C'!$T:$T)</f>
        <v>0.46944444444444439</v>
      </c>
      <c r="L17" s="91">
        <f>LOOKUP(2,1/(('0109 4度C'!$A:$A="新豐9線")*('0109 4度C'!$T:$T&lt;&gt;"")),'0109 4度C'!$T:$T)</f>
        <v>0.41250000000000003</v>
      </c>
      <c r="M17" s="92">
        <f>LOOKUP(2,1/(('0109 4度C'!$A:$A="新豐4線")*('0109 4度C'!$T:$T&lt;&gt;"")),'0109 4度C'!$T:$T)</f>
        <v>0.46597222222222223</v>
      </c>
    </row>
    <row r="18" spans="2:13" ht="17.25" customHeight="1">
      <c r="B18" s="428" t="s">
        <v>637</v>
      </c>
      <c r="C18" s="96" t="s">
        <v>818</v>
      </c>
      <c r="D18" s="97">
        <f>SUMIFS('0109 4度C'!$Y:$Y,'0109 4度C'!$A:$A,"新豐6線",'0109 4度C'!$B:$B,"平均")</f>
        <v>0</v>
      </c>
      <c r="E18" s="98">
        <f>SUMIFS('0109 4度C'!$Y:$Y,'0109 4度C'!$A:$A,"新豐2線",'0109 4度C'!$B:$B,"平均")</f>
        <v>0</v>
      </c>
      <c r="F18" s="98">
        <f>SUMIFS('0109 4度C'!$Y:$Y,'0109 4度C'!$A:$A,"新豐5線",'0109 4度C'!$B:$B,"平均")</f>
        <v>0</v>
      </c>
      <c r="G18" s="98">
        <f>SUMIFS('0109 4度C'!$Y:$Y,'0109 4度C'!$A:$A,"新豐7線",'0109 4度C'!$B:$B,"平均")</f>
        <v>0</v>
      </c>
      <c r="H18" s="98">
        <f>SUMIFS('0109 4度C'!$Y:$Y,'0109 4度C'!$A:$A,"新豐3線",'0109 4度C'!$B:$B,"平均")</f>
        <v>0</v>
      </c>
      <c r="I18" s="98">
        <f>SUMIFS('0109 4度C'!$Y:$Y,'0109 4度C'!$A:$A,"新豐1線",'0109 4度C'!$B:$B,"平均")</f>
        <v>0</v>
      </c>
      <c r="J18" s="99">
        <f>SUMIFS('0109 4度C'!$Y:$Y,'0109 4度C'!$A:$A,"新豐10線",'0109 4度C'!$B:$B,"平均")</f>
        <v>0</v>
      </c>
      <c r="K18" s="100">
        <f>SUMIFS('0109 4度C'!$Y:$Y,'0109 4度C'!$A:$A,"新豐8線",'0109 4度C'!$B:$B,"平均")</f>
        <v>0</v>
      </c>
      <c r="L18" s="98">
        <f>SUMIFS('0109 4度C'!$Y:$Y,'0109 4度C'!$A:$A,"新豐9線",'0109 4度C'!$B:$B,"平均")</f>
        <v>0</v>
      </c>
      <c r="M18" s="99">
        <f>SUMIFS('0109 4度C'!$Y:$Y,'0109 4度C'!$A:$A,"新豐4線",'0109 4度C'!$B:$B,"平均")</f>
        <v>0</v>
      </c>
    </row>
    <row r="19" spans="2:13" ht="17.25" customHeight="1">
      <c r="B19" s="429"/>
      <c r="C19" s="96" t="s">
        <v>819</v>
      </c>
      <c r="D19" s="97">
        <f>SUMIFS('0109 4度C'!$Z:$Z,'0109 4度C'!$A:$A,"新豐6線",'0109 4度C'!$B:$B,"平均")</f>
        <v>0</v>
      </c>
      <c r="E19" s="98">
        <f>SUMIFS('0109 4度C'!$Z:$Z,'0109 4度C'!$A:$A,"新豐2線",'0109 4度C'!$B:$B,"平均")</f>
        <v>0</v>
      </c>
      <c r="F19" s="98">
        <f>SUMIFS('0109 4度C'!$Z:$Z,'0109 4度C'!$A:$A,"新豐5線",'0109 4度C'!$B:$B,"平均")</f>
        <v>0</v>
      </c>
      <c r="G19" s="98">
        <f>SUMIFS('0109 4度C'!$Z:$Z,'0109 4度C'!$A:$A,"新豐7線",'0109 4度C'!$B:$B,"平均")</f>
        <v>0</v>
      </c>
      <c r="H19" s="98">
        <f>SUMIFS('0109 4度C'!$Z:$Z,'0109 4度C'!$A:$A,"新豐3線",'0109 4度C'!$B:$B,"平均")</f>
        <v>0</v>
      </c>
      <c r="I19" s="98">
        <f>SUMIFS('0109 4度C'!$Z:$Z,'0109 4度C'!$A:$A,"新豐1線",'0109 4度C'!$B:$B,"平均")</f>
        <v>0</v>
      </c>
      <c r="J19" s="99">
        <f>SUMIFS('0109 4度C'!$Z:$Z,'0109 4度C'!$A:$A,"新豐10線",'0109 4度C'!$B:$B,"平均")</f>
        <v>0</v>
      </c>
      <c r="K19" s="100">
        <f>SUMIFS('0109 4度C'!$Z:$Z,'0109 4度C'!$A:$A,"新豐8線",'0109 4度C'!$B:$B,"平均")</f>
        <v>0</v>
      </c>
      <c r="L19" s="98">
        <f>SUMIFS('0109 4度C'!$Z:$Z,'0109 4度C'!$A:$A,"新豐9線",'0109 4度C'!$B:$B,"平均")</f>
        <v>0</v>
      </c>
      <c r="M19" s="99">
        <f>SUMIFS('0109 4度C'!$Z:$Z,'0109 4度C'!$A:$A,"新豐4線",'0109 4度C'!$B:$B,"平均")</f>
        <v>0</v>
      </c>
    </row>
    <row r="20" spans="2:13" ht="17.25" customHeight="1">
      <c r="B20" s="428" t="s">
        <v>820</v>
      </c>
      <c r="C20" s="96" t="s">
        <v>821</v>
      </c>
      <c r="D20" s="97">
        <f>SUMIFS('0109 4度C'!$AC:$AC,'0109 4度C'!$A:$A,"新豐6線",'0109 4度C'!$B:$B,"平均")</f>
        <v>1</v>
      </c>
      <c r="E20" s="98">
        <f>SUMIFS('0109 4度C'!$AC:$AC,'0109 4度C'!$A:$A,"新豐2線",'0109 4度C'!$B:$B,"平均")</f>
        <v>2</v>
      </c>
      <c r="F20" s="98">
        <f>SUMIFS('0109 4度C'!$AC:$AC,'0109 4度C'!$A:$A,"新豐5線",'0109 4度C'!$B:$B,"平均")</f>
        <v>3</v>
      </c>
      <c r="G20" s="98">
        <f>SUMIFS('0109 4度C'!$AC:$AC,'0109 4度C'!$A:$A,"新豐7線",'0109 4度C'!$B:$B,"平均")</f>
        <v>4</v>
      </c>
      <c r="H20" s="98">
        <f>SUMIFS('0109 4度C'!$AC:$AC,'0109 4度C'!$A:$A,"新豐3線",'0109 4度C'!$B:$B,"平均")</f>
        <v>1</v>
      </c>
      <c r="I20" s="98">
        <f>SUMIFS('0109 4度C'!$AC:$AC,'0109 4度C'!$A:$A,"新豐1線",'0109 4度C'!$B:$B,"平均")</f>
        <v>3</v>
      </c>
      <c r="J20" s="99">
        <f>SUMIFS('0109 4度C'!$AC:$AC,'0109 4度C'!$A:$A,"新豐10線",'0109 4度C'!$B:$B,"平均")</f>
        <v>0</v>
      </c>
      <c r="K20" s="100">
        <f>SUMIFS('0109 4度C'!$AC:$AC,'0109 4度C'!$A:$A,"新豐8線",'0109 4度C'!$B:$B,"平均")</f>
        <v>6</v>
      </c>
      <c r="L20" s="98">
        <f>SUMIFS('0109 4度C'!$AC:$AC,'0109 4度C'!$A:$A,"新豐9線",'0109 4度C'!$B:$B,"平均")</f>
        <v>5</v>
      </c>
      <c r="M20" s="99">
        <f>SUMIFS('0109 4度C'!$AC:$AC,'0109 4度C'!$A:$A,"新豐4線",'0109 4度C'!$B:$B,"平均")</f>
        <v>6</v>
      </c>
    </row>
    <row r="21" spans="2:13" ht="17.25" customHeight="1">
      <c r="B21" s="429"/>
      <c r="C21" s="96" t="s">
        <v>822</v>
      </c>
      <c r="D21" s="97">
        <f>SUMIFS('0109 4度C'!$AD:$AD,'0109 4度C'!$A:$A,"新豐6線",'0109 4度C'!$B:$B,"平均")</f>
        <v>0</v>
      </c>
      <c r="E21" s="98">
        <f>SUMIFS('0109 4度C'!$AD:$AD,'0109 4度C'!$A:$A,"新豐2線",'0109 4度C'!$B:$B,"平均")</f>
        <v>0</v>
      </c>
      <c r="F21" s="98">
        <f>SUMIFS('0109 4度C'!$AD:$AD,'0109 4度C'!$A:$A,"新豐5線",'0109 4度C'!$B:$B,"平均")</f>
        <v>0</v>
      </c>
      <c r="G21" s="98">
        <f>SUMIFS('0109 4度C'!$AD:$AD,'0109 4度C'!$A:$A,"新豐7線",'0109 4度C'!$B:$B,"平均")</f>
        <v>0</v>
      </c>
      <c r="H21" s="98">
        <f>SUMIFS('0109 4度C'!$AD:$AD,'0109 4度C'!$A:$A,"新豐3線",'0109 4度C'!$B:$B,"平均")</f>
        <v>0</v>
      </c>
      <c r="I21" s="98">
        <f>SUMIFS('0109 4度C'!$AD:$AD,'0109 4度C'!$A:$A,"新豐1線",'0109 4度C'!$B:$B,"平均")</f>
        <v>0</v>
      </c>
      <c r="J21" s="99">
        <f>SUMIFS('0109 4度C'!$AD:$AD,'0109 4度C'!$A:$A,"新豐10線",'0109 4度C'!$B:$B,"平均")</f>
        <v>0</v>
      </c>
      <c r="K21" s="100">
        <f>SUMIFS('0109 4度C'!$AD:$AD,'0109 4度C'!$A:$A,"新豐8線",'0109 4度C'!$B:$B,"平均")</f>
        <v>0</v>
      </c>
      <c r="L21" s="98">
        <f>SUMIFS('0109 4度C'!$AD:$AD,'0109 4度C'!$A:$A,"新豐9線",'0109 4度C'!$B:$B,"平均")</f>
        <v>0</v>
      </c>
      <c r="M21" s="99">
        <f>SUMIFS('0109 4度C'!$AD:$AD,'0109 4度C'!$A:$A,"新豐4線",'0109 4度C'!$B:$B,"平均")</f>
        <v>0</v>
      </c>
    </row>
    <row r="22" spans="2:13" ht="17.25" customHeight="1">
      <c r="B22" s="430" t="s">
        <v>823</v>
      </c>
      <c r="C22" s="431"/>
      <c r="D22" s="101">
        <f>SUMIFS('0109 4度C'!$I:$I,'0109 4度C'!$A:$A,"新豐6線",'0109 4度C'!$B:$B,"平均")</f>
        <v>18</v>
      </c>
      <c r="E22" s="102">
        <f>SUMIFS('0109 4度C'!$I:$I,'0109 4度C'!$A:$A,"新豐2線",'0109 4度C'!$B:$B,"平均")</f>
        <v>18</v>
      </c>
      <c r="F22" s="102">
        <f>SUMIFS('0109 4度C'!$I:$I,'0109 4度C'!$A:$A,"新豐5線",'0109 4度C'!$B:$B,"平均")</f>
        <v>16.666666666666668</v>
      </c>
      <c r="G22" s="102">
        <f>SUMIFS('0109 4度C'!$I:$I,'0109 4度C'!$A:$A,"新豐7線",'0109 4度C'!$B:$B,"平均")</f>
        <v>16.636363636363637</v>
      </c>
      <c r="H22" s="102">
        <f>SUMIFS('0109 4度C'!$I:$I,'0109 4度C'!$A:$A,"新豐3線",'0109 4度C'!$B:$B,"平均")</f>
        <v>10.666666666666666</v>
      </c>
      <c r="I22" s="102">
        <f>SUMIFS('0109 4度C'!$I:$I,'0109 4度C'!$A:$A,"新豐1線",'0109 4度C'!$B:$B,"平均")</f>
        <v>18.571428571428573</v>
      </c>
      <c r="J22" s="103">
        <f>SUMIFS('0109 4度C'!$I:$I,'0109 4度C'!$A:$A,"新豐10線",'0109 4度C'!$B:$B,"平均")</f>
        <v>9</v>
      </c>
      <c r="K22" s="101">
        <f>SUMIFS('0109 4度C'!$I:$I,'0109 4度C'!$A:$A,"新豐8線",'0109 4度C'!$B:$B,"平均")</f>
        <v>18.2</v>
      </c>
      <c r="L22" s="102">
        <f>SUMIFS('0109 4度C'!$I:$I,'0109 4度C'!$A:$A,"新豐9線",'0109 4度C'!$B:$B,"平均")</f>
        <v>17.428571428571427</v>
      </c>
      <c r="M22" s="103">
        <f>SUMIFS('0109 4度C'!$I:$I,'0109 4度C'!$A:$A,"新豐4線",'0109 4度C'!$B:$B,"平均")</f>
        <v>16.399999999999999</v>
      </c>
    </row>
    <row r="23" spans="2:13" ht="17.25" customHeight="1">
      <c r="B23" s="430" t="s">
        <v>761</v>
      </c>
      <c r="C23" s="431"/>
      <c r="D23" s="104" t="s">
        <v>157</v>
      </c>
      <c r="E23" s="105" t="s">
        <v>158</v>
      </c>
      <c r="F23" s="105" t="s">
        <v>824</v>
      </c>
      <c r="G23" s="105" t="s">
        <v>825</v>
      </c>
      <c r="H23" s="105" t="s">
        <v>159</v>
      </c>
      <c r="I23" s="105" t="s">
        <v>157</v>
      </c>
      <c r="J23" s="106" t="s">
        <v>159</v>
      </c>
      <c r="K23" s="104" t="s">
        <v>826</v>
      </c>
      <c r="L23" s="105" t="s">
        <v>826</v>
      </c>
      <c r="M23" s="106" t="s">
        <v>826</v>
      </c>
    </row>
    <row r="24" spans="2:13" ht="17.25" customHeight="1">
      <c r="B24" s="430" t="s">
        <v>827</v>
      </c>
      <c r="C24" s="431"/>
      <c r="D24" s="104"/>
      <c r="E24" s="105"/>
      <c r="F24" s="105" t="s">
        <v>828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202</v>
      </c>
      <c r="C25" s="433"/>
      <c r="D25" s="107"/>
      <c r="E25" s="108" t="s">
        <v>829</v>
      </c>
      <c r="F25" s="426" t="s">
        <v>830</v>
      </c>
      <c r="G25" s="427"/>
      <c r="H25" s="108" t="s">
        <v>831</v>
      </c>
      <c r="I25" s="108" t="s">
        <v>832</v>
      </c>
      <c r="J25" s="109" t="s">
        <v>833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8"/>
  <sheetViews>
    <sheetView zoomScale="80" zoomScaleNormal="80" workbookViewId="0">
      <pane ySplit="4" topLeftCell="A58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834</v>
      </c>
      <c r="B1" s="1"/>
      <c r="C1" s="2" t="s">
        <v>835</v>
      </c>
      <c r="D1" s="3">
        <f>SUM(F5:F77)</f>
        <v>134244</v>
      </c>
      <c r="E1" s="159" t="s">
        <v>836</v>
      </c>
      <c r="F1" s="1">
        <f>SUM(G5:G77)</f>
        <v>4695948.129999999</v>
      </c>
      <c r="G1" s="1" t="s">
        <v>3</v>
      </c>
      <c r="H1" s="5">
        <f>L9+L12+L58+L66+L22+L71+L40+L48+L34+L77</f>
        <v>159.56969696969699</v>
      </c>
      <c r="I1" s="542" t="s">
        <v>4</v>
      </c>
      <c r="J1" s="542"/>
      <c r="K1" s="542"/>
      <c r="L1" s="542" t="s">
        <v>837</v>
      </c>
      <c r="M1" s="542"/>
      <c r="N1" s="542"/>
      <c r="O1" s="542" t="s">
        <v>6</v>
      </c>
      <c r="P1" s="542"/>
      <c r="Q1" s="542"/>
      <c r="R1" s="542"/>
      <c r="S1" s="542" t="s">
        <v>838</v>
      </c>
      <c r="T1" s="542"/>
      <c r="U1" s="542"/>
      <c r="V1" s="542"/>
      <c r="W1" s="542"/>
      <c r="X1" s="542"/>
      <c r="Y1" s="6" t="s">
        <v>839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840</v>
      </c>
      <c r="AF1" s="544"/>
      <c r="AG1" s="544"/>
    </row>
    <row r="2" spans="1:33" ht="26.25" customHeight="1">
      <c r="A2" s="49">
        <v>46031</v>
      </c>
      <c r="B2" s="50" t="s">
        <v>269</v>
      </c>
      <c r="C2" s="2" t="s">
        <v>841</v>
      </c>
      <c r="D2" s="10">
        <f>AVERAGE(N9,N12,N58,N66,N22,N71,N34,N40,N48,N77)</f>
        <v>138.85989109835708</v>
      </c>
      <c r="E2" s="11" t="s">
        <v>14</v>
      </c>
      <c r="F2" s="12">
        <f>F1/D1</f>
        <v>34.980692842883101</v>
      </c>
      <c r="G2" s="1" t="s">
        <v>842</v>
      </c>
      <c r="H2" s="171">
        <f>COUNT(H5:H77)</f>
        <v>4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SUM(Y9+Y12+Y22+Y34+Y40+Y48+Y58+Y66+Y71+Y77)</f>
        <v>0</v>
      </c>
      <c r="Z2" s="14">
        <f>SUM(Z9+Z12+Z22+Z34+Z40+Z48+Z58+Z66+Z71+Z77)</f>
        <v>0</v>
      </c>
      <c r="AA2" s="543"/>
      <c r="AB2" s="543"/>
      <c r="AC2" s="157">
        <v>31</v>
      </c>
      <c r="AD2" s="14">
        <f>SUM(AD9+AD12+AD22+AD34+AD40+AD48+AD58+AD66+AD71+AD77)</f>
        <v>0</v>
      </c>
      <c r="AE2" s="544"/>
      <c r="AF2" s="544"/>
      <c r="AG2" s="544"/>
    </row>
    <row r="3" spans="1:33" ht="40.5" customHeight="1">
      <c r="A3" s="491" t="s">
        <v>843</v>
      </c>
      <c r="B3" s="491" t="s">
        <v>844</v>
      </c>
      <c r="C3" s="491" t="s">
        <v>775</v>
      </c>
      <c r="D3" s="491"/>
      <c r="E3" s="540" t="s">
        <v>845</v>
      </c>
      <c r="F3" s="491" t="s">
        <v>776</v>
      </c>
      <c r="G3" s="540" t="s">
        <v>846</v>
      </c>
      <c r="H3" s="533" t="s">
        <v>22</v>
      </c>
      <c r="I3" s="531" t="s">
        <v>278</v>
      </c>
      <c r="J3" s="528" t="s">
        <v>847</v>
      </c>
      <c r="K3" s="538" t="s">
        <v>13</v>
      </c>
      <c r="L3" s="531" t="s">
        <v>848</v>
      </c>
      <c r="M3" s="528" t="s">
        <v>849</v>
      </c>
      <c r="N3" s="538" t="s">
        <v>841</v>
      </c>
      <c r="O3" s="531" t="s">
        <v>278</v>
      </c>
      <c r="P3" s="538" t="s">
        <v>841</v>
      </c>
      <c r="Q3" s="529" t="s">
        <v>25</v>
      </c>
      <c r="R3" s="507" t="s">
        <v>850</v>
      </c>
      <c r="S3" s="539" t="s">
        <v>27</v>
      </c>
      <c r="T3" s="539"/>
      <c r="U3" s="533" t="s">
        <v>28</v>
      </c>
      <c r="V3" s="533" t="s">
        <v>851</v>
      </c>
      <c r="W3" s="491" t="s">
        <v>852</v>
      </c>
      <c r="X3" s="491"/>
      <c r="Y3" s="534" t="s">
        <v>31</v>
      </c>
      <c r="Z3" s="495"/>
      <c r="AA3" s="535" t="s">
        <v>32</v>
      </c>
      <c r="AB3" s="536"/>
      <c r="AC3" s="534" t="s">
        <v>853</v>
      </c>
      <c r="AD3" s="495"/>
      <c r="AE3" s="528" t="s">
        <v>854</v>
      </c>
      <c r="AF3" s="529" t="s">
        <v>855</v>
      </c>
      <c r="AG3" s="507" t="s">
        <v>856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70" t="s">
        <v>37</v>
      </c>
      <c r="T4" s="170" t="s">
        <v>38</v>
      </c>
      <c r="U4" s="533"/>
      <c r="V4" s="533"/>
      <c r="W4" s="159" t="s">
        <v>857</v>
      </c>
      <c r="X4" s="159" t="s">
        <v>292</v>
      </c>
      <c r="Y4" s="162" t="s">
        <v>858</v>
      </c>
      <c r="Z4" s="162" t="s">
        <v>192</v>
      </c>
      <c r="AA4" s="537"/>
      <c r="AB4" s="536"/>
      <c r="AC4" s="162" t="s">
        <v>859</v>
      </c>
      <c r="AD4" s="162" t="s">
        <v>860</v>
      </c>
      <c r="AE4" s="528"/>
      <c r="AF4" s="529"/>
      <c r="AG4" s="507"/>
    </row>
    <row r="5" spans="1:33">
      <c r="A5" s="530" t="s">
        <v>691</v>
      </c>
      <c r="B5" s="42" t="s">
        <v>103</v>
      </c>
      <c r="C5" s="532" t="s">
        <v>120</v>
      </c>
      <c r="D5" s="532"/>
      <c r="E5" s="42">
        <v>50.67</v>
      </c>
      <c r="F5" s="170">
        <v>1225</v>
      </c>
      <c r="G5" s="159">
        <f t="shared" ref="G5:G8" si="0">E5*F5</f>
        <v>62070.75</v>
      </c>
      <c r="H5" s="125" t="s">
        <v>79</v>
      </c>
      <c r="I5" s="168">
        <v>17</v>
      </c>
      <c r="J5" s="37">
        <v>2000</v>
      </c>
      <c r="K5" s="17">
        <f t="shared" ref="K5:K68" si="1">J5/I5</f>
        <v>117.64705882352941</v>
      </c>
      <c r="L5" s="168">
        <v>17</v>
      </c>
      <c r="M5" s="18">
        <f t="shared" ref="M5:M8" si="2">F5/V5*60</f>
        <v>1934.2105263157882</v>
      </c>
      <c r="N5" s="17">
        <f t="shared" ref="N5:N68" si="3">M5/L5</f>
        <v>113.77708978328167</v>
      </c>
      <c r="O5" s="19">
        <f t="shared" ref="O5:O68" si="4">L5-I5</f>
        <v>0</v>
      </c>
      <c r="P5" s="20">
        <f t="shared" ref="P5:P68" si="5">N5-K5</f>
        <v>-3.8699690402477387</v>
      </c>
      <c r="Q5" s="158">
        <f t="shared" ref="Q5:Q68" si="6">N5/K5</f>
        <v>0.96710526315789425</v>
      </c>
      <c r="R5" s="489">
        <f>Q9</f>
        <v>0.96252661278977014</v>
      </c>
      <c r="S5" s="40">
        <v>0.70833333333333337</v>
      </c>
      <c r="T5" s="40">
        <v>0.73472222222222228</v>
      </c>
      <c r="U5" s="159"/>
      <c r="V5" s="169">
        <f t="shared" ref="V5:V8" si="7">(T5-S5)*24*60</f>
        <v>38.000000000000028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-65.789473684211771</v>
      </c>
      <c r="AF5" s="158">
        <f t="shared" ref="AF5:AF68" si="9">M5/J5</f>
        <v>0.96710526315789413</v>
      </c>
      <c r="AG5" s="489">
        <f>AF9</f>
        <v>0.96252661278977014</v>
      </c>
    </row>
    <row r="6" spans="1:33">
      <c r="A6" s="531" t="s">
        <v>691</v>
      </c>
      <c r="B6" s="42" t="s">
        <v>103</v>
      </c>
      <c r="C6" s="532" t="s">
        <v>121</v>
      </c>
      <c r="D6" s="532"/>
      <c r="E6" s="42">
        <v>54.09</v>
      </c>
      <c r="F6" s="170">
        <v>1202</v>
      </c>
      <c r="G6" s="159">
        <f t="shared" si="0"/>
        <v>65016.180000000008</v>
      </c>
      <c r="H6" s="125" t="s">
        <v>79</v>
      </c>
      <c r="I6" s="168">
        <v>19</v>
      </c>
      <c r="J6" s="37">
        <v>2000</v>
      </c>
      <c r="K6" s="17">
        <f t="shared" si="1"/>
        <v>105.26315789473684</v>
      </c>
      <c r="L6" s="168">
        <v>19</v>
      </c>
      <c r="M6" s="18">
        <f t="shared" si="2"/>
        <v>1949.1891891891878</v>
      </c>
      <c r="N6" s="17">
        <f t="shared" si="3"/>
        <v>102.58890469416778</v>
      </c>
      <c r="O6" s="19">
        <f t="shared" si="4"/>
        <v>0</v>
      </c>
      <c r="P6" s="20">
        <f t="shared" si="5"/>
        <v>-2.6742532005690549</v>
      </c>
      <c r="Q6" s="158">
        <f t="shared" si="6"/>
        <v>0.97459459459459397</v>
      </c>
      <c r="R6" s="489"/>
      <c r="S6" s="40">
        <v>0.74027777777777781</v>
      </c>
      <c r="T6" s="40">
        <v>0.76597222222222228</v>
      </c>
      <c r="U6" s="159">
        <f t="shared" ref="U6:U8" si="10">IF(S6=TIME(17,0,0),"",(S6-T5)*24*60)</f>
        <v>7.9999999999999716</v>
      </c>
      <c r="V6" s="169">
        <f t="shared" si="7"/>
        <v>37.000000000000028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-50.8108108108122</v>
      </c>
      <c r="AF6" s="158">
        <f t="shared" si="9"/>
        <v>0.97459459459459385</v>
      </c>
      <c r="AG6" s="489"/>
    </row>
    <row r="7" spans="1:33">
      <c r="A7" s="531" t="s">
        <v>45</v>
      </c>
      <c r="B7" s="42" t="s">
        <v>103</v>
      </c>
      <c r="C7" s="523" t="s">
        <v>515</v>
      </c>
      <c r="D7" s="524"/>
      <c r="E7" s="42">
        <v>50.67</v>
      </c>
      <c r="F7" s="170">
        <v>1331</v>
      </c>
      <c r="G7" s="159">
        <f t="shared" si="0"/>
        <v>67441.77</v>
      </c>
      <c r="H7" s="125" t="s">
        <v>79</v>
      </c>
      <c r="I7" s="168">
        <v>21</v>
      </c>
      <c r="J7" s="37">
        <v>2000</v>
      </c>
      <c r="K7" s="17">
        <f t="shared" si="1"/>
        <v>95.238095238095241</v>
      </c>
      <c r="L7" s="168">
        <v>21</v>
      </c>
      <c r="M7" s="18">
        <f t="shared" si="2"/>
        <v>1901.4285714285706</v>
      </c>
      <c r="N7" s="17">
        <f t="shared" si="3"/>
        <v>90.544217687074791</v>
      </c>
      <c r="O7" s="19">
        <f t="shared" si="4"/>
        <v>0</v>
      </c>
      <c r="P7" s="20">
        <f t="shared" si="5"/>
        <v>-4.6938775510204493</v>
      </c>
      <c r="Q7" s="158">
        <f t="shared" si="6"/>
        <v>0.95071428571428529</v>
      </c>
      <c r="R7" s="489"/>
      <c r="S7" s="40">
        <v>0.77083333333333337</v>
      </c>
      <c r="T7" s="40">
        <v>0.8</v>
      </c>
      <c r="U7" s="159">
        <f t="shared" si="10"/>
        <v>6.9999999999999751</v>
      </c>
      <c r="V7" s="169">
        <f t="shared" si="7"/>
        <v>42.000000000000014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-98.571428571429351</v>
      </c>
      <c r="AF7" s="158">
        <f t="shared" si="9"/>
        <v>0.95071428571428529</v>
      </c>
      <c r="AG7" s="489"/>
    </row>
    <row r="8" spans="1:33">
      <c r="A8" s="531" t="s">
        <v>861</v>
      </c>
      <c r="B8" s="42" t="s">
        <v>103</v>
      </c>
      <c r="C8" s="523" t="s">
        <v>122</v>
      </c>
      <c r="D8" s="524"/>
      <c r="E8" s="42">
        <v>50.29</v>
      </c>
      <c r="F8" s="170">
        <v>1245</v>
      </c>
      <c r="G8" s="159">
        <f t="shared" si="0"/>
        <v>62611.049999999996</v>
      </c>
      <c r="H8" s="125" t="s">
        <v>79</v>
      </c>
      <c r="I8" s="168">
        <v>16</v>
      </c>
      <c r="J8" s="37">
        <v>2000</v>
      </c>
      <c r="K8" s="17">
        <f t="shared" si="1"/>
        <v>125</v>
      </c>
      <c r="L8" s="168">
        <v>16</v>
      </c>
      <c r="M8" s="18">
        <f t="shared" si="2"/>
        <v>1915.3846153846143</v>
      </c>
      <c r="N8" s="17">
        <f t="shared" si="3"/>
        <v>119.7115384615384</v>
      </c>
      <c r="O8" s="19">
        <f t="shared" si="4"/>
        <v>0</v>
      </c>
      <c r="P8" s="20">
        <f t="shared" si="5"/>
        <v>-5.2884615384616041</v>
      </c>
      <c r="Q8" s="158">
        <f t="shared" si="6"/>
        <v>0.95769230769230718</v>
      </c>
      <c r="R8" s="489"/>
      <c r="S8" s="40">
        <v>0.8041666666666667</v>
      </c>
      <c r="T8" s="40">
        <v>0.83125000000000004</v>
      </c>
      <c r="U8" s="159">
        <f t="shared" si="10"/>
        <v>5.9999999999999787</v>
      </c>
      <c r="V8" s="169">
        <f t="shared" si="7"/>
        <v>39.000000000000021</v>
      </c>
      <c r="W8" s="28"/>
      <c r="X8" s="28"/>
      <c r="Y8" s="29"/>
      <c r="Z8" s="29"/>
      <c r="AA8" s="503"/>
      <c r="AB8" s="504"/>
      <c r="AC8" s="155"/>
      <c r="AD8" s="27"/>
      <c r="AE8" s="19">
        <f t="shared" si="8"/>
        <v>-84.615384615385665</v>
      </c>
      <c r="AF8" s="158">
        <f t="shared" si="9"/>
        <v>0.95769230769230718</v>
      </c>
      <c r="AG8" s="489"/>
    </row>
    <row r="9" spans="1:33">
      <c r="A9" s="531" t="s">
        <v>862</v>
      </c>
      <c r="B9" s="42" t="s">
        <v>863</v>
      </c>
      <c r="C9" s="494"/>
      <c r="D9" s="494"/>
      <c r="E9" s="161"/>
      <c r="F9" s="44"/>
      <c r="G9" s="17"/>
      <c r="H9" s="170"/>
      <c r="I9" s="30">
        <v>18</v>
      </c>
      <c r="J9" s="37">
        <v>2000</v>
      </c>
      <c r="K9" s="17">
        <f t="shared" si="1"/>
        <v>111.11111111111111</v>
      </c>
      <c r="L9" s="30">
        <v>18</v>
      </c>
      <c r="M9" s="18">
        <f>AVERAGE(M5:M8)</f>
        <v>1925.0532255795404</v>
      </c>
      <c r="N9" s="17">
        <f t="shared" si="3"/>
        <v>106.94740142108557</v>
      </c>
      <c r="O9" s="19">
        <f t="shared" si="4"/>
        <v>0</v>
      </c>
      <c r="P9" s="20">
        <f t="shared" si="5"/>
        <v>-4.1637096900255415</v>
      </c>
      <c r="Q9" s="158">
        <f t="shared" si="6"/>
        <v>0.96252661278977014</v>
      </c>
      <c r="R9" s="489"/>
      <c r="S9" s="40"/>
      <c r="T9" s="40"/>
      <c r="U9" s="159"/>
      <c r="V9" s="169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v>1</v>
      </c>
      <c r="AD9" s="31">
        <f>SUM(AD5:AD8)</f>
        <v>0</v>
      </c>
      <c r="AE9" s="19">
        <f t="shared" si="8"/>
        <v>-74.946774420459633</v>
      </c>
      <c r="AF9" s="158">
        <f t="shared" si="9"/>
        <v>0.96252661278977014</v>
      </c>
      <c r="AG9" s="489"/>
    </row>
    <row r="10" spans="1:33" ht="15.75" customHeight="1">
      <c r="A10" s="527" t="s">
        <v>864</v>
      </c>
      <c r="B10" s="42" t="s">
        <v>100</v>
      </c>
      <c r="C10" s="523" t="s">
        <v>124</v>
      </c>
      <c r="D10" s="524"/>
      <c r="E10" s="42">
        <v>39.619999999999997</v>
      </c>
      <c r="F10" s="170">
        <v>2465</v>
      </c>
      <c r="G10" s="159">
        <f t="shared" ref="G10:G11" si="11">E10*F10</f>
        <v>97663.299999999988</v>
      </c>
      <c r="H10" s="125" t="s">
        <v>79</v>
      </c>
      <c r="I10" s="168">
        <v>19</v>
      </c>
      <c r="J10" s="37">
        <v>1500</v>
      </c>
      <c r="K10" s="17">
        <f t="shared" si="1"/>
        <v>78.94736842105263</v>
      </c>
      <c r="L10" s="168">
        <v>19</v>
      </c>
      <c r="M10" s="18">
        <f t="shared" ref="M10:M11" si="12">F10/V10*60</f>
        <v>1435.9223300970873</v>
      </c>
      <c r="N10" s="17">
        <f t="shared" si="3"/>
        <v>75.574859478794068</v>
      </c>
      <c r="O10" s="19">
        <f t="shared" si="4"/>
        <v>0</v>
      </c>
      <c r="P10" s="20">
        <f t="shared" si="5"/>
        <v>-3.3725089422585626</v>
      </c>
      <c r="Q10" s="158">
        <f t="shared" si="6"/>
        <v>0.9572815533980582</v>
      </c>
      <c r="R10" s="489">
        <f>Q12</f>
        <v>0.95603722640317101</v>
      </c>
      <c r="S10" s="40">
        <v>0.16666666666666666</v>
      </c>
      <c r="T10" s="40">
        <v>0.23819444444444443</v>
      </c>
      <c r="U10" s="159"/>
      <c r="V10" s="169">
        <f t="shared" ref="V10:V11" si="13">(T10-S10)*24*60</f>
        <v>103</v>
      </c>
      <c r="W10" s="23">
        <f>T10</f>
        <v>0.23819444444444443</v>
      </c>
      <c r="X10" s="23">
        <f>S11</f>
        <v>0.25624999999999998</v>
      </c>
      <c r="Y10" s="23"/>
      <c r="Z10" s="23"/>
      <c r="AA10" s="491"/>
      <c r="AB10" s="491"/>
      <c r="AC10" s="154">
        <v>2</v>
      </c>
      <c r="AD10" s="25"/>
      <c r="AE10" s="19">
        <f t="shared" si="8"/>
        <v>-64.077669902912703</v>
      </c>
      <c r="AF10" s="158">
        <f t="shared" si="9"/>
        <v>0.9572815533980582</v>
      </c>
      <c r="AG10" s="489">
        <f>AF12</f>
        <v>0.9560372264031709</v>
      </c>
    </row>
    <row r="11" spans="1:33" ht="15.75" customHeight="1">
      <c r="A11" s="527" t="s">
        <v>865</v>
      </c>
      <c r="B11" s="42" t="s">
        <v>100</v>
      </c>
      <c r="C11" s="523" t="s">
        <v>125</v>
      </c>
      <c r="D11" s="524"/>
      <c r="E11" s="42">
        <v>39.799999999999997</v>
      </c>
      <c r="F11" s="170">
        <v>4034</v>
      </c>
      <c r="G11" s="159">
        <f t="shared" si="11"/>
        <v>160553.19999999998</v>
      </c>
      <c r="H11" s="125" t="s">
        <v>79</v>
      </c>
      <c r="I11" s="168">
        <v>17</v>
      </c>
      <c r="J11" s="37">
        <v>1500</v>
      </c>
      <c r="K11" s="17">
        <f t="shared" si="1"/>
        <v>88.235294117647058</v>
      </c>
      <c r="L11" s="168">
        <v>17</v>
      </c>
      <c r="M11" s="18">
        <f t="shared" si="12"/>
        <v>1432.1893491124256</v>
      </c>
      <c r="N11" s="17">
        <f t="shared" si="3"/>
        <v>84.246432300730916</v>
      </c>
      <c r="O11" s="19">
        <f t="shared" si="4"/>
        <v>0</v>
      </c>
      <c r="P11" s="20">
        <f t="shared" si="5"/>
        <v>-3.9888618169161418</v>
      </c>
      <c r="Q11" s="158">
        <f t="shared" si="6"/>
        <v>0.95479289940828371</v>
      </c>
      <c r="R11" s="489"/>
      <c r="S11" s="40">
        <v>0.25624999999999998</v>
      </c>
      <c r="T11" s="40">
        <v>0.37361111111111112</v>
      </c>
      <c r="U11" s="159">
        <f t="shared" ref="U11" si="14">IF(S11=TIME(17,0,0),"",(S11-T10)*24*60)</f>
        <v>25.999999999999986</v>
      </c>
      <c r="V11" s="169">
        <f t="shared" si="13"/>
        <v>169.00000000000003</v>
      </c>
      <c r="W11" s="23"/>
      <c r="X11" s="23"/>
      <c r="Y11" s="23"/>
      <c r="Z11" s="23"/>
      <c r="AA11" s="491"/>
      <c r="AB11" s="491"/>
      <c r="AC11" s="154"/>
      <c r="AD11" s="25"/>
      <c r="AE11" s="19">
        <f t="shared" si="8"/>
        <v>-67.810650887574411</v>
      </c>
      <c r="AF11" s="158">
        <f t="shared" si="9"/>
        <v>0.95479289940828371</v>
      </c>
      <c r="AG11" s="489"/>
    </row>
    <row r="12" spans="1:33" ht="16.5" customHeight="1">
      <c r="A12" s="527" t="s">
        <v>50</v>
      </c>
      <c r="B12" s="42" t="s">
        <v>71</v>
      </c>
      <c r="C12" s="494"/>
      <c r="D12" s="494"/>
      <c r="E12" s="161"/>
      <c r="F12" s="37"/>
      <c r="G12" s="18"/>
      <c r="H12" s="170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1434.0558396047563</v>
      </c>
      <c r="N12" s="17">
        <f t="shared" si="3"/>
        <v>79.669768866930909</v>
      </c>
      <c r="O12" s="19">
        <f t="shared" si="4"/>
        <v>0</v>
      </c>
      <c r="P12" s="20">
        <f t="shared" si="5"/>
        <v>-3.6635644664024198</v>
      </c>
      <c r="Q12" s="158">
        <f t="shared" si="6"/>
        <v>0.95603722640317101</v>
      </c>
      <c r="R12" s="489"/>
      <c r="S12" s="40"/>
      <c r="T12" s="40"/>
      <c r="U12" s="17"/>
      <c r="V12" s="169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v>2</v>
      </c>
      <c r="AD12" s="31">
        <f>SUM(AD10:AD11)</f>
        <v>0</v>
      </c>
      <c r="AE12" s="19">
        <f t="shared" si="8"/>
        <v>-65.944160395243671</v>
      </c>
      <c r="AF12" s="158">
        <f t="shared" si="9"/>
        <v>0.9560372264031709</v>
      </c>
      <c r="AG12" s="489"/>
    </row>
    <row r="13" spans="1:33" ht="16.5" customHeight="1">
      <c r="A13" s="525" t="s">
        <v>52</v>
      </c>
      <c r="B13" s="170" t="s">
        <v>126</v>
      </c>
      <c r="C13" s="515" t="s">
        <v>127</v>
      </c>
      <c r="D13" s="515"/>
      <c r="E13" s="42">
        <v>41</v>
      </c>
      <c r="F13" s="170">
        <v>2266</v>
      </c>
      <c r="G13" s="159">
        <f t="shared" ref="G13:G21" si="15">E13*F13</f>
        <v>92906</v>
      </c>
      <c r="H13" s="125" t="s">
        <v>79</v>
      </c>
      <c r="I13" s="168">
        <v>26</v>
      </c>
      <c r="J13" s="37">
        <v>1500</v>
      </c>
      <c r="K13" s="17">
        <f t="shared" si="1"/>
        <v>57.692307692307693</v>
      </c>
      <c r="L13" s="168">
        <v>26</v>
      </c>
      <c r="M13" s="18">
        <f t="shared" ref="M13:M21" si="16">F13/V13*60</f>
        <v>1431.1578947368416</v>
      </c>
      <c r="N13" s="17">
        <f t="shared" si="3"/>
        <v>55.04453441295545</v>
      </c>
      <c r="O13" s="19">
        <f t="shared" si="4"/>
        <v>0</v>
      </c>
      <c r="P13" s="20">
        <f t="shared" si="5"/>
        <v>-2.6477732793522435</v>
      </c>
      <c r="Q13" s="158">
        <f t="shared" si="6"/>
        <v>0.95410526315789446</v>
      </c>
      <c r="R13" s="489">
        <f>Q22</f>
        <v>0.95874742477779751</v>
      </c>
      <c r="S13" s="40">
        <v>0.20833333333333334</v>
      </c>
      <c r="T13" s="40">
        <v>0.27430555555555558</v>
      </c>
      <c r="U13" s="159"/>
      <c r="V13" s="169">
        <f t="shared" ref="V13:V21" si="17">(T13-S13)*24*60</f>
        <v>95.000000000000028</v>
      </c>
      <c r="W13" s="28"/>
      <c r="X13" s="28"/>
      <c r="Y13" s="28"/>
      <c r="Z13" s="28"/>
      <c r="AA13" s="491"/>
      <c r="AB13" s="491"/>
      <c r="AC13" s="154">
        <v>3</v>
      </c>
      <c r="AD13" s="25"/>
      <c r="AE13" s="19">
        <f t="shared" si="8"/>
        <v>-68.842105263158373</v>
      </c>
      <c r="AF13" s="158">
        <f t="shared" si="9"/>
        <v>0.95410526315789446</v>
      </c>
      <c r="AG13" s="489">
        <f>AF22</f>
        <v>0.95874742477779751</v>
      </c>
    </row>
    <row r="14" spans="1:33" ht="16.5" customHeight="1">
      <c r="A14" s="526" t="s">
        <v>866</v>
      </c>
      <c r="B14" s="170" t="s">
        <v>128</v>
      </c>
      <c r="C14" s="515" t="s">
        <v>129</v>
      </c>
      <c r="D14" s="515"/>
      <c r="E14" s="42">
        <v>72.400000000000006</v>
      </c>
      <c r="F14" s="170">
        <v>622</v>
      </c>
      <c r="G14" s="159">
        <f t="shared" si="15"/>
        <v>45032.800000000003</v>
      </c>
      <c r="H14" s="125" t="s">
        <v>79</v>
      </c>
      <c r="I14" s="168">
        <v>18</v>
      </c>
      <c r="J14" s="37">
        <v>1500</v>
      </c>
      <c r="K14" s="17">
        <f t="shared" si="1"/>
        <v>83.333333333333329</v>
      </c>
      <c r="L14" s="168">
        <v>18</v>
      </c>
      <c r="M14" s="18">
        <f t="shared" si="16"/>
        <v>1435.3846153846162</v>
      </c>
      <c r="N14" s="17">
        <f t="shared" si="3"/>
        <v>79.74358974358978</v>
      </c>
      <c r="O14" s="19">
        <f t="shared" si="4"/>
        <v>0</v>
      </c>
      <c r="P14" s="20">
        <f t="shared" si="5"/>
        <v>-3.5897435897435486</v>
      </c>
      <c r="Q14" s="158">
        <f t="shared" si="6"/>
        <v>0.95692307692307743</v>
      </c>
      <c r="R14" s="489"/>
      <c r="S14" s="40">
        <v>0.27916666666666667</v>
      </c>
      <c r="T14" s="40">
        <v>0.29722222222222222</v>
      </c>
      <c r="U14" s="159">
        <f t="shared" ref="U14:U21" si="18">IF(S14=TIME(17,0,0),"",(S14-T13)*24*60)</f>
        <v>6.9999999999999751</v>
      </c>
      <c r="V14" s="169">
        <f t="shared" si="17"/>
        <v>25.999999999999986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-64.615384615383846</v>
      </c>
      <c r="AF14" s="158">
        <f t="shared" si="9"/>
        <v>0.95692307692307743</v>
      </c>
      <c r="AG14" s="489"/>
    </row>
    <row r="15" spans="1:33" ht="16.5" customHeight="1">
      <c r="A15" s="526" t="s">
        <v>867</v>
      </c>
      <c r="B15" s="170" t="s">
        <v>130</v>
      </c>
      <c r="C15" s="515" t="s">
        <v>131</v>
      </c>
      <c r="D15" s="515"/>
      <c r="E15" s="42">
        <v>50.67</v>
      </c>
      <c r="F15" s="170">
        <v>1318</v>
      </c>
      <c r="G15" s="159">
        <f t="shared" si="15"/>
        <v>66783.06</v>
      </c>
      <c r="H15" s="125" t="s">
        <v>79</v>
      </c>
      <c r="I15" s="168">
        <v>16</v>
      </c>
      <c r="J15" s="37">
        <v>1500</v>
      </c>
      <c r="K15" s="17">
        <f t="shared" si="1"/>
        <v>93.75</v>
      </c>
      <c r="L15" s="168">
        <v>16</v>
      </c>
      <c r="M15" s="18">
        <f t="shared" si="16"/>
        <v>1437.8181818181827</v>
      </c>
      <c r="N15" s="17">
        <f t="shared" si="3"/>
        <v>89.863636363636417</v>
      </c>
      <c r="O15" s="19">
        <f t="shared" si="4"/>
        <v>0</v>
      </c>
      <c r="P15" s="20">
        <f t="shared" si="5"/>
        <v>-3.8863636363635834</v>
      </c>
      <c r="Q15" s="158">
        <f t="shared" si="6"/>
        <v>0.95854545454545514</v>
      </c>
      <c r="R15" s="489"/>
      <c r="S15" s="40">
        <v>0.30208333333333331</v>
      </c>
      <c r="T15" s="40">
        <v>0.34027777777777773</v>
      </c>
      <c r="U15" s="159">
        <f t="shared" si="18"/>
        <v>6.9999999999999751</v>
      </c>
      <c r="V15" s="169">
        <f t="shared" si="17"/>
        <v>54.999999999999964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-62.181818181817334</v>
      </c>
      <c r="AF15" s="158">
        <f t="shared" si="9"/>
        <v>0.95854545454545514</v>
      </c>
      <c r="AG15" s="489"/>
    </row>
    <row r="16" spans="1:33" ht="16.5" customHeight="1">
      <c r="A16" s="526" t="s">
        <v>866</v>
      </c>
      <c r="B16" s="170" t="s">
        <v>103</v>
      </c>
      <c r="C16" s="515" t="s">
        <v>123</v>
      </c>
      <c r="D16" s="515"/>
      <c r="E16" s="42">
        <v>50.98</v>
      </c>
      <c r="F16" s="170">
        <v>700</v>
      </c>
      <c r="G16" s="159">
        <f t="shared" si="15"/>
        <v>35686</v>
      </c>
      <c r="H16" s="125">
        <v>2</v>
      </c>
      <c r="I16" s="168">
        <v>16</v>
      </c>
      <c r="J16" s="37">
        <v>2000</v>
      </c>
      <c r="K16" s="17">
        <f t="shared" si="1"/>
        <v>125</v>
      </c>
      <c r="L16" s="168">
        <v>16</v>
      </c>
      <c r="M16" s="18">
        <f t="shared" si="16"/>
        <v>1909.0909090909158</v>
      </c>
      <c r="N16" s="17">
        <f t="shared" si="3"/>
        <v>119.31818181818224</v>
      </c>
      <c r="O16" s="19">
        <f t="shared" si="4"/>
        <v>0</v>
      </c>
      <c r="P16" s="20">
        <f t="shared" si="5"/>
        <v>-5.6818181818177607</v>
      </c>
      <c r="Q16" s="158">
        <f t="shared" si="6"/>
        <v>0.95454545454545792</v>
      </c>
      <c r="R16" s="489"/>
      <c r="S16" s="40">
        <v>0.70833333333333337</v>
      </c>
      <c r="T16" s="40">
        <v>0.72361111111111109</v>
      </c>
      <c r="U16" s="159" t="str">
        <f t="shared" si="18"/>
        <v/>
      </c>
      <c r="V16" s="169">
        <f t="shared" si="17"/>
        <v>21.999999999999922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-90.909090909084171</v>
      </c>
      <c r="AF16" s="158">
        <f t="shared" si="9"/>
        <v>0.95454545454545792</v>
      </c>
      <c r="AG16" s="489"/>
    </row>
    <row r="17" spans="1:33" ht="16.5" customHeight="1">
      <c r="A17" s="526" t="s">
        <v>52</v>
      </c>
      <c r="B17" s="170" t="s">
        <v>103</v>
      </c>
      <c r="C17" s="515" t="s">
        <v>132</v>
      </c>
      <c r="D17" s="515"/>
      <c r="E17" s="42">
        <v>50.92</v>
      </c>
      <c r="F17" s="170">
        <v>900</v>
      </c>
      <c r="G17" s="159">
        <f t="shared" si="15"/>
        <v>45828</v>
      </c>
      <c r="H17" s="125">
        <v>2</v>
      </c>
      <c r="I17" s="168">
        <v>15</v>
      </c>
      <c r="J17" s="37">
        <v>2000</v>
      </c>
      <c r="K17" s="17">
        <f t="shared" si="1"/>
        <v>133.33333333333334</v>
      </c>
      <c r="L17" s="168">
        <v>15</v>
      </c>
      <c r="M17" s="18">
        <f t="shared" si="16"/>
        <v>1928.5714285714246</v>
      </c>
      <c r="N17" s="17">
        <f t="shared" si="3"/>
        <v>128.5714285714283</v>
      </c>
      <c r="O17" s="19">
        <f t="shared" si="4"/>
        <v>0</v>
      </c>
      <c r="P17" s="20">
        <f t="shared" si="5"/>
        <v>-4.7619047619050434</v>
      </c>
      <c r="Q17" s="158">
        <f t="shared" si="6"/>
        <v>0.96428571428571219</v>
      </c>
      <c r="R17" s="489"/>
      <c r="S17" s="40">
        <v>0.7270833333333333</v>
      </c>
      <c r="T17" s="40">
        <v>0.74652777777777779</v>
      </c>
      <c r="U17" s="159">
        <f t="shared" si="18"/>
        <v>4.9999999999999822</v>
      </c>
      <c r="V17" s="169">
        <f t="shared" si="17"/>
        <v>28.00000000000006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-71.428571428575424</v>
      </c>
      <c r="AF17" s="158">
        <f t="shared" si="9"/>
        <v>0.9642857142857123</v>
      </c>
      <c r="AG17" s="489"/>
    </row>
    <row r="18" spans="1:33" ht="16.5" customHeight="1">
      <c r="A18" s="526" t="s">
        <v>866</v>
      </c>
      <c r="B18" s="170" t="s">
        <v>103</v>
      </c>
      <c r="C18" s="521" t="s">
        <v>133</v>
      </c>
      <c r="D18" s="522"/>
      <c r="E18" s="42">
        <v>50.67</v>
      </c>
      <c r="F18" s="170">
        <v>1466</v>
      </c>
      <c r="G18" s="159">
        <f t="shared" si="15"/>
        <v>74282.22</v>
      </c>
      <c r="H18" s="125" t="s">
        <v>79</v>
      </c>
      <c r="I18" s="168">
        <v>15</v>
      </c>
      <c r="J18" s="37">
        <v>2000</v>
      </c>
      <c r="K18" s="17">
        <f t="shared" si="1"/>
        <v>133.33333333333334</v>
      </c>
      <c r="L18" s="168">
        <v>15</v>
      </c>
      <c r="M18" s="18">
        <f t="shared" si="16"/>
        <v>1912.1739130434783</v>
      </c>
      <c r="N18" s="17">
        <f t="shared" si="3"/>
        <v>127.47826086956522</v>
      </c>
      <c r="O18" s="19">
        <f t="shared" si="4"/>
        <v>0</v>
      </c>
      <c r="P18" s="20">
        <f t="shared" si="5"/>
        <v>-5.8550724637681242</v>
      </c>
      <c r="Q18" s="158">
        <f t="shared" si="6"/>
        <v>0.95608695652173903</v>
      </c>
      <c r="R18" s="489"/>
      <c r="S18" s="40">
        <v>0.75138888888888888</v>
      </c>
      <c r="T18" s="40">
        <v>0.78333333333333333</v>
      </c>
      <c r="U18" s="159">
        <f t="shared" si="18"/>
        <v>6.9999999999999751</v>
      </c>
      <c r="V18" s="169">
        <f t="shared" si="17"/>
        <v>46</v>
      </c>
      <c r="W18" s="23"/>
      <c r="X18" s="23"/>
      <c r="Y18" s="26"/>
      <c r="Z18" s="26"/>
      <c r="AA18" s="503"/>
      <c r="AB18" s="504"/>
      <c r="AC18" s="154"/>
      <c r="AD18" s="25"/>
      <c r="AE18" s="19">
        <f t="shared" si="8"/>
        <v>-87.826086956521749</v>
      </c>
      <c r="AF18" s="158">
        <f t="shared" si="9"/>
        <v>0.95608695652173914</v>
      </c>
      <c r="AG18" s="489"/>
    </row>
    <row r="19" spans="1:33" ht="16.5" customHeight="1">
      <c r="A19" s="526" t="s">
        <v>866</v>
      </c>
      <c r="B19" s="170" t="s">
        <v>103</v>
      </c>
      <c r="C19" s="166" t="s">
        <v>134</v>
      </c>
      <c r="D19" s="167"/>
      <c r="E19" s="42">
        <v>57.3</v>
      </c>
      <c r="F19" s="170">
        <v>1826</v>
      </c>
      <c r="G19" s="159">
        <f t="shared" si="15"/>
        <v>104629.79999999999</v>
      </c>
      <c r="H19" s="125" t="s">
        <v>79</v>
      </c>
      <c r="I19" s="168">
        <v>13</v>
      </c>
      <c r="J19" s="37">
        <v>2000</v>
      </c>
      <c r="K19" s="17">
        <f t="shared" si="1"/>
        <v>153.84615384615384</v>
      </c>
      <c r="L19" s="168">
        <v>13</v>
      </c>
      <c r="M19" s="18">
        <f t="shared" si="16"/>
        <v>1922.1052631578962</v>
      </c>
      <c r="N19" s="17">
        <f t="shared" si="3"/>
        <v>147.85425101214585</v>
      </c>
      <c r="O19" s="19">
        <f t="shared" si="4"/>
        <v>0</v>
      </c>
      <c r="P19" s="20">
        <f t="shared" si="5"/>
        <v>-5.9919028340079876</v>
      </c>
      <c r="Q19" s="158">
        <f t="shared" si="6"/>
        <v>0.96105263157894805</v>
      </c>
      <c r="R19" s="489"/>
      <c r="S19" s="40">
        <v>0.78680555555555554</v>
      </c>
      <c r="T19" s="40">
        <v>0.82638888888888884</v>
      </c>
      <c r="U19" s="159">
        <f t="shared" si="18"/>
        <v>4.9999999999999822</v>
      </c>
      <c r="V19" s="169">
        <f t="shared" si="17"/>
        <v>56.999999999999957</v>
      </c>
      <c r="W19" s="23">
        <f>T19</f>
        <v>0.82638888888888884</v>
      </c>
      <c r="X19" s="23">
        <f>S20</f>
        <v>0.86805555555555547</v>
      </c>
      <c r="Y19" s="26"/>
      <c r="Z19" s="26"/>
      <c r="AA19" s="503"/>
      <c r="AB19" s="504"/>
      <c r="AC19" s="154"/>
      <c r="AD19" s="25"/>
      <c r="AE19" s="19">
        <f t="shared" si="8"/>
        <v>-77.894736842103839</v>
      </c>
      <c r="AF19" s="158">
        <f t="shared" si="9"/>
        <v>0.96105263157894805</v>
      </c>
      <c r="AG19" s="489"/>
    </row>
    <row r="20" spans="1:33" ht="16.5" customHeight="1">
      <c r="A20" s="526" t="s">
        <v>866</v>
      </c>
      <c r="B20" s="170" t="s">
        <v>103</v>
      </c>
      <c r="C20" s="166" t="s">
        <v>123</v>
      </c>
      <c r="D20" s="167"/>
      <c r="E20" s="42">
        <v>50.98</v>
      </c>
      <c r="F20" s="170">
        <v>1409</v>
      </c>
      <c r="G20" s="159">
        <f t="shared" si="15"/>
        <v>71830.819999999992</v>
      </c>
      <c r="H20" s="125" t="s">
        <v>79</v>
      </c>
      <c r="I20" s="168">
        <v>16</v>
      </c>
      <c r="J20" s="37">
        <v>2000</v>
      </c>
      <c r="K20" s="17">
        <f t="shared" si="1"/>
        <v>125</v>
      </c>
      <c r="L20" s="168">
        <v>16</v>
      </c>
      <c r="M20" s="18">
        <f t="shared" si="16"/>
        <v>1921.3636363636365</v>
      </c>
      <c r="N20" s="17">
        <f t="shared" si="3"/>
        <v>120.08522727272728</v>
      </c>
      <c r="O20" s="19">
        <f t="shared" si="4"/>
        <v>0</v>
      </c>
      <c r="P20" s="20">
        <f t="shared" si="5"/>
        <v>-4.9147727272727195</v>
      </c>
      <c r="Q20" s="158">
        <f t="shared" si="6"/>
        <v>0.96068181818181819</v>
      </c>
      <c r="R20" s="489"/>
      <c r="S20" s="40">
        <v>0.86805555555555547</v>
      </c>
      <c r="T20" s="40">
        <v>0.89861111111111103</v>
      </c>
      <c r="U20" s="159">
        <f t="shared" si="18"/>
        <v>59.999999999999943</v>
      </c>
      <c r="V20" s="169">
        <f t="shared" si="17"/>
        <v>44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-78.636363636363512</v>
      </c>
      <c r="AF20" s="158">
        <f t="shared" si="9"/>
        <v>0.96068181818181819</v>
      </c>
      <c r="AG20" s="489"/>
    </row>
    <row r="21" spans="1:33" ht="16.5" customHeight="1">
      <c r="A21" s="526" t="s">
        <v>868</v>
      </c>
      <c r="B21" s="170" t="s">
        <v>103</v>
      </c>
      <c r="C21" s="521" t="s">
        <v>132</v>
      </c>
      <c r="D21" s="522"/>
      <c r="E21" s="42">
        <v>50.92</v>
      </c>
      <c r="F21" s="170">
        <v>1153</v>
      </c>
      <c r="G21" s="159">
        <f t="shared" si="15"/>
        <v>58710.76</v>
      </c>
      <c r="H21" s="125" t="s">
        <v>79</v>
      </c>
      <c r="I21" s="168">
        <v>15</v>
      </c>
      <c r="J21" s="37">
        <v>2000</v>
      </c>
      <c r="K21" s="17">
        <f t="shared" si="1"/>
        <v>133.33333333333334</v>
      </c>
      <c r="L21" s="168">
        <v>15</v>
      </c>
      <c r="M21" s="18">
        <f t="shared" si="16"/>
        <v>1921.6666666666649</v>
      </c>
      <c r="N21" s="17">
        <f t="shared" si="3"/>
        <v>128.111111111111</v>
      </c>
      <c r="O21" s="19">
        <f t="shared" si="4"/>
        <v>0</v>
      </c>
      <c r="P21" s="20">
        <f t="shared" si="5"/>
        <v>-5.2222222222223422</v>
      </c>
      <c r="Q21" s="158">
        <f t="shared" si="6"/>
        <v>0.96083333333333243</v>
      </c>
      <c r="R21" s="489"/>
      <c r="S21" s="40">
        <v>0.90347222222222212</v>
      </c>
      <c r="T21" s="40">
        <v>0.92847222222222214</v>
      </c>
      <c r="U21" s="159">
        <f t="shared" si="18"/>
        <v>6.9999999999999751</v>
      </c>
      <c r="V21" s="169">
        <f t="shared" si="17"/>
        <v>36.000000000000028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-78.333333333335077</v>
      </c>
      <c r="AF21" s="158">
        <f t="shared" si="9"/>
        <v>0.96083333333333243</v>
      </c>
      <c r="AG21" s="489"/>
    </row>
    <row r="22" spans="1:33" ht="16.5" customHeight="1">
      <c r="A22" s="526" t="s">
        <v>866</v>
      </c>
      <c r="B22" s="42" t="s">
        <v>863</v>
      </c>
      <c r="C22" s="494"/>
      <c r="D22" s="494"/>
      <c r="E22" s="161"/>
      <c r="F22" s="44"/>
      <c r="G22" s="17"/>
      <c r="H22" s="170"/>
      <c r="I22" s="30">
        <v>16.666666666666668</v>
      </c>
      <c r="J22" s="37">
        <v>1833.3333333333333</v>
      </c>
      <c r="K22" s="17">
        <f t="shared" si="1"/>
        <v>109.99999999999999</v>
      </c>
      <c r="L22" s="30">
        <v>16.666666666666668</v>
      </c>
      <c r="M22" s="18">
        <f>AVERAGE(M13:M21)</f>
        <v>1757.7036120926286</v>
      </c>
      <c r="N22" s="17">
        <f t="shared" si="3"/>
        <v>105.46221672555771</v>
      </c>
      <c r="O22" s="19">
        <f t="shared" si="4"/>
        <v>0</v>
      </c>
      <c r="P22" s="20">
        <f t="shared" si="5"/>
        <v>-4.5377832744422761</v>
      </c>
      <c r="Q22" s="158">
        <f t="shared" si="6"/>
        <v>0.95874742477779751</v>
      </c>
      <c r="R22" s="489"/>
      <c r="S22" s="40"/>
      <c r="T22" s="40"/>
      <c r="U22" s="159"/>
      <c r="V22" s="169"/>
      <c r="W22" s="17"/>
      <c r="X22" s="17"/>
      <c r="Y22" s="31">
        <f>SUM(Y13:Y21)</f>
        <v>0</v>
      </c>
      <c r="Z22" s="31">
        <f>SUM(Z13:Z21)</f>
        <v>0</v>
      </c>
      <c r="AA22" s="495"/>
      <c r="AB22" s="495"/>
      <c r="AC22" s="31">
        <v>3</v>
      </c>
      <c r="AD22" s="31">
        <f>SUM(AD13:AD21)</f>
        <v>0</v>
      </c>
      <c r="AE22" s="19">
        <f t="shared" si="8"/>
        <v>-75.629721240704612</v>
      </c>
      <c r="AF22" s="158">
        <f t="shared" si="9"/>
        <v>0.95874742477779751</v>
      </c>
      <c r="AG22" s="489"/>
    </row>
    <row r="23" spans="1:33" ht="15.75" customHeight="1">
      <c r="A23" s="519" t="s">
        <v>869</v>
      </c>
      <c r="B23" s="42" t="s">
        <v>126</v>
      </c>
      <c r="C23" s="515" t="s">
        <v>135</v>
      </c>
      <c r="D23" s="515"/>
      <c r="E23" s="42">
        <v>43.14</v>
      </c>
      <c r="F23" s="170">
        <v>702</v>
      </c>
      <c r="G23" s="159">
        <f t="shared" ref="G23:G33" si="19">E23*F23</f>
        <v>30284.28</v>
      </c>
      <c r="H23" s="125" t="s">
        <v>79</v>
      </c>
      <c r="I23" s="168">
        <v>17</v>
      </c>
      <c r="J23" s="37">
        <v>2000</v>
      </c>
      <c r="K23" s="17">
        <f t="shared" si="1"/>
        <v>117.64705882352941</v>
      </c>
      <c r="L23" s="168">
        <v>17</v>
      </c>
      <c r="M23" s="18">
        <f t="shared" ref="M23:M33" si="20">F23/V23*60</f>
        <v>1914.5454545454545</v>
      </c>
      <c r="N23" s="17">
        <f t="shared" si="3"/>
        <v>112.62032085561498</v>
      </c>
      <c r="O23" s="19">
        <f t="shared" si="4"/>
        <v>0</v>
      </c>
      <c r="P23" s="20">
        <f t="shared" si="5"/>
        <v>-5.0267379679144284</v>
      </c>
      <c r="Q23" s="158">
        <f t="shared" si="6"/>
        <v>0.95727272727272739</v>
      </c>
      <c r="R23" s="489">
        <f>Q34</f>
        <v>0.95784883206972726</v>
      </c>
      <c r="S23" s="40">
        <v>0.20833333333333334</v>
      </c>
      <c r="T23" s="40">
        <v>0.22361111111111112</v>
      </c>
      <c r="U23" s="159"/>
      <c r="V23" s="169">
        <f t="shared" ref="V23:V33" si="21">(T23-S23)*24*60</f>
        <v>22</v>
      </c>
      <c r="W23" s="28"/>
      <c r="X23" s="28"/>
      <c r="Y23" s="28"/>
      <c r="Z23" s="28"/>
      <c r="AA23" s="491"/>
      <c r="AB23" s="491"/>
      <c r="AC23" s="154">
        <v>4</v>
      </c>
      <c r="AD23" s="25"/>
      <c r="AE23" s="19">
        <f t="shared" si="8"/>
        <v>-85.454545454545496</v>
      </c>
      <c r="AF23" s="158">
        <f t="shared" si="9"/>
        <v>0.95727272727272728</v>
      </c>
      <c r="AG23" s="489">
        <f>AF34</f>
        <v>0.95784883206972726</v>
      </c>
    </row>
    <row r="24" spans="1:33" ht="15.75" customHeight="1">
      <c r="A24" s="520" t="s">
        <v>56</v>
      </c>
      <c r="B24" s="42" t="s">
        <v>130</v>
      </c>
      <c r="C24" s="515" t="s">
        <v>136</v>
      </c>
      <c r="D24" s="515"/>
      <c r="E24" s="42">
        <v>49.9</v>
      </c>
      <c r="F24" s="170">
        <v>742</v>
      </c>
      <c r="G24" s="159">
        <f t="shared" si="19"/>
        <v>37025.799999999996</v>
      </c>
      <c r="H24" s="125" t="s">
        <v>79</v>
      </c>
      <c r="I24" s="168">
        <v>17</v>
      </c>
      <c r="J24" s="37">
        <v>2000</v>
      </c>
      <c r="K24" s="17">
        <f t="shared" si="1"/>
        <v>117.64705882352941</v>
      </c>
      <c r="L24" s="168">
        <v>17</v>
      </c>
      <c r="M24" s="18">
        <f t="shared" si="20"/>
        <v>1935.6521739130435</v>
      </c>
      <c r="N24" s="17">
        <f t="shared" si="3"/>
        <v>113.86189258312021</v>
      </c>
      <c r="O24" s="19">
        <f t="shared" si="4"/>
        <v>0</v>
      </c>
      <c r="P24" s="20">
        <f t="shared" si="5"/>
        <v>-3.7851662404091968</v>
      </c>
      <c r="Q24" s="158">
        <f t="shared" si="6"/>
        <v>0.96782608695652184</v>
      </c>
      <c r="R24" s="489"/>
      <c r="S24" s="40">
        <v>0.22708333333333333</v>
      </c>
      <c r="T24" s="40">
        <v>0.24305555555555555</v>
      </c>
      <c r="U24" s="159">
        <f t="shared" ref="U24:U33" si="22">IF(S24=TIME(17,0,0),"",(S24-T23)*24*60)</f>
        <v>4.9999999999999822</v>
      </c>
      <c r="V24" s="169">
        <f t="shared" si="21"/>
        <v>23</v>
      </c>
      <c r="W24" s="23"/>
      <c r="X24" s="159"/>
      <c r="Y24" s="159"/>
      <c r="Z24" s="159"/>
      <c r="AA24" s="491"/>
      <c r="AB24" s="491"/>
      <c r="AC24" s="154"/>
      <c r="AD24" s="25"/>
      <c r="AE24" s="19">
        <f t="shared" si="8"/>
        <v>-64.347826086956502</v>
      </c>
      <c r="AF24" s="158">
        <f t="shared" si="9"/>
        <v>0.96782608695652173</v>
      </c>
      <c r="AG24" s="489"/>
    </row>
    <row r="25" spans="1:33" ht="15.75" customHeight="1">
      <c r="A25" s="520" t="s">
        <v>870</v>
      </c>
      <c r="B25" s="42" t="s">
        <v>103</v>
      </c>
      <c r="C25" s="515" t="s">
        <v>137</v>
      </c>
      <c r="D25" s="515"/>
      <c r="E25" s="42">
        <v>57.73</v>
      </c>
      <c r="F25" s="170">
        <v>2265</v>
      </c>
      <c r="G25" s="159">
        <f t="shared" si="19"/>
        <v>130758.45</v>
      </c>
      <c r="H25" s="125" t="s">
        <v>79</v>
      </c>
      <c r="I25" s="168">
        <v>14</v>
      </c>
      <c r="J25" s="37">
        <v>2000</v>
      </c>
      <c r="K25" s="17">
        <f t="shared" si="1"/>
        <v>142.85714285714286</v>
      </c>
      <c r="L25" s="168">
        <v>14</v>
      </c>
      <c r="M25" s="18">
        <f t="shared" si="20"/>
        <v>1914.0845070422538</v>
      </c>
      <c r="N25" s="17">
        <f t="shared" si="3"/>
        <v>136.72032193158955</v>
      </c>
      <c r="O25" s="19">
        <f t="shared" si="4"/>
        <v>0</v>
      </c>
      <c r="P25" s="20">
        <f t="shared" si="5"/>
        <v>-6.1368209255533088</v>
      </c>
      <c r="Q25" s="158">
        <f t="shared" si="6"/>
        <v>0.95704225352112682</v>
      </c>
      <c r="R25" s="489"/>
      <c r="S25" s="40">
        <v>0.24861111111111112</v>
      </c>
      <c r="T25" s="40">
        <v>0.29791666666666666</v>
      </c>
      <c r="U25" s="159">
        <f t="shared" si="22"/>
        <v>8.0000000000000107</v>
      </c>
      <c r="V25" s="169">
        <f t="shared" si="21"/>
        <v>70.999999999999986</v>
      </c>
      <c r="W25" s="23"/>
      <c r="X25" s="159"/>
      <c r="Y25" s="159"/>
      <c r="Z25" s="159"/>
      <c r="AA25" s="491"/>
      <c r="AB25" s="491"/>
      <c r="AC25" s="154"/>
      <c r="AD25" s="25"/>
      <c r="AE25" s="19">
        <f t="shared" si="8"/>
        <v>-85.91549295774621</v>
      </c>
      <c r="AF25" s="158">
        <f t="shared" si="9"/>
        <v>0.95704225352112693</v>
      </c>
      <c r="AG25" s="489"/>
    </row>
    <row r="26" spans="1:33" ht="15.75" customHeight="1">
      <c r="A26" s="520" t="s">
        <v>870</v>
      </c>
      <c r="B26" s="42" t="s">
        <v>103</v>
      </c>
      <c r="C26" s="515" t="s">
        <v>138</v>
      </c>
      <c r="D26" s="515"/>
      <c r="E26" s="42">
        <v>53.68</v>
      </c>
      <c r="F26" s="170">
        <v>1255</v>
      </c>
      <c r="G26" s="159">
        <f t="shared" si="19"/>
        <v>67368.399999999994</v>
      </c>
      <c r="H26" s="125" t="s">
        <v>79</v>
      </c>
      <c r="I26" s="168">
        <v>16</v>
      </c>
      <c r="J26" s="37">
        <v>2000</v>
      </c>
      <c r="K26" s="17">
        <f t="shared" si="1"/>
        <v>125</v>
      </c>
      <c r="L26" s="168">
        <v>16</v>
      </c>
      <c r="M26" s="18">
        <f t="shared" si="20"/>
        <v>1930.7692307692296</v>
      </c>
      <c r="N26" s="17">
        <f t="shared" si="3"/>
        <v>120.67307692307685</v>
      </c>
      <c r="O26" s="19">
        <f t="shared" si="4"/>
        <v>0</v>
      </c>
      <c r="P26" s="20">
        <f t="shared" si="5"/>
        <v>-4.3269230769231513</v>
      </c>
      <c r="Q26" s="158">
        <f t="shared" si="6"/>
        <v>0.96538461538461484</v>
      </c>
      <c r="R26" s="489"/>
      <c r="S26" s="40">
        <v>0.30208333333333331</v>
      </c>
      <c r="T26" s="40">
        <v>0.32916666666666666</v>
      </c>
      <c r="U26" s="159">
        <f t="shared" si="22"/>
        <v>5.9999999999999787</v>
      </c>
      <c r="V26" s="169">
        <f t="shared" si="21"/>
        <v>39.000000000000021</v>
      </c>
      <c r="W26" s="23"/>
      <c r="X26" s="159"/>
      <c r="Y26" s="159"/>
      <c r="Z26" s="159"/>
      <c r="AA26" s="491"/>
      <c r="AB26" s="491"/>
      <c r="AC26" s="154"/>
      <c r="AD26" s="25"/>
      <c r="AE26" s="19">
        <f t="shared" si="8"/>
        <v>-69.23076923077042</v>
      </c>
      <c r="AF26" s="158">
        <f t="shared" si="9"/>
        <v>0.96538461538461484</v>
      </c>
      <c r="AG26" s="489"/>
    </row>
    <row r="27" spans="1:33" ht="15.75" customHeight="1">
      <c r="A27" s="520" t="s">
        <v>870</v>
      </c>
      <c r="B27" s="42" t="s">
        <v>103</v>
      </c>
      <c r="C27" s="515" t="s">
        <v>139</v>
      </c>
      <c r="D27" s="515"/>
      <c r="E27" s="42">
        <v>49.91</v>
      </c>
      <c r="F27" s="170">
        <v>601</v>
      </c>
      <c r="G27" s="159">
        <f t="shared" si="19"/>
        <v>29995.909999999996</v>
      </c>
      <c r="H27" s="125" t="s">
        <v>79</v>
      </c>
      <c r="I27" s="168">
        <v>17</v>
      </c>
      <c r="J27" s="37">
        <v>2000</v>
      </c>
      <c r="K27" s="17">
        <f t="shared" si="1"/>
        <v>117.64705882352941</v>
      </c>
      <c r="L27" s="168">
        <v>17</v>
      </c>
      <c r="M27" s="18">
        <f t="shared" si="20"/>
        <v>1897.8947368421038</v>
      </c>
      <c r="N27" s="17">
        <f t="shared" si="3"/>
        <v>111.64086687306494</v>
      </c>
      <c r="O27" s="19">
        <f t="shared" si="4"/>
        <v>0</v>
      </c>
      <c r="P27" s="20">
        <f t="shared" si="5"/>
        <v>-6.0061919504644692</v>
      </c>
      <c r="Q27" s="158">
        <f t="shared" si="6"/>
        <v>0.94894736842105198</v>
      </c>
      <c r="R27" s="489"/>
      <c r="S27" s="40">
        <v>0.33333333333333331</v>
      </c>
      <c r="T27" s="40">
        <v>0.34652777777777777</v>
      </c>
      <c r="U27" s="159">
        <f t="shared" si="22"/>
        <v>5.9999999999999787</v>
      </c>
      <c r="V27" s="169">
        <f t="shared" si="21"/>
        <v>19.000000000000014</v>
      </c>
      <c r="W27" s="23"/>
      <c r="X27" s="159"/>
      <c r="Y27" s="159"/>
      <c r="Z27" s="159"/>
      <c r="AA27" s="491"/>
      <c r="AB27" s="491"/>
      <c r="AC27" s="154"/>
      <c r="AD27" s="25"/>
      <c r="AE27" s="19">
        <f t="shared" si="8"/>
        <v>-102.10526315789616</v>
      </c>
      <c r="AF27" s="158">
        <f t="shared" si="9"/>
        <v>0.94894736842105187</v>
      </c>
      <c r="AG27" s="489"/>
    </row>
    <row r="28" spans="1:33" ht="15.75" customHeight="1">
      <c r="A28" s="520" t="s">
        <v>870</v>
      </c>
      <c r="B28" s="42" t="s">
        <v>103</v>
      </c>
      <c r="C28" s="515" t="s">
        <v>140</v>
      </c>
      <c r="D28" s="515"/>
      <c r="E28" s="42">
        <v>50.49</v>
      </c>
      <c r="F28" s="170">
        <v>700</v>
      </c>
      <c r="G28" s="159">
        <f t="shared" si="19"/>
        <v>35343</v>
      </c>
      <c r="H28" s="125">
        <v>2</v>
      </c>
      <c r="I28" s="168">
        <v>15</v>
      </c>
      <c r="J28" s="37">
        <v>2000</v>
      </c>
      <c r="K28" s="17">
        <f t="shared" si="1"/>
        <v>133.33333333333334</v>
      </c>
      <c r="L28" s="168">
        <v>15</v>
      </c>
      <c r="M28" s="18">
        <f t="shared" si="20"/>
        <v>1909.0909090909158</v>
      </c>
      <c r="N28" s="17">
        <f t="shared" si="3"/>
        <v>127.27272727272772</v>
      </c>
      <c r="O28" s="19">
        <f t="shared" si="4"/>
        <v>0</v>
      </c>
      <c r="P28" s="20">
        <f t="shared" si="5"/>
        <v>-6.0606060606056218</v>
      </c>
      <c r="Q28" s="158">
        <f t="shared" si="6"/>
        <v>0.95454545454545781</v>
      </c>
      <c r="R28" s="489"/>
      <c r="S28" s="40">
        <v>0.70833333333333337</v>
      </c>
      <c r="T28" s="40">
        <v>0.72361111111111109</v>
      </c>
      <c r="U28" s="159" t="str">
        <f t="shared" si="22"/>
        <v/>
      </c>
      <c r="V28" s="169">
        <f t="shared" si="21"/>
        <v>21.999999999999922</v>
      </c>
      <c r="W28" s="23"/>
      <c r="X28" s="28"/>
      <c r="Y28" s="28"/>
      <c r="Z28" s="28"/>
      <c r="AA28" s="491"/>
      <c r="AB28" s="491"/>
      <c r="AC28" s="154"/>
      <c r="AD28" s="25"/>
      <c r="AE28" s="19">
        <f t="shared" si="8"/>
        <v>-90.909090909084171</v>
      </c>
      <c r="AF28" s="158">
        <f t="shared" si="9"/>
        <v>0.95454545454545792</v>
      </c>
      <c r="AG28" s="489"/>
    </row>
    <row r="29" spans="1:33" ht="15.75" customHeight="1">
      <c r="A29" s="520" t="s">
        <v>870</v>
      </c>
      <c r="B29" s="42" t="s">
        <v>103</v>
      </c>
      <c r="C29" s="515" t="s">
        <v>141</v>
      </c>
      <c r="D29" s="515"/>
      <c r="E29" s="42">
        <v>57.73</v>
      </c>
      <c r="F29" s="170">
        <v>1218</v>
      </c>
      <c r="G29" s="159">
        <f t="shared" si="19"/>
        <v>70315.14</v>
      </c>
      <c r="H29" s="125" t="s">
        <v>79</v>
      </c>
      <c r="I29" s="168">
        <v>16</v>
      </c>
      <c r="J29" s="37">
        <v>1500</v>
      </c>
      <c r="K29" s="17">
        <f t="shared" si="1"/>
        <v>93.75</v>
      </c>
      <c r="L29" s="168">
        <v>16</v>
      </c>
      <c r="M29" s="18">
        <f t="shared" si="20"/>
        <v>1432.941176470589</v>
      </c>
      <c r="N29" s="17">
        <f t="shared" si="3"/>
        <v>89.558823529411811</v>
      </c>
      <c r="O29" s="19">
        <f t="shared" si="4"/>
        <v>0</v>
      </c>
      <c r="P29" s="20">
        <f t="shared" si="5"/>
        <v>-4.1911764705881893</v>
      </c>
      <c r="Q29" s="158">
        <f t="shared" si="6"/>
        <v>0.95529411764705929</v>
      </c>
      <c r="R29" s="489"/>
      <c r="S29" s="40">
        <v>0.72916666666666663</v>
      </c>
      <c r="T29" s="40">
        <v>0.76458333333333328</v>
      </c>
      <c r="U29" s="159">
        <f t="shared" si="22"/>
        <v>7.9999999999999716</v>
      </c>
      <c r="V29" s="169">
        <f t="shared" si="21"/>
        <v>50.999999999999979</v>
      </c>
      <c r="W29" s="23"/>
      <c r="X29" s="28"/>
      <c r="Y29" s="29"/>
      <c r="Z29" s="29"/>
      <c r="AA29" s="503"/>
      <c r="AB29" s="504"/>
      <c r="AC29" s="154"/>
      <c r="AD29" s="25"/>
      <c r="AE29" s="19">
        <f t="shared" si="8"/>
        <v>-67.058823529411029</v>
      </c>
      <c r="AF29" s="158">
        <f t="shared" si="9"/>
        <v>0.95529411764705929</v>
      </c>
      <c r="AG29" s="489"/>
    </row>
    <row r="30" spans="1:33" ht="15.75" customHeight="1">
      <c r="A30" s="520" t="s">
        <v>870</v>
      </c>
      <c r="B30" s="42" t="s">
        <v>103</v>
      </c>
      <c r="C30" s="521" t="s">
        <v>108</v>
      </c>
      <c r="D30" s="522"/>
      <c r="E30" s="42">
        <v>54.29</v>
      </c>
      <c r="F30" s="170">
        <v>700</v>
      </c>
      <c r="G30" s="159">
        <f t="shared" si="19"/>
        <v>38003</v>
      </c>
      <c r="H30" s="125">
        <v>2</v>
      </c>
      <c r="I30" s="168">
        <v>20</v>
      </c>
      <c r="J30" s="37">
        <v>2000</v>
      </c>
      <c r="K30" s="17">
        <f t="shared" si="1"/>
        <v>100</v>
      </c>
      <c r="L30" s="168">
        <v>20</v>
      </c>
      <c r="M30" s="18">
        <f t="shared" si="20"/>
        <v>1909.0909090909158</v>
      </c>
      <c r="N30" s="17">
        <f t="shared" si="3"/>
        <v>95.454545454545794</v>
      </c>
      <c r="O30" s="19">
        <f t="shared" si="4"/>
        <v>0</v>
      </c>
      <c r="P30" s="20">
        <f t="shared" si="5"/>
        <v>-4.5454545454542057</v>
      </c>
      <c r="Q30" s="158">
        <f t="shared" si="6"/>
        <v>0.95454545454545792</v>
      </c>
      <c r="R30" s="489"/>
      <c r="S30" s="40">
        <v>0.76944444444444438</v>
      </c>
      <c r="T30" s="40">
        <v>0.7847222222222221</v>
      </c>
      <c r="U30" s="159">
        <f t="shared" si="22"/>
        <v>6.9999999999999751</v>
      </c>
      <c r="V30" s="169">
        <f t="shared" si="21"/>
        <v>21.999999999999922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-90.909090909084171</v>
      </c>
      <c r="AF30" s="158">
        <f t="shared" si="9"/>
        <v>0.95454545454545792</v>
      </c>
      <c r="AG30" s="489"/>
    </row>
    <row r="31" spans="1:33" ht="15.75" customHeight="1">
      <c r="A31" s="520" t="s">
        <v>871</v>
      </c>
      <c r="B31" s="42" t="s">
        <v>103</v>
      </c>
      <c r="C31" s="521" t="s">
        <v>142</v>
      </c>
      <c r="D31" s="522"/>
      <c r="E31" s="42">
        <v>53.68</v>
      </c>
      <c r="F31" s="170">
        <v>1871</v>
      </c>
      <c r="G31" s="159">
        <f t="shared" si="19"/>
        <v>100435.28</v>
      </c>
      <c r="H31" s="125" t="s">
        <v>79</v>
      </c>
      <c r="I31" s="168">
        <v>16</v>
      </c>
      <c r="J31" s="37">
        <v>1500</v>
      </c>
      <c r="K31" s="17">
        <f t="shared" si="1"/>
        <v>93.75</v>
      </c>
      <c r="L31" s="168">
        <v>16</v>
      </c>
      <c r="M31" s="18">
        <f t="shared" si="20"/>
        <v>1439.2307692307686</v>
      </c>
      <c r="N31" s="17">
        <f t="shared" si="3"/>
        <v>89.951923076923038</v>
      </c>
      <c r="O31" s="19">
        <f t="shared" si="4"/>
        <v>0</v>
      </c>
      <c r="P31" s="20">
        <f t="shared" si="5"/>
        <v>-3.7980769230769624</v>
      </c>
      <c r="Q31" s="158">
        <f t="shared" si="6"/>
        <v>0.9594871794871791</v>
      </c>
      <c r="R31" s="489"/>
      <c r="S31" s="40">
        <v>0.78888888888888875</v>
      </c>
      <c r="T31" s="40">
        <v>0.84305555555555545</v>
      </c>
      <c r="U31" s="159">
        <f t="shared" si="22"/>
        <v>5.9999999999999787</v>
      </c>
      <c r="V31" s="169">
        <f t="shared" si="21"/>
        <v>78.000000000000043</v>
      </c>
      <c r="W31" s="23">
        <f>T31</f>
        <v>0.84305555555555545</v>
      </c>
      <c r="X31" s="23">
        <f>S32</f>
        <v>0.88402777777777763</v>
      </c>
      <c r="Y31" s="26"/>
      <c r="Z31" s="26"/>
      <c r="AA31" s="503"/>
      <c r="AB31" s="504"/>
      <c r="AC31" s="154"/>
      <c r="AD31" s="25"/>
      <c r="AE31" s="19">
        <f t="shared" si="8"/>
        <v>-60.769230769231399</v>
      </c>
      <c r="AF31" s="158">
        <f t="shared" si="9"/>
        <v>0.9594871794871791</v>
      </c>
      <c r="AG31" s="489"/>
    </row>
    <row r="32" spans="1:33" ht="15.75" customHeight="1">
      <c r="A32" s="520" t="s">
        <v>870</v>
      </c>
      <c r="B32" s="42" t="s">
        <v>103</v>
      </c>
      <c r="C32" s="521" t="s">
        <v>140</v>
      </c>
      <c r="D32" s="522"/>
      <c r="E32" s="42">
        <v>50.49</v>
      </c>
      <c r="F32" s="170">
        <v>1121</v>
      </c>
      <c r="G32" s="159">
        <f t="shared" si="19"/>
        <v>56599.29</v>
      </c>
      <c r="H32" s="125" t="s">
        <v>79</v>
      </c>
      <c r="I32" s="168">
        <v>15</v>
      </c>
      <c r="J32" s="37">
        <v>2000</v>
      </c>
      <c r="K32" s="17">
        <f t="shared" si="1"/>
        <v>133.33333333333334</v>
      </c>
      <c r="L32" s="168">
        <v>15</v>
      </c>
      <c r="M32" s="18">
        <f t="shared" si="20"/>
        <v>1921.7142857142837</v>
      </c>
      <c r="N32" s="17">
        <f t="shared" si="3"/>
        <v>128.11428571428559</v>
      </c>
      <c r="O32" s="19">
        <f t="shared" si="4"/>
        <v>0</v>
      </c>
      <c r="P32" s="20">
        <f t="shared" si="5"/>
        <v>-5.2190476190477568</v>
      </c>
      <c r="Q32" s="158">
        <f t="shared" si="6"/>
        <v>0.96085714285714185</v>
      </c>
      <c r="R32" s="489"/>
      <c r="S32" s="40">
        <v>0.88402777777777763</v>
      </c>
      <c r="T32" s="40">
        <v>0.90833333333333321</v>
      </c>
      <c r="U32" s="159">
        <f t="shared" si="22"/>
        <v>58.99999999999995</v>
      </c>
      <c r="V32" s="169">
        <f t="shared" si="21"/>
        <v>35.000000000000036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-78.285714285716267</v>
      </c>
      <c r="AF32" s="158">
        <f t="shared" si="9"/>
        <v>0.96085714285714185</v>
      </c>
      <c r="AG32" s="489"/>
    </row>
    <row r="33" spans="1:33" ht="15.75" customHeight="1">
      <c r="A33" s="520" t="s">
        <v>870</v>
      </c>
      <c r="B33" s="42" t="s">
        <v>103</v>
      </c>
      <c r="C33" s="521" t="s">
        <v>108</v>
      </c>
      <c r="D33" s="522"/>
      <c r="E33" s="42">
        <v>54.29</v>
      </c>
      <c r="F33" s="170">
        <v>1687</v>
      </c>
      <c r="G33" s="159">
        <f t="shared" si="19"/>
        <v>91587.23</v>
      </c>
      <c r="H33" s="125" t="s">
        <v>79</v>
      </c>
      <c r="I33" s="168">
        <v>20</v>
      </c>
      <c r="J33" s="37">
        <v>2000</v>
      </c>
      <c r="K33" s="17">
        <f t="shared" si="1"/>
        <v>100</v>
      </c>
      <c r="L33" s="168">
        <v>20</v>
      </c>
      <c r="M33" s="18">
        <f t="shared" si="20"/>
        <v>1909.8113207547181</v>
      </c>
      <c r="N33" s="17">
        <f t="shared" si="3"/>
        <v>95.490566037735903</v>
      </c>
      <c r="O33" s="19">
        <f t="shared" si="4"/>
        <v>0</v>
      </c>
      <c r="P33" s="20">
        <f t="shared" si="5"/>
        <v>-4.5094339622640973</v>
      </c>
      <c r="Q33" s="158">
        <f t="shared" si="6"/>
        <v>0.95490566037735902</v>
      </c>
      <c r="R33" s="489"/>
      <c r="S33" s="40">
        <v>0.91249999999999987</v>
      </c>
      <c r="T33" s="40">
        <v>0.9493055555555554</v>
      </c>
      <c r="U33" s="159">
        <f t="shared" si="22"/>
        <v>5.9999999999999787</v>
      </c>
      <c r="V33" s="169">
        <f t="shared" si="21"/>
        <v>52.999999999999972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-90.188679245281946</v>
      </c>
      <c r="AF33" s="158">
        <f t="shared" si="9"/>
        <v>0.95490566037735902</v>
      </c>
      <c r="AG33" s="489"/>
    </row>
    <row r="34" spans="1:33" ht="15.75" customHeight="1">
      <c r="A34" s="520" t="s">
        <v>56</v>
      </c>
      <c r="B34" s="42" t="s">
        <v>872</v>
      </c>
      <c r="C34" s="494"/>
      <c r="D34" s="494"/>
      <c r="E34" s="161"/>
      <c r="F34" s="170"/>
      <c r="G34" s="159"/>
      <c r="H34" s="170"/>
      <c r="I34" s="30">
        <v>16.636363636363637</v>
      </c>
      <c r="J34" s="37">
        <v>1909.090909090909</v>
      </c>
      <c r="K34" s="17">
        <f t="shared" si="1"/>
        <v>114.75409836065573</v>
      </c>
      <c r="L34" s="30">
        <v>16.636363636363637</v>
      </c>
      <c r="M34" s="18">
        <f>AVERAGE(M23:M33)</f>
        <v>1828.620497587661</v>
      </c>
      <c r="N34" s="17">
        <f t="shared" si="3"/>
        <v>109.91707908996869</v>
      </c>
      <c r="O34" s="19">
        <f t="shared" si="4"/>
        <v>0</v>
      </c>
      <c r="P34" s="20">
        <f t="shared" si="5"/>
        <v>-4.837019270687037</v>
      </c>
      <c r="Q34" s="158">
        <f t="shared" si="6"/>
        <v>0.95784883206972726</v>
      </c>
      <c r="R34" s="489"/>
      <c r="S34" s="40"/>
      <c r="T34" s="40"/>
      <c r="U34" s="17"/>
      <c r="V34" s="169"/>
      <c r="W34" s="17"/>
      <c r="X34" s="17"/>
      <c r="Y34" s="31">
        <f>SUM(Y23:Y33)</f>
        <v>0</v>
      </c>
      <c r="Z34" s="31">
        <f>SUM(Z23:Z33)</f>
        <v>0</v>
      </c>
      <c r="AA34" s="495"/>
      <c r="AB34" s="495"/>
      <c r="AC34" s="31">
        <v>4</v>
      </c>
      <c r="AD34" s="31">
        <f>SUM(AD23:AD33)</f>
        <v>0</v>
      </c>
      <c r="AE34" s="19">
        <f t="shared" si="8"/>
        <v>-80.470411503247988</v>
      </c>
      <c r="AF34" s="158">
        <f t="shared" si="9"/>
        <v>0.95784883206972726</v>
      </c>
      <c r="AG34" s="489"/>
    </row>
    <row r="35" spans="1:33" ht="15.75" customHeight="1">
      <c r="A35" s="518" t="s">
        <v>873</v>
      </c>
      <c r="B35" s="42" t="s">
        <v>80</v>
      </c>
      <c r="C35" s="515" t="s">
        <v>81</v>
      </c>
      <c r="D35" s="515"/>
      <c r="E35" s="42">
        <v>31.29</v>
      </c>
      <c r="F35" s="170">
        <v>6660</v>
      </c>
      <c r="G35" s="159">
        <f t="shared" ref="G35:G39" si="23">E35*F35</f>
        <v>208391.4</v>
      </c>
      <c r="H35" s="125" t="s">
        <v>79</v>
      </c>
      <c r="I35" s="168">
        <v>18</v>
      </c>
      <c r="J35" s="37">
        <v>2400</v>
      </c>
      <c r="K35" s="17">
        <f t="shared" si="1"/>
        <v>133.33333333333334</v>
      </c>
      <c r="L35" s="168">
        <v>18</v>
      </c>
      <c r="M35" s="18">
        <f t="shared" ref="M35:M39" si="24">F35/V35*60</f>
        <v>2283.4285714285716</v>
      </c>
      <c r="N35" s="17">
        <f t="shared" si="3"/>
        <v>126.85714285714286</v>
      </c>
      <c r="O35" s="19">
        <f t="shared" si="4"/>
        <v>0</v>
      </c>
      <c r="P35" s="20">
        <f t="shared" si="5"/>
        <v>-6.4761904761904816</v>
      </c>
      <c r="Q35" s="158">
        <f t="shared" si="6"/>
        <v>0.9514285714285714</v>
      </c>
      <c r="R35" s="489">
        <f>Q40</f>
        <v>0.95610592532467509</v>
      </c>
      <c r="S35" s="40">
        <v>8.3333333333333329E-2</v>
      </c>
      <c r="T35" s="40">
        <v>0.2048611111111111</v>
      </c>
      <c r="U35" s="159"/>
      <c r="V35" s="169">
        <f t="shared" ref="V35:V39" si="25">(T35-S35)*24*60</f>
        <v>175</v>
      </c>
      <c r="W35" s="23">
        <f>T35</f>
        <v>0.2048611111111111</v>
      </c>
      <c r="X35" s="23">
        <f>S36</f>
        <v>0.22500000000000001</v>
      </c>
      <c r="Y35" s="23"/>
      <c r="Z35" s="23"/>
      <c r="AA35" s="491"/>
      <c r="AB35" s="491"/>
      <c r="AC35" s="154">
        <v>6</v>
      </c>
      <c r="AD35" s="25"/>
      <c r="AE35" s="19">
        <f t="shared" si="8"/>
        <v>-116.57142857142844</v>
      </c>
      <c r="AF35" s="158">
        <f t="shared" si="9"/>
        <v>0.95142857142857151</v>
      </c>
      <c r="AG35" s="489">
        <f>AF40</f>
        <v>0.9561059253246752</v>
      </c>
    </row>
    <row r="36" spans="1:33" ht="15.75" customHeight="1">
      <c r="A36" s="518" t="s">
        <v>874</v>
      </c>
      <c r="B36" s="42" t="s">
        <v>80</v>
      </c>
      <c r="C36" s="515" t="s">
        <v>82</v>
      </c>
      <c r="D36" s="515"/>
      <c r="E36" s="42">
        <v>26.2</v>
      </c>
      <c r="F36" s="170">
        <v>3687</v>
      </c>
      <c r="G36" s="159">
        <f t="shared" si="23"/>
        <v>96599.4</v>
      </c>
      <c r="H36" s="125" t="s">
        <v>79</v>
      </c>
      <c r="I36" s="168">
        <v>20</v>
      </c>
      <c r="J36" s="37">
        <v>2400</v>
      </c>
      <c r="K36" s="17">
        <f t="shared" si="1"/>
        <v>120</v>
      </c>
      <c r="L36" s="168">
        <v>20</v>
      </c>
      <c r="M36" s="18">
        <f t="shared" si="24"/>
        <v>2304.3749999999995</v>
      </c>
      <c r="N36" s="17">
        <f t="shared" si="3"/>
        <v>115.21874999999997</v>
      </c>
      <c r="O36" s="19">
        <f t="shared" si="4"/>
        <v>0</v>
      </c>
      <c r="P36" s="20">
        <f t="shared" si="5"/>
        <v>-4.7812500000000284</v>
      </c>
      <c r="Q36" s="158">
        <f t="shared" si="6"/>
        <v>0.96015624999999971</v>
      </c>
      <c r="R36" s="489"/>
      <c r="S36" s="40">
        <v>0.22500000000000001</v>
      </c>
      <c r="T36" s="40">
        <v>0.29166666666666669</v>
      </c>
      <c r="U36" s="159">
        <f t="shared" ref="U36:U39" si="26">(S36-T35)*24*60</f>
        <v>29.000000000000018</v>
      </c>
      <c r="V36" s="169">
        <f t="shared" si="25"/>
        <v>96.000000000000014</v>
      </c>
      <c r="W36" s="23"/>
      <c r="X36" s="23"/>
      <c r="Y36" s="23"/>
      <c r="Z36" s="23"/>
      <c r="AA36" s="491"/>
      <c r="AB36" s="491"/>
      <c r="AC36" s="154"/>
      <c r="AD36" s="25"/>
      <c r="AE36" s="19">
        <f t="shared" si="8"/>
        <v>-95.625000000000455</v>
      </c>
      <c r="AF36" s="158">
        <f t="shared" si="9"/>
        <v>0.96015624999999982</v>
      </c>
      <c r="AG36" s="489"/>
    </row>
    <row r="37" spans="1:33" ht="15.75" customHeight="1">
      <c r="A37" s="518" t="s">
        <v>59</v>
      </c>
      <c r="B37" s="42" t="s">
        <v>80</v>
      </c>
      <c r="C37" s="515" t="s">
        <v>83</v>
      </c>
      <c r="D37" s="515"/>
      <c r="E37" s="42">
        <v>25.99</v>
      </c>
      <c r="F37" s="170">
        <v>3356</v>
      </c>
      <c r="G37" s="159">
        <f t="shared" si="23"/>
        <v>87222.439999999988</v>
      </c>
      <c r="H37" s="125" t="s">
        <v>79</v>
      </c>
      <c r="I37" s="168">
        <v>14</v>
      </c>
      <c r="J37" s="37">
        <v>2400</v>
      </c>
      <c r="K37" s="17">
        <f t="shared" si="1"/>
        <v>171.42857142857142</v>
      </c>
      <c r="L37" s="168">
        <v>14</v>
      </c>
      <c r="M37" s="18">
        <f t="shared" si="24"/>
        <v>2288.181818181818</v>
      </c>
      <c r="N37" s="17">
        <f t="shared" si="3"/>
        <v>163.44155844155844</v>
      </c>
      <c r="O37" s="19">
        <f t="shared" si="4"/>
        <v>0</v>
      </c>
      <c r="P37" s="20">
        <f t="shared" si="5"/>
        <v>-7.9870129870129745</v>
      </c>
      <c r="Q37" s="158">
        <f t="shared" si="6"/>
        <v>0.95340909090909098</v>
      </c>
      <c r="R37" s="489"/>
      <c r="S37" s="40">
        <v>0.29583333333333334</v>
      </c>
      <c r="T37" s="40">
        <v>0.35694444444444445</v>
      </c>
      <c r="U37" s="159">
        <f t="shared" si="26"/>
        <v>5.9999999999999787</v>
      </c>
      <c r="V37" s="169">
        <f t="shared" si="25"/>
        <v>88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-111.81818181818198</v>
      </c>
      <c r="AF37" s="158">
        <f t="shared" si="9"/>
        <v>0.95340909090909087</v>
      </c>
      <c r="AG37" s="489"/>
    </row>
    <row r="38" spans="1:33" ht="15.75" customHeight="1">
      <c r="A38" s="518" t="s">
        <v>59</v>
      </c>
      <c r="B38" s="42" t="s">
        <v>80</v>
      </c>
      <c r="C38" s="515" t="s">
        <v>84</v>
      </c>
      <c r="D38" s="515"/>
      <c r="E38" s="42">
        <v>20.52</v>
      </c>
      <c r="F38" s="170">
        <v>3044</v>
      </c>
      <c r="G38" s="159">
        <f t="shared" si="23"/>
        <v>62462.879999999997</v>
      </c>
      <c r="H38" s="125" t="s">
        <v>79</v>
      </c>
      <c r="I38" s="168">
        <v>18</v>
      </c>
      <c r="J38" s="37">
        <v>2400</v>
      </c>
      <c r="K38" s="17">
        <f t="shared" si="1"/>
        <v>133.33333333333334</v>
      </c>
      <c r="L38" s="168">
        <v>18</v>
      </c>
      <c r="M38" s="18">
        <f t="shared" si="24"/>
        <v>2283.0000000000009</v>
      </c>
      <c r="N38" s="17">
        <f t="shared" si="3"/>
        <v>126.83333333333339</v>
      </c>
      <c r="O38" s="19">
        <f t="shared" si="4"/>
        <v>0</v>
      </c>
      <c r="P38" s="20">
        <f t="shared" si="5"/>
        <v>-6.4999999999999574</v>
      </c>
      <c r="Q38" s="158">
        <f t="shared" si="6"/>
        <v>0.95125000000000037</v>
      </c>
      <c r="R38" s="489"/>
      <c r="S38" s="40">
        <v>0.3611111111111111</v>
      </c>
      <c r="T38" s="40">
        <v>0.41666666666666663</v>
      </c>
      <c r="U38" s="159">
        <f t="shared" si="26"/>
        <v>5.9999999999999787</v>
      </c>
      <c r="V38" s="169">
        <f t="shared" si="25"/>
        <v>79.999999999999957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-116.99999999999909</v>
      </c>
      <c r="AF38" s="158">
        <f t="shared" si="9"/>
        <v>0.95125000000000037</v>
      </c>
      <c r="AG38" s="489"/>
    </row>
    <row r="39" spans="1:33" ht="15.75" customHeight="1">
      <c r="A39" s="518" t="s">
        <v>59</v>
      </c>
      <c r="B39" s="42" t="s">
        <v>80</v>
      </c>
      <c r="C39" s="515" t="s">
        <v>85</v>
      </c>
      <c r="D39" s="515"/>
      <c r="E39" s="42">
        <v>25.98</v>
      </c>
      <c r="F39" s="170">
        <v>2700</v>
      </c>
      <c r="G39" s="159">
        <f t="shared" si="23"/>
        <v>70146</v>
      </c>
      <c r="H39" s="125" t="s">
        <v>79</v>
      </c>
      <c r="I39" s="168">
        <v>21</v>
      </c>
      <c r="J39" s="37">
        <v>2400</v>
      </c>
      <c r="K39" s="17">
        <f t="shared" si="1"/>
        <v>114.28571428571429</v>
      </c>
      <c r="L39" s="168">
        <v>21</v>
      </c>
      <c r="M39" s="18">
        <f t="shared" si="24"/>
        <v>2314.2857142857147</v>
      </c>
      <c r="N39" s="17">
        <f t="shared" si="3"/>
        <v>110.20408163265309</v>
      </c>
      <c r="O39" s="19">
        <f t="shared" si="4"/>
        <v>0</v>
      </c>
      <c r="P39" s="20">
        <f t="shared" si="5"/>
        <v>-4.0816326530612059</v>
      </c>
      <c r="Q39" s="158">
        <f t="shared" si="6"/>
        <v>0.96428571428571441</v>
      </c>
      <c r="R39" s="489"/>
      <c r="S39" s="40">
        <v>0.42083333333333328</v>
      </c>
      <c r="T39" s="40">
        <v>0.46944444444444439</v>
      </c>
      <c r="U39" s="159">
        <f t="shared" si="26"/>
        <v>5.9999999999999787</v>
      </c>
      <c r="V39" s="169">
        <f t="shared" si="25"/>
        <v>69.999999999999986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-85.714285714285325</v>
      </c>
      <c r="AF39" s="158">
        <f t="shared" si="9"/>
        <v>0.96428571428571441</v>
      </c>
      <c r="AG39" s="489"/>
    </row>
    <row r="40" spans="1:33" ht="15.75" customHeight="1">
      <c r="A40" s="518" t="s">
        <v>59</v>
      </c>
      <c r="B40" s="42" t="s">
        <v>71</v>
      </c>
      <c r="C40" s="494"/>
      <c r="D40" s="494"/>
      <c r="E40" s="161"/>
      <c r="F40" s="170"/>
      <c r="G40" s="159"/>
      <c r="H40" s="170"/>
      <c r="I40" s="30">
        <v>18.2</v>
      </c>
      <c r="J40" s="37">
        <v>2400</v>
      </c>
      <c r="K40" s="17">
        <f t="shared" si="1"/>
        <v>131.86813186813188</v>
      </c>
      <c r="L40" s="30">
        <v>18.2</v>
      </c>
      <c r="M40" s="18">
        <f>AVERAGE(M35:M39)</f>
        <v>2294.6542207792204</v>
      </c>
      <c r="N40" s="17">
        <f t="shared" si="3"/>
        <v>126.07990224061651</v>
      </c>
      <c r="O40" s="19">
        <f t="shared" si="4"/>
        <v>0</v>
      </c>
      <c r="P40" s="20">
        <f t="shared" si="5"/>
        <v>-5.7882296275153777</v>
      </c>
      <c r="Q40" s="158">
        <f t="shared" si="6"/>
        <v>0.95610592532467509</v>
      </c>
      <c r="R40" s="489"/>
      <c r="S40" s="40"/>
      <c r="T40" s="40"/>
      <c r="U40" s="159"/>
      <c r="V40" s="169"/>
      <c r="W40" s="159"/>
      <c r="X40" s="159"/>
      <c r="Y40" s="31">
        <f>SUM(Y35:Y39)</f>
        <v>0</v>
      </c>
      <c r="Z40" s="31">
        <f>SUM(Z35:Z39)</f>
        <v>0</v>
      </c>
      <c r="AA40" s="495"/>
      <c r="AB40" s="495"/>
      <c r="AC40" s="31">
        <v>6</v>
      </c>
      <c r="AD40" s="31">
        <f>SUM(AD35:AD39)</f>
        <v>0</v>
      </c>
      <c r="AE40" s="19">
        <f t="shared" si="8"/>
        <v>-105.3457792207796</v>
      </c>
      <c r="AF40" s="158">
        <f t="shared" si="9"/>
        <v>0.9561059253246752</v>
      </c>
      <c r="AG40" s="489"/>
    </row>
    <row r="41" spans="1:33" ht="15.75" customHeight="1">
      <c r="A41" s="516" t="s">
        <v>61</v>
      </c>
      <c r="B41" s="42" t="s">
        <v>80</v>
      </c>
      <c r="C41" s="490" t="s">
        <v>86</v>
      </c>
      <c r="D41" s="490"/>
      <c r="E41" s="42">
        <v>22.69</v>
      </c>
      <c r="F41" s="170">
        <v>489</v>
      </c>
      <c r="G41" s="159">
        <f t="shared" ref="G41:G47" si="27">E41*F41</f>
        <v>11095.41</v>
      </c>
      <c r="H41" s="125" t="s">
        <v>79</v>
      </c>
      <c r="I41" s="168">
        <v>15</v>
      </c>
      <c r="J41" s="37">
        <v>2400</v>
      </c>
      <c r="K41" s="17">
        <f t="shared" si="1"/>
        <v>160</v>
      </c>
      <c r="L41" s="168">
        <v>15</v>
      </c>
      <c r="M41" s="18">
        <f t="shared" ref="M41:M47" si="28">F41/V41*60</f>
        <v>2256.9230769230749</v>
      </c>
      <c r="N41" s="17">
        <f t="shared" si="3"/>
        <v>150.46153846153831</v>
      </c>
      <c r="O41" s="19">
        <f t="shared" si="4"/>
        <v>0</v>
      </c>
      <c r="P41" s="20">
        <f t="shared" si="5"/>
        <v>-9.5384615384616893</v>
      </c>
      <c r="Q41" s="158">
        <f t="shared" si="6"/>
        <v>0.94038461538461449</v>
      </c>
      <c r="R41" s="489">
        <f>Q48</f>
        <v>0.9499622840079488</v>
      </c>
      <c r="S41" s="40">
        <v>8.3333333333333329E-2</v>
      </c>
      <c r="T41" s="40">
        <v>9.2361111111111116E-2</v>
      </c>
      <c r="U41" s="159"/>
      <c r="V41" s="169">
        <f t="shared" ref="V41:V47" si="29">(T41-S41)*24*60</f>
        <v>13.000000000000014</v>
      </c>
      <c r="W41" s="28">
        <f>T41</f>
        <v>9.2361111111111116E-2</v>
      </c>
      <c r="X41" s="28">
        <f>S42</f>
        <v>0.10972222222222222</v>
      </c>
      <c r="Y41" s="28"/>
      <c r="Z41" s="28"/>
      <c r="AA41" s="491"/>
      <c r="AB41" s="491"/>
      <c r="AC41" s="154">
        <v>5</v>
      </c>
      <c r="AD41" s="25"/>
      <c r="AE41" s="19">
        <f t="shared" si="8"/>
        <v>-143.07692307692514</v>
      </c>
      <c r="AF41" s="158">
        <f t="shared" si="9"/>
        <v>0.94038461538461449</v>
      </c>
      <c r="AG41" s="489">
        <f>AF48</f>
        <v>0.94996228400794891</v>
      </c>
    </row>
    <row r="42" spans="1:33" ht="15.75" customHeight="1">
      <c r="A42" s="516" t="s">
        <v>61</v>
      </c>
      <c r="B42" s="42" t="s">
        <v>80</v>
      </c>
      <c r="C42" s="490" t="s">
        <v>87</v>
      </c>
      <c r="D42" s="490"/>
      <c r="E42" s="42">
        <v>26.2</v>
      </c>
      <c r="F42" s="170">
        <v>4669</v>
      </c>
      <c r="G42" s="159">
        <f t="shared" si="27"/>
        <v>122327.8</v>
      </c>
      <c r="H42" s="125" t="s">
        <v>79</v>
      </c>
      <c r="I42" s="168">
        <v>18</v>
      </c>
      <c r="J42" s="37">
        <v>2400</v>
      </c>
      <c r="K42" s="17">
        <f t="shared" si="1"/>
        <v>133.33333333333334</v>
      </c>
      <c r="L42" s="168">
        <v>18</v>
      </c>
      <c r="M42" s="18">
        <f t="shared" si="28"/>
        <v>2296.2295081967218</v>
      </c>
      <c r="N42" s="17">
        <f t="shared" si="3"/>
        <v>127.56830601092899</v>
      </c>
      <c r="O42" s="19">
        <f t="shared" si="4"/>
        <v>0</v>
      </c>
      <c r="P42" s="20">
        <f t="shared" si="5"/>
        <v>-5.7650273224043502</v>
      </c>
      <c r="Q42" s="158">
        <f t="shared" si="6"/>
        <v>0.95676229508196742</v>
      </c>
      <c r="R42" s="489"/>
      <c r="S42" s="40">
        <v>0.10972222222222222</v>
      </c>
      <c r="T42" s="40">
        <v>0.19444444444444442</v>
      </c>
      <c r="U42" s="159">
        <f t="shared" ref="U42:U47" si="30">(S42-T41)*24*60</f>
        <v>24.999999999999993</v>
      </c>
      <c r="V42" s="169">
        <f t="shared" si="29"/>
        <v>121.99999999999997</v>
      </c>
      <c r="W42" s="159"/>
      <c r="X42" s="159"/>
      <c r="Y42" s="159"/>
      <c r="Z42" s="159"/>
      <c r="AA42" s="491"/>
      <c r="AB42" s="491"/>
      <c r="AC42" s="154"/>
      <c r="AD42" s="25"/>
      <c r="AE42" s="19">
        <f t="shared" si="8"/>
        <v>-103.77049180327822</v>
      </c>
      <c r="AF42" s="158">
        <f t="shared" si="9"/>
        <v>0.95676229508196742</v>
      </c>
      <c r="AG42" s="489"/>
    </row>
    <row r="43" spans="1:33">
      <c r="A43" s="517" t="s">
        <v>61</v>
      </c>
      <c r="B43" s="42" t="s">
        <v>80</v>
      </c>
      <c r="C43" s="490" t="s">
        <v>88</v>
      </c>
      <c r="D43" s="490"/>
      <c r="E43" s="42">
        <v>26.18</v>
      </c>
      <c r="F43" s="170">
        <v>1691</v>
      </c>
      <c r="G43" s="159">
        <f t="shared" si="27"/>
        <v>44270.38</v>
      </c>
      <c r="H43" s="125" t="s">
        <v>79</v>
      </c>
      <c r="I43" s="168">
        <v>19</v>
      </c>
      <c r="J43" s="37">
        <v>2400</v>
      </c>
      <c r="K43" s="17">
        <f t="shared" si="1"/>
        <v>126.31578947368421</v>
      </c>
      <c r="L43" s="168">
        <v>19</v>
      </c>
      <c r="M43" s="18">
        <f t="shared" si="28"/>
        <v>2305.909090909091</v>
      </c>
      <c r="N43" s="17">
        <f t="shared" si="3"/>
        <v>121.36363636363637</v>
      </c>
      <c r="O43" s="19">
        <f t="shared" si="4"/>
        <v>0</v>
      </c>
      <c r="P43" s="20">
        <f t="shared" si="5"/>
        <v>-4.9521531100478313</v>
      </c>
      <c r="Q43" s="158">
        <f t="shared" si="6"/>
        <v>0.96079545454545467</v>
      </c>
      <c r="R43" s="489"/>
      <c r="S43" s="40">
        <v>0.1986111111111111</v>
      </c>
      <c r="T43" s="40">
        <v>0.22916666666666666</v>
      </c>
      <c r="U43" s="159">
        <f t="shared" si="30"/>
        <v>6.0000000000000187</v>
      </c>
      <c r="V43" s="169">
        <f t="shared" si="29"/>
        <v>44</v>
      </c>
      <c r="W43" s="159"/>
      <c r="X43" s="159"/>
      <c r="Y43" s="159"/>
      <c r="Z43" s="159"/>
      <c r="AA43" s="491"/>
      <c r="AB43" s="491"/>
      <c r="AC43" s="154"/>
      <c r="AD43" s="25"/>
      <c r="AE43" s="19">
        <f t="shared" si="8"/>
        <v>-94.090909090909008</v>
      </c>
      <c r="AF43" s="158">
        <f t="shared" si="9"/>
        <v>0.96079545454545456</v>
      </c>
      <c r="AG43" s="489"/>
    </row>
    <row r="44" spans="1:33">
      <c r="A44" s="517" t="s">
        <v>61</v>
      </c>
      <c r="B44" s="42" t="s">
        <v>80</v>
      </c>
      <c r="C44" s="490" t="s">
        <v>89</v>
      </c>
      <c r="D44" s="490"/>
      <c r="E44" s="42">
        <v>26.39</v>
      </c>
      <c r="F44" s="170">
        <v>5051</v>
      </c>
      <c r="G44" s="159">
        <f t="shared" si="27"/>
        <v>133295.89000000001</v>
      </c>
      <c r="H44" s="125" t="s">
        <v>79</v>
      </c>
      <c r="I44" s="168">
        <v>19</v>
      </c>
      <c r="J44" s="37">
        <v>2400</v>
      </c>
      <c r="K44" s="17">
        <f t="shared" si="1"/>
        <v>126.31578947368421</v>
      </c>
      <c r="L44" s="168">
        <v>19</v>
      </c>
      <c r="M44" s="18">
        <f t="shared" si="28"/>
        <v>2295.909090909091</v>
      </c>
      <c r="N44" s="17">
        <f t="shared" si="3"/>
        <v>120.83732057416269</v>
      </c>
      <c r="O44" s="19">
        <f t="shared" si="4"/>
        <v>0</v>
      </c>
      <c r="P44" s="20">
        <f t="shared" si="5"/>
        <v>-5.4784688995215163</v>
      </c>
      <c r="Q44" s="158">
        <f t="shared" si="6"/>
        <v>0.95662878787878802</v>
      </c>
      <c r="R44" s="489"/>
      <c r="S44" s="40">
        <v>0.23333333333333334</v>
      </c>
      <c r="T44" s="40">
        <v>0.32500000000000001</v>
      </c>
      <c r="U44" s="159">
        <f t="shared" si="30"/>
        <v>6.0000000000000187</v>
      </c>
      <c r="V44" s="169">
        <f t="shared" si="29"/>
        <v>132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-104.09090909090901</v>
      </c>
      <c r="AF44" s="158">
        <f t="shared" si="9"/>
        <v>0.95662878787878791</v>
      </c>
      <c r="AG44" s="489"/>
    </row>
    <row r="45" spans="1:33">
      <c r="A45" s="517" t="s">
        <v>61</v>
      </c>
      <c r="B45" s="42" t="s">
        <v>80</v>
      </c>
      <c r="C45" s="490" t="s">
        <v>90</v>
      </c>
      <c r="D45" s="490"/>
      <c r="E45" s="42">
        <v>22.69</v>
      </c>
      <c r="F45" s="170">
        <v>1771</v>
      </c>
      <c r="G45" s="159">
        <f t="shared" si="27"/>
        <v>40183.990000000005</v>
      </c>
      <c r="H45" s="125" t="s">
        <v>79</v>
      </c>
      <c r="I45" s="168">
        <v>15</v>
      </c>
      <c r="J45" s="37">
        <v>2400</v>
      </c>
      <c r="K45" s="17">
        <f t="shared" si="1"/>
        <v>160</v>
      </c>
      <c r="L45" s="168">
        <v>15</v>
      </c>
      <c r="M45" s="18">
        <f t="shared" si="28"/>
        <v>2310</v>
      </c>
      <c r="N45" s="17">
        <f t="shared" si="3"/>
        <v>154</v>
      </c>
      <c r="O45" s="19">
        <f t="shared" si="4"/>
        <v>0</v>
      </c>
      <c r="P45" s="20">
        <f t="shared" si="5"/>
        <v>-6</v>
      </c>
      <c r="Q45" s="158">
        <f t="shared" si="6"/>
        <v>0.96250000000000002</v>
      </c>
      <c r="R45" s="489"/>
      <c r="S45" s="40">
        <v>0.3298611111111111</v>
      </c>
      <c r="T45" s="40">
        <v>0.36180555555555555</v>
      </c>
      <c r="U45" s="159">
        <f t="shared" si="30"/>
        <v>6.9999999999999751</v>
      </c>
      <c r="V45" s="169">
        <f t="shared" si="29"/>
        <v>46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-90</v>
      </c>
      <c r="AF45" s="158">
        <f t="shared" si="9"/>
        <v>0.96250000000000002</v>
      </c>
      <c r="AG45" s="489"/>
    </row>
    <row r="46" spans="1:33">
      <c r="A46" s="517" t="s">
        <v>61</v>
      </c>
      <c r="B46" s="42" t="s">
        <v>80</v>
      </c>
      <c r="C46" s="490" t="s">
        <v>91</v>
      </c>
      <c r="D46" s="490"/>
      <c r="E46" s="42">
        <v>24.45</v>
      </c>
      <c r="F46" s="170">
        <v>1986</v>
      </c>
      <c r="G46" s="159">
        <f t="shared" si="27"/>
        <v>48557.7</v>
      </c>
      <c r="H46" s="125" t="s">
        <v>79</v>
      </c>
      <c r="I46" s="168">
        <v>20</v>
      </c>
      <c r="J46" s="37">
        <v>2400</v>
      </c>
      <c r="K46" s="17">
        <f t="shared" si="1"/>
        <v>120</v>
      </c>
      <c r="L46" s="168">
        <v>20</v>
      </c>
      <c r="M46" s="18">
        <f t="shared" si="28"/>
        <v>2291.5384615384628</v>
      </c>
      <c r="N46" s="17">
        <f t="shared" si="3"/>
        <v>114.57692307692314</v>
      </c>
      <c r="O46" s="19">
        <f t="shared" si="4"/>
        <v>0</v>
      </c>
      <c r="P46" s="20">
        <f t="shared" si="5"/>
        <v>-5.423076923076863</v>
      </c>
      <c r="Q46" s="158">
        <f t="shared" si="6"/>
        <v>0.9548076923076928</v>
      </c>
      <c r="R46" s="489"/>
      <c r="S46" s="40">
        <v>0.36736111111111108</v>
      </c>
      <c r="T46" s="40">
        <v>0.40347222222222218</v>
      </c>
      <c r="U46" s="159">
        <f t="shared" si="30"/>
        <v>7.9999999999999716</v>
      </c>
      <c r="V46" s="169">
        <f t="shared" si="29"/>
        <v>51.999999999999972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-108.4615384615372</v>
      </c>
      <c r="AF46" s="158">
        <f t="shared" si="9"/>
        <v>0.9548076923076928</v>
      </c>
      <c r="AG46" s="489"/>
    </row>
    <row r="47" spans="1:33">
      <c r="A47" s="517" t="s">
        <v>61</v>
      </c>
      <c r="B47" s="42" t="s">
        <v>80</v>
      </c>
      <c r="C47" s="490" t="s">
        <v>92</v>
      </c>
      <c r="D47" s="490"/>
      <c r="E47" s="42">
        <v>28.51</v>
      </c>
      <c r="F47" s="170">
        <v>257</v>
      </c>
      <c r="G47" s="159">
        <f t="shared" si="27"/>
        <v>7327.0700000000006</v>
      </c>
      <c r="H47" s="125" t="s">
        <v>79</v>
      </c>
      <c r="I47" s="168">
        <v>16</v>
      </c>
      <c r="J47" s="37">
        <v>2400</v>
      </c>
      <c r="K47" s="17">
        <f t="shared" si="1"/>
        <v>150</v>
      </c>
      <c r="L47" s="168">
        <v>16</v>
      </c>
      <c r="M47" s="18">
        <f t="shared" si="28"/>
        <v>2202.8571428571004</v>
      </c>
      <c r="N47" s="17">
        <f t="shared" si="3"/>
        <v>137.67857142856877</v>
      </c>
      <c r="O47" s="19">
        <f t="shared" si="4"/>
        <v>0</v>
      </c>
      <c r="P47" s="20">
        <f t="shared" si="5"/>
        <v>-12.321428571431227</v>
      </c>
      <c r="Q47" s="158">
        <f t="shared" si="6"/>
        <v>0.91785714285712516</v>
      </c>
      <c r="R47" s="489"/>
      <c r="S47" s="40">
        <v>0.40763888888888883</v>
      </c>
      <c r="T47" s="40">
        <v>0.41250000000000003</v>
      </c>
      <c r="U47" s="159">
        <f t="shared" si="30"/>
        <v>5.9999999999999787</v>
      </c>
      <c r="V47" s="169">
        <f t="shared" si="29"/>
        <v>7.000000000000135</v>
      </c>
      <c r="W47" s="23"/>
      <c r="X47" s="23"/>
      <c r="Y47" s="26"/>
      <c r="Z47" s="26"/>
      <c r="AA47" s="503"/>
      <c r="AB47" s="504"/>
      <c r="AC47" s="154"/>
      <c r="AD47" s="25"/>
      <c r="AE47" s="19">
        <f t="shared" si="8"/>
        <v>-197.14285714289963</v>
      </c>
      <c r="AF47" s="158">
        <f t="shared" si="9"/>
        <v>0.91785714285712516</v>
      </c>
      <c r="AG47" s="489"/>
    </row>
    <row r="48" spans="1:33">
      <c r="A48" s="517" t="s">
        <v>61</v>
      </c>
      <c r="B48" s="44" t="s">
        <v>71</v>
      </c>
      <c r="C48" s="494"/>
      <c r="D48" s="494"/>
      <c r="E48" s="161"/>
      <c r="F48" s="44"/>
      <c r="G48" s="17"/>
      <c r="H48" s="170"/>
      <c r="I48" s="30">
        <v>17.428571428571427</v>
      </c>
      <c r="J48" s="37">
        <v>2400</v>
      </c>
      <c r="K48" s="17">
        <f t="shared" si="1"/>
        <v>137.70491803278691</v>
      </c>
      <c r="L48" s="30">
        <v>17.428571428571427</v>
      </c>
      <c r="M48" s="18">
        <f>AVERAGE(M41:M47)</f>
        <v>2279.9094816190773</v>
      </c>
      <c r="N48" s="17">
        <f t="shared" si="3"/>
        <v>130.81447845355362</v>
      </c>
      <c r="O48" s="19">
        <f t="shared" si="4"/>
        <v>0</v>
      </c>
      <c r="P48" s="20">
        <f t="shared" si="5"/>
        <v>-6.8904395792332878</v>
      </c>
      <c r="Q48" s="158">
        <f t="shared" si="6"/>
        <v>0.9499622840079488</v>
      </c>
      <c r="R48" s="489"/>
      <c r="S48" s="40"/>
      <c r="T48" s="40"/>
      <c r="U48" s="17"/>
      <c r="V48" s="169"/>
      <c r="W48" s="17"/>
      <c r="X48" s="17"/>
      <c r="Y48" s="31">
        <f>SUM(Y41:Y47)</f>
        <v>0</v>
      </c>
      <c r="Z48" s="31">
        <f>SUM(Z41:Z47)</f>
        <v>0</v>
      </c>
      <c r="AA48" s="495"/>
      <c r="AB48" s="495"/>
      <c r="AC48" s="31">
        <v>5</v>
      </c>
      <c r="AD48" s="31">
        <f>SUM(AD41:AD47)</f>
        <v>0</v>
      </c>
      <c r="AE48" s="19">
        <f t="shared" si="8"/>
        <v>-120.09051838092273</v>
      </c>
      <c r="AF48" s="158">
        <f t="shared" si="9"/>
        <v>0.94996228400794891</v>
      </c>
      <c r="AG48" s="489"/>
    </row>
    <row r="49" spans="1:33" ht="15.75" customHeight="1">
      <c r="A49" s="512" t="s">
        <v>65</v>
      </c>
      <c r="B49" s="42" t="s">
        <v>93</v>
      </c>
      <c r="C49" s="501" t="s">
        <v>94</v>
      </c>
      <c r="D49" s="502"/>
      <c r="E49" s="42">
        <v>21.13</v>
      </c>
      <c r="F49" s="170">
        <v>4604</v>
      </c>
      <c r="G49" s="159">
        <f t="shared" ref="G49:G57" si="31">E49*F49</f>
        <v>97282.51999999999</v>
      </c>
      <c r="H49" s="125" t="s">
        <v>79</v>
      </c>
      <c r="I49" s="168">
        <v>10</v>
      </c>
      <c r="J49" s="37">
        <v>3000</v>
      </c>
      <c r="K49" s="17">
        <f t="shared" si="1"/>
        <v>300</v>
      </c>
      <c r="L49" s="168">
        <v>10</v>
      </c>
      <c r="M49" s="18">
        <f t="shared" ref="M49:M57" si="32">F49/V49*60</f>
        <v>2877.5</v>
      </c>
      <c r="N49" s="18">
        <f t="shared" si="3"/>
        <v>287.75</v>
      </c>
      <c r="O49" s="19">
        <f t="shared" si="4"/>
        <v>0</v>
      </c>
      <c r="P49" s="20">
        <f t="shared" si="5"/>
        <v>-12.25</v>
      </c>
      <c r="Q49" s="158">
        <f t="shared" si="6"/>
        <v>0.95916666666666661</v>
      </c>
      <c r="R49" s="509">
        <f>Q58</f>
        <v>0.95735003768929894</v>
      </c>
      <c r="S49" s="40">
        <v>8.3333333333333329E-2</v>
      </c>
      <c r="T49" s="40">
        <v>0.15</v>
      </c>
      <c r="U49" s="28"/>
      <c r="V49" s="169">
        <f t="shared" ref="V49:V57" si="33">(T49-S49)*24*60</f>
        <v>96</v>
      </c>
      <c r="W49" s="23">
        <f>T49</f>
        <v>0.15</v>
      </c>
      <c r="X49" s="23">
        <f>S50</f>
        <v>0.1701388888888889</v>
      </c>
      <c r="Y49" s="26"/>
      <c r="Z49" s="26"/>
      <c r="AA49" s="503"/>
      <c r="AB49" s="504"/>
      <c r="AC49" s="154" t="s">
        <v>79</v>
      </c>
      <c r="AD49" s="25"/>
      <c r="AE49" s="19">
        <f t="shared" si="8"/>
        <v>-122.5</v>
      </c>
      <c r="AF49" s="158">
        <f t="shared" si="9"/>
        <v>0.95916666666666661</v>
      </c>
      <c r="AG49" s="509">
        <f>AF58</f>
        <v>0.95735003768929905</v>
      </c>
    </row>
    <row r="50" spans="1:33" ht="15.75" customHeight="1">
      <c r="A50" s="513" t="s">
        <v>65</v>
      </c>
      <c r="B50" s="42" t="s">
        <v>93</v>
      </c>
      <c r="C50" s="501" t="s">
        <v>95</v>
      </c>
      <c r="D50" s="502"/>
      <c r="E50" s="42">
        <v>27.17</v>
      </c>
      <c r="F50" s="170">
        <v>5744</v>
      </c>
      <c r="G50" s="159">
        <f t="shared" si="31"/>
        <v>156064.48000000001</v>
      </c>
      <c r="H50" s="125" t="s">
        <v>79</v>
      </c>
      <c r="I50" s="168">
        <v>10</v>
      </c>
      <c r="J50" s="37">
        <v>3000</v>
      </c>
      <c r="K50" s="17">
        <f t="shared" si="1"/>
        <v>300</v>
      </c>
      <c r="L50" s="168">
        <v>10</v>
      </c>
      <c r="M50" s="18">
        <f t="shared" si="32"/>
        <v>2872.0000000000009</v>
      </c>
      <c r="N50" s="18">
        <f t="shared" si="3"/>
        <v>287.2000000000001</v>
      </c>
      <c r="O50" s="19">
        <f t="shared" si="4"/>
        <v>0</v>
      </c>
      <c r="P50" s="20">
        <f t="shared" si="5"/>
        <v>-12.799999999999898</v>
      </c>
      <c r="Q50" s="158">
        <f t="shared" si="6"/>
        <v>0.9573333333333337</v>
      </c>
      <c r="R50" s="510"/>
      <c r="S50" s="40">
        <v>0.1701388888888889</v>
      </c>
      <c r="T50" s="40">
        <v>0.25347222222222221</v>
      </c>
      <c r="U50" s="159">
        <f t="shared" ref="U50:U57" si="34">(S50-T49)*24*60</f>
        <v>29.000000000000018</v>
      </c>
      <c r="V50" s="169">
        <f t="shared" si="33"/>
        <v>119.99999999999997</v>
      </c>
      <c r="W50" s="23"/>
      <c r="X50" s="23"/>
      <c r="Y50" s="26"/>
      <c r="Z50" s="26"/>
      <c r="AA50" s="503"/>
      <c r="AB50" s="504"/>
      <c r="AC50" s="154">
        <v>1</v>
      </c>
      <c r="AD50" s="25"/>
      <c r="AE50" s="19">
        <f t="shared" si="8"/>
        <v>-127.99999999999909</v>
      </c>
      <c r="AF50" s="158">
        <f t="shared" si="9"/>
        <v>0.95733333333333359</v>
      </c>
      <c r="AG50" s="510"/>
    </row>
    <row r="51" spans="1:33" ht="15.75" customHeight="1">
      <c r="A51" s="513" t="s">
        <v>65</v>
      </c>
      <c r="B51" s="42" t="s">
        <v>93</v>
      </c>
      <c r="C51" s="501" t="s">
        <v>96</v>
      </c>
      <c r="D51" s="502"/>
      <c r="E51" s="42">
        <v>35.119999999999997</v>
      </c>
      <c r="F51" s="170">
        <v>4142</v>
      </c>
      <c r="G51" s="159">
        <f t="shared" si="31"/>
        <v>145467.03999999998</v>
      </c>
      <c r="H51" s="125" t="s">
        <v>79</v>
      </c>
      <c r="I51" s="168">
        <v>10</v>
      </c>
      <c r="J51" s="37">
        <v>3000</v>
      </c>
      <c r="K51" s="17">
        <f t="shared" si="1"/>
        <v>300</v>
      </c>
      <c r="L51" s="168">
        <v>10</v>
      </c>
      <c r="M51" s="18">
        <f t="shared" si="32"/>
        <v>2856.5517241379307</v>
      </c>
      <c r="N51" s="18">
        <f t="shared" si="3"/>
        <v>285.65517241379308</v>
      </c>
      <c r="O51" s="19">
        <f t="shared" si="4"/>
        <v>0</v>
      </c>
      <c r="P51" s="20">
        <f t="shared" si="5"/>
        <v>-14.344827586206918</v>
      </c>
      <c r="Q51" s="158">
        <f t="shared" si="6"/>
        <v>0.95218390804597697</v>
      </c>
      <c r="R51" s="510"/>
      <c r="S51" s="40">
        <v>0.25763888888888886</v>
      </c>
      <c r="T51" s="40">
        <v>0.31805555555555554</v>
      </c>
      <c r="U51" s="159">
        <f t="shared" si="34"/>
        <v>5.9999999999999787</v>
      </c>
      <c r="V51" s="169">
        <f t="shared" si="33"/>
        <v>87.000000000000014</v>
      </c>
      <c r="W51" s="23"/>
      <c r="X51" s="23"/>
      <c r="Y51" s="26"/>
      <c r="Z51" s="26"/>
      <c r="AA51" s="503"/>
      <c r="AB51" s="504"/>
      <c r="AC51" s="154" t="s">
        <v>79</v>
      </c>
      <c r="AD51" s="25"/>
      <c r="AE51" s="19">
        <f t="shared" si="8"/>
        <v>-143.44827586206929</v>
      </c>
      <c r="AF51" s="158">
        <f t="shared" si="9"/>
        <v>0.95218390804597686</v>
      </c>
      <c r="AG51" s="510"/>
    </row>
    <row r="52" spans="1:33" ht="15.75" customHeight="1">
      <c r="A52" s="513" t="s">
        <v>65</v>
      </c>
      <c r="B52" s="42" t="s">
        <v>93</v>
      </c>
      <c r="C52" s="501" t="s">
        <v>97</v>
      </c>
      <c r="D52" s="502"/>
      <c r="E52" s="42">
        <v>31</v>
      </c>
      <c r="F52" s="170">
        <v>966</v>
      </c>
      <c r="G52" s="159">
        <f t="shared" si="31"/>
        <v>29946</v>
      </c>
      <c r="H52" s="125" t="s">
        <v>79</v>
      </c>
      <c r="I52" s="168">
        <v>13</v>
      </c>
      <c r="J52" s="37">
        <v>2000</v>
      </c>
      <c r="K52" s="17">
        <f t="shared" si="1"/>
        <v>153.84615384615384</v>
      </c>
      <c r="L52" s="168">
        <v>13</v>
      </c>
      <c r="M52" s="18">
        <f t="shared" si="32"/>
        <v>1932.0000000000018</v>
      </c>
      <c r="N52" s="18">
        <f t="shared" si="3"/>
        <v>148.61538461538476</v>
      </c>
      <c r="O52" s="19">
        <f t="shared" si="4"/>
        <v>0</v>
      </c>
      <c r="P52" s="20">
        <f t="shared" si="5"/>
        <v>-5.2307692307690843</v>
      </c>
      <c r="Q52" s="158">
        <f t="shared" si="6"/>
        <v>0.96600000000000097</v>
      </c>
      <c r="R52" s="510"/>
      <c r="S52" s="40">
        <v>0.32152777777777775</v>
      </c>
      <c r="T52" s="40">
        <v>0.34236111111111106</v>
      </c>
      <c r="U52" s="159">
        <f t="shared" si="34"/>
        <v>4.9999999999999822</v>
      </c>
      <c r="V52" s="169">
        <f t="shared" si="33"/>
        <v>29.999999999999972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-67.999999999998181</v>
      </c>
      <c r="AF52" s="158">
        <f t="shared" si="9"/>
        <v>0.96600000000000086</v>
      </c>
      <c r="AG52" s="510"/>
    </row>
    <row r="53" spans="1:33" ht="15.75" customHeight="1">
      <c r="A53" s="513" t="s">
        <v>65</v>
      </c>
      <c r="B53" s="42" t="s">
        <v>93</v>
      </c>
      <c r="C53" s="501" t="s">
        <v>98</v>
      </c>
      <c r="D53" s="502"/>
      <c r="E53" s="42">
        <v>37.880000000000003</v>
      </c>
      <c r="F53" s="170">
        <v>1395</v>
      </c>
      <c r="G53" s="159">
        <f t="shared" si="31"/>
        <v>52842.600000000006</v>
      </c>
      <c r="H53" s="125" t="s">
        <v>79</v>
      </c>
      <c r="I53" s="168">
        <v>14</v>
      </c>
      <c r="J53" s="37">
        <v>2000</v>
      </c>
      <c r="K53" s="17">
        <f t="shared" si="1"/>
        <v>142.85714285714286</v>
      </c>
      <c r="L53" s="168">
        <v>14</v>
      </c>
      <c r="M53" s="18">
        <f t="shared" si="32"/>
        <v>1946.5116279069762</v>
      </c>
      <c r="N53" s="18">
        <f t="shared" si="3"/>
        <v>139.0365448504983</v>
      </c>
      <c r="O53" s="19">
        <f t="shared" si="4"/>
        <v>0</v>
      </c>
      <c r="P53" s="20">
        <f t="shared" si="5"/>
        <v>-3.8205980066445591</v>
      </c>
      <c r="Q53" s="158">
        <f t="shared" si="6"/>
        <v>0.97325581395348804</v>
      </c>
      <c r="R53" s="510"/>
      <c r="S53" s="40">
        <v>0.34583333333333327</v>
      </c>
      <c r="T53" s="40">
        <v>0.37569444444444439</v>
      </c>
      <c r="U53" s="159">
        <f t="shared" si="34"/>
        <v>4.9999999999999822</v>
      </c>
      <c r="V53" s="169">
        <f t="shared" si="33"/>
        <v>43.000000000000007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-53.488372093023827</v>
      </c>
      <c r="AF53" s="158">
        <f t="shared" si="9"/>
        <v>0.97325581395348804</v>
      </c>
      <c r="AG53" s="510"/>
    </row>
    <row r="54" spans="1:33" ht="15.75" customHeight="1">
      <c r="A54" s="513" t="s">
        <v>65</v>
      </c>
      <c r="B54" s="42" t="s">
        <v>93</v>
      </c>
      <c r="C54" s="501" t="s">
        <v>99</v>
      </c>
      <c r="D54" s="502"/>
      <c r="E54" s="42">
        <v>32.020000000000003</v>
      </c>
      <c r="F54" s="170">
        <v>2637</v>
      </c>
      <c r="G54" s="159">
        <f t="shared" si="31"/>
        <v>84436.74</v>
      </c>
      <c r="H54" s="125" t="s">
        <v>79</v>
      </c>
      <c r="I54" s="168">
        <v>11</v>
      </c>
      <c r="J54" s="37">
        <v>3000</v>
      </c>
      <c r="K54" s="17">
        <f t="shared" si="1"/>
        <v>272.72727272727275</v>
      </c>
      <c r="L54" s="168">
        <v>11</v>
      </c>
      <c r="M54" s="18">
        <f t="shared" si="32"/>
        <v>2876.7272727272743</v>
      </c>
      <c r="N54" s="18">
        <f t="shared" si="3"/>
        <v>261.52066115702496</v>
      </c>
      <c r="O54" s="19">
        <f t="shared" si="4"/>
        <v>0</v>
      </c>
      <c r="P54" s="20">
        <f t="shared" si="5"/>
        <v>-11.206611570247787</v>
      </c>
      <c r="Q54" s="158">
        <f t="shared" si="6"/>
        <v>0.95890909090909149</v>
      </c>
      <c r="R54" s="510"/>
      <c r="S54" s="40">
        <v>0.3791666666666666</v>
      </c>
      <c r="T54" s="40">
        <v>0.41736111111111102</v>
      </c>
      <c r="U54" s="159">
        <f t="shared" si="34"/>
        <v>4.9999999999999822</v>
      </c>
      <c r="V54" s="169">
        <f t="shared" si="33"/>
        <v>54.999999999999964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-123.27272727272566</v>
      </c>
      <c r="AF54" s="158">
        <f t="shared" si="9"/>
        <v>0.95890909090909149</v>
      </c>
      <c r="AG54" s="510"/>
    </row>
    <row r="55" spans="1:33" ht="15.75" customHeight="1">
      <c r="A55" s="513" t="s">
        <v>65</v>
      </c>
      <c r="B55" s="42" t="s">
        <v>93</v>
      </c>
      <c r="C55" s="501" t="s">
        <v>114</v>
      </c>
      <c r="D55" s="502"/>
      <c r="E55" s="42">
        <v>36.14</v>
      </c>
      <c r="F55" s="170">
        <v>850</v>
      </c>
      <c r="G55" s="159">
        <f t="shared" si="31"/>
        <v>30719</v>
      </c>
      <c r="H55" s="125" t="s">
        <v>79</v>
      </c>
      <c r="I55" s="168">
        <v>9</v>
      </c>
      <c r="J55" s="37">
        <v>3000</v>
      </c>
      <c r="K55" s="17">
        <f t="shared" si="1"/>
        <v>333.33333333333331</v>
      </c>
      <c r="L55" s="168">
        <v>9</v>
      </c>
      <c r="M55" s="18">
        <f t="shared" si="32"/>
        <v>2833.3333333333057</v>
      </c>
      <c r="N55" s="18">
        <f t="shared" si="3"/>
        <v>314.81481481481177</v>
      </c>
      <c r="O55" s="19">
        <f t="shared" si="4"/>
        <v>0</v>
      </c>
      <c r="P55" s="20">
        <f t="shared" si="5"/>
        <v>-18.518518518521546</v>
      </c>
      <c r="Q55" s="158">
        <f t="shared" si="6"/>
        <v>0.94444444444443532</v>
      </c>
      <c r="R55" s="510"/>
      <c r="S55" s="40">
        <v>0.42083333333333323</v>
      </c>
      <c r="T55" s="40">
        <v>0.43333333333333335</v>
      </c>
      <c r="U55" s="159">
        <f t="shared" si="34"/>
        <v>4.9999999999999822</v>
      </c>
      <c r="V55" s="169">
        <f t="shared" si="33"/>
        <v>18.000000000000178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-166.66666666669425</v>
      </c>
      <c r="AF55" s="158">
        <f t="shared" si="9"/>
        <v>0.9444444444444352</v>
      </c>
      <c r="AG55" s="510"/>
    </row>
    <row r="56" spans="1:33" ht="15.75" customHeight="1">
      <c r="A56" s="513" t="s">
        <v>65</v>
      </c>
      <c r="B56" s="42" t="s">
        <v>93</v>
      </c>
      <c r="C56" s="501" t="s">
        <v>112</v>
      </c>
      <c r="D56" s="502"/>
      <c r="E56" s="42">
        <v>35.869999999999997</v>
      </c>
      <c r="F56" s="170">
        <v>2579</v>
      </c>
      <c r="G56" s="159">
        <f t="shared" si="31"/>
        <v>92508.73</v>
      </c>
      <c r="H56" s="125" t="s">
        <v>79</v>
      </c>
      <c r="I56" s="168">
        <v>9</v>
      </c>
      <c r="J56" s="37">
        <v>3000</v>
      </c>
      <c r="K56" s="17">
        <f t="shared" si="1"/>
        <v>333.33333333333331</v>
      </c>
      <c r="L56" s="168">
        <v>9</v>
      </c>
      <c r="M56" s="18">
        <f t="shared" si="32"/>
        <v>2865.5555555555575</v>
      </c>
      <c r="N56" s="18">
        <f t="shared" si="3"/>
        <v>318.39506172839526</v>
      </c>
      <c r="O56" s="19">
        <f t="shared" si="4"/>
        <v>0</v>
      </c>
      <c r="P56" s="20">
        <f t="shared" si="5"/>
        <v>-14.938271604938052</v>
      </c>
      <c r="Q56" s="158">
        <f t="shared" si="6"/>
        <v>0.9551851851851858</v>
      </c>
      <c r="R56" s="510"/>
      <c r="S56" s="40">
        <v>0.43819444444444433</v>
      </c>
      <c r="T56" s="40">
        <v>0.47569444444444431</v>
      </c>
      <c r="U56" s="159">
        <f t="shared" si="34"/>
        <v>6.9999999999998153</v>
      </c>
      <c r="V56" s="169">
        <f t="shared" si="33"/>
        <v>53.999999999999972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-134.44444444444252</v>
      </c>
      <c r="AF56" s="158">
        <f t="shared" si="9"/>
        <v>0.9551851851851858</v>
      </c>
      <c r="AG56" s="510"/>
    </row>
    <row r="57" spans="1:33" ht="15.75" customHeight="1">
      <c r="A57" s="513" t="s">
        <v>65</v>
      </c>
      <c r="B57" s="42" t="s">
        <v>93</v>
      </c>
      <c r="C57" s="501" t="s">
        <v>113</v>
      </c>
      <c r="D57" s="502"/>
      <c r="E57" s="42">
        <v>34.36</v>
      </c>
      <c r="F57" s="170">
        <v>1341</v>
      </c>
      <c r="G57" s="159">
        <f t="shared" si="31"/>
        <v>46076.76</v>
      </c>
      <c r="H57" s="125" t="s">
        <v>79</v>
      </c>
      <c r="I57" s="168">
        <v>10</v>
      </c>
      <c r="J57" s="37">
        <v>3000</v>
      </c>
      <c r="K57" s="17">
        <f t="shared" si="1"/>
        <v>300</v>
      </c>
      <c r="L57" s="168">
        <v>10</v>
      </c>
      <c r="M57" s="18">
        <f t="shared" si="32"/>
        <v>2873.5714285714307</v>
      </c>
      <c r="N57" s="18">
        <f t="shared" si="3"/>
        <v>287.35714285714306</v>
      </c>
      <c r="O57" s="19">
        <f t="shared" si="4"/>
        <v>0</v>
      </c>
      <c r="P57" s="20">
        <f t="shared" si="5"/>
        <v>-12.64285714285694</v>
      </c>
      <c r="Q57" s="158">
        <f t="shared" si="6"/>
        <v>0.95785714285714352</v>
      </c>
      <c r="R57" s="510"/>
      <c r="S57" s="40">
        <v>0.47986111111111096</v>
      </c>
      <c r="T57" s="40">
        <v>0.49930555555555539</v>
      </c>
      <c r="U57" s="159">
        <f t="shared" si="34"/>
        <v>5.9999999999999787</v>
      </c>
      <c r="V57" s="169">
        <f t="shared" si="33"/>
        <v>27.999999999999979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-126.42857142856928</v>
      </c>
      <c r="AF57" s="158">
        <f t="shared" si="9"/>
        <v>0.95785714285714352</v>
      </c>
      <c r="AG57" s="510"/>
    </row>
    <row r="58" spans="1:33" ht="15.75" customHeight="1">
      <c r="A58" s="514" t="s">
        <v>65</v>
      </c>
      <c r="B58" s="42" t="s">
        <v>71</v>
      </c>
      <c r="C58" s="492"/>
      <c r="D58" s="493"/>
      <c r="E58" s="160"/>
      <c r="F58" s="170"/>
      <c r="G58" s="159"/>
      <c r="H58" s="170"/>
      <c r="I58" s="30">
        <v>10.666666666666666</v>
      </c>
      <c r="J58" s="37">
        <v>2777.7777777777778</v>
      </c>
      <c r="K58" s="17">
        <f t="shared" si="1"/>
        <v>260.41666666666669</v>
      </c>
      <c r="L58" s="30">
        <v>10.666666666666666</v>
      </c>
      <c r="M58" s="18">
        <f>AVERAGE(M49:M57)</f>
        <v>2659.3056602480528</v>
      </c>
      <c r="N58" s="17">
        <f t="shared" si="3"/>
        <v>249.30990564825495</v>
      </c>
      <c r="O58" s="19">
        <f t="shared" si="4"/>
        <v>0</v>
      </c>
      <c r="P58" s="20">
        <f t="shared" si="5"/>
        <v>-11.106761018411731</v>
      </c>
      <c r="Q58" s="158">
        <f t="shared" si="6"/>
        <v>0.95735003768929894</v>
      </c>
      <c r="R58" s="511"/>
      <c r="S58" s="40"/>
      <c r="T58" s="40"/>
      <c r="U58" s="159"/>
      <c r="V58" s="169"/>
      <c r="W58" s="23"/>
      <c r="X58" s="23"/>
      <c r="Y58" s="31">
        <f>SUM(Y49:Y57)</f>
        <v>0</v>
      </c>
      <c r="Z58" s="31">
        <f>SUM(Z49:Z57)</f>
        <v>0</v>
      </c>
      <c r="AA58" s="505"/>
      <c r="AB58" s="506"/>
      <c r="AC58" s="31">
        <v>1</v>
      </c>
      <c r="AD58" s="31">
        <f>SUM(AD49:AD57)</f>
        <v>0</v>
      </c>
      <c r="AE58" s="19">
        <f t="shared" si="8"/>
        <v>-118.47211752972498</v>
      </c>
      <c r="AF58" s="158">
        <f t="shared" si="9"/>
        <v>0.95735003768929905</v>
      </c>
      <c r="AG58" s="511"/>
    </row>
    <row r="59" spans="1:33" ht="15.75" customHeight="1">
      <c r="A59" s="507" t="s">
        <v>67</v>
      </c>
      <c r="B59" s="42" t="s">
        <v>100</v>
      </c>
      <c r="C59" s="490" t="s">
        <v>101</v>
      </c>
      <c r="D59" s="490"/>
      <c r="E59" s="42">
        <v>46</v>
      </c>
      <c r="F59" s="46">
        <v>1005</v>
      </c>
      <c r="G59" s="159">
        <f t="shared" ref="G59:G65" si="35">E59*F59</f>
        <v>46230</v>
      </c>
      <c r="H59" s="125" t="s">
        <v>79</v>
      </c>
      <c r="I59" s="168">
        <v>17</v>
      </c>
      <c r="J59" s="37">
        <v>2000</v>
      </c>
      <c r="K59" s="17">
        <f t="shared" si="1"/>
        <v>117.64705882352941</v>
      </c>
      <c r="L59" s="168">
        <v>17</v>
      </c>
      <c r="M59" s="18">
        <f t="shared" ref="M59:M65" si="36">F59/V59*60</f>
        <v>1945.16129032258</v>
      </c>
      <c r="N59" s="18">
        <f t="shared" si="3"/>
        <v>114.42125237191647</v>
      </c>
      <c r="O59" s="19">
        <f t="shared" si="4"/>
        <v>0</v>
      </c>
      <c r="P59" s="20">
        <f t="shared" si="5"/>
        <v>-3.2258064516129394</v>
      </c>
      <c r="Q59" s="158">
        <f t="shared" si="6"/>
        <v>0.97258064516129006</v>
      </c>
      <c r="R59" s="489">
        <f>Q66</f>
        <v>0.92650753713227985</v>
      </c>
      <c r="S59" s="40">
        <v>0.20833333333333334</v>
      </c>
      <c r="T59" s="40">
        <v>0.22986111111111113</v>
      </c>
      <c r="U59" s="28"/>
      <c r="V59" s="169">
        <f t="shared" ref="V59:V65" si="37">(T59-S59)*24*60</f>
        <v>31.000000000000011</v>
      </c>
      <c r="W59" s="28"/>
      <c r="X59" s="28"/>
      <c r="Y59" s="28"/>
      <c r="Z59" s="28"/>
      <c r="AA59" s="491"/>
      <c r="AB59" s="491"/>
      <c r="AC59" s="154">
        <v>3</v>
      </c>
      <c r="AD59" s="25"/>
      <c r="AE59" s="19">
        <f t="shared" si="8"/>
        <v>-54.838709677419956</v>
      </c>
      <c r="AF59" s="158">
        <f t="shared" si="9"/>
        <v>0.97258064516129006</v>
      </c>
      <c r="AG59" s="489">
        <f>AF66</f>
        <v>0.92650753713227985</v>
      </c>
    </row>
    <row r="60" spans="1:33" ht="15.75" customHeight="1">
      <c r="A60" s="507" t="s">
        <v>875</v>
      </c>
      <c r="B60" s="42" t="s">
        <v>100</v>
      </c>
      <c r="C60" s="490" t="s">
        <v>102</v>
      </c>
      <c r="D60" s="490"/>
      <c r="E60" s="42">
        <v>46</v>
      </c>
      <c r="F60" s="46">
        <v>1147</v>
      </c>
      <c r="G60" s="159">
        <f t="shared" si="35"/>
        <v>52762</v>
      </c>
      <c r="H60" s="125" t="s">
        <v>79</v>
      </c>
      <c r="I60" s="168">
        <v>17</v>
      </c>
      <c r="J60" s="37">
        <v>2000</v>
      </c>
      <c r="K60" s="17">
        <f t="shared" si="1"/>
        <v>117.64705882352941</v>
      </c>
      <c r="L60" s="168">
        <v>17</v>
      </c>
      <c r="M60" s="18">
        <f t="shared" si="36"/>
        <v>1911.666666666667</v>
      </c>
      <c r="N60" s="18">
        <f t="shared" si="3"/>
        <v>112.45098039215688</v>
      </c>
      <c r="O60" s="19">
        <f t="shared" si="4"/>
        <v>0</v>
      </c>
      <c r="P60" s="20">
        <f t="shared" si="5"/>
        <v>-5.196078431372527</v>
      </c>
      <c r="Q60" s="158">
        <f t="shared" si="6"/>
        <v>0.95583333333333353</v>
      </c>
      <c r="R60" s="489"/>
      <c r="S60" s="40">
        <v>0.23541666666666669</v>
      </c>
      <c r="T60" s="40">
        <v>0.26041666666666669</v>
      </c>
      <c r="U60" s="159">
        <f t="shared" ref="U60:U65" si="38">IF(S60=TIME(17,0,0),"",(S60-T59)*24*60)</f>
        <v>8.0000000000000107</v>
      </c>
      <c r="V60" s="169">
        <f t="shared" si="37"/>
        <v>35.999999999999993</v>
      </c>
      <c r="W60" s="23"/>
      <c r="X60" s="23"/>
      <c r="Y60" s="23"/>
      <c r="Z60" s="23"/>
      <c r="AA60" s="491"/>
      <c r="AB60" s="491"/>
      <c r="AC60" s="154"/>
      <c r="AD60" s="25"/>
      <c r="AE60" s="19">
        <f t="shared" si="8"/>
        <v>-88.33333333333303</v>
      </c>
      <c r="AF60" s="158">
        <f t="shared" si="9"/>
        <v>0.95583333333333353</v>
      </c>
      <c r="AG60" s="489"/>
    </row>
    <row r="61" spans="1:33" ht="15.75" customHeight="1">
      <c r="A61" s="507" t="s">
        <v>875</v>
      </c>
      <c r="B61" s="42" t="s">
        <v>103</v>
      </c>
      <c r="C61" s="501" t="s">
        <v>105</v>
      </c>
      <c r="D61" s="502"/>
      <c r="E61" s="42">
        <v>56.43</v>
      </c>
      <c r="F61" s="46">
        <v>1817</v>
      </c>
      <c r="G61" s="159">
        <f t="shared" si="35"/>
        <v>102533.31</v>
      </c>
      <c r="H61" s="125" t="s">
        <v>79</v>
      </c>
      <c r="I61" s="168">
        <v>22</v>
      </c>
      <c r="J61" s="37">
        <v>2000</v>
      </c>
      <c r="K61" s="17">
        <f t="shared" si="1"/>
        <v>90.909090909090907</v>
      </c>
      <c r="L61" s="168">
        <v>22</v>
      </c>
      <c r="M61" s="18">
        <f t="shared" si="36"/>
        <v>1677.2307692307688</v>
      </c>
      <c r="N61" s="18">
        <f t="shared" si="3"/>
        <v>76.237762237762226</v>
      </c>
      <c r="O61" s="19">
        <f t="shared" si="4"/>
        <v>0</v>
      </c>
      <c r="P61" s="20">
        <f t="shared" si="5"/>
        <v>-14.671328671328681</v>
      </c>
      <c r="Q61" s="158">
        <f t="shared" si="6"/>
        <v>0.83861538461538454</v>
      </c>
      <c r="R61" s="489"/>
      <c r="S61" s="40">
        <v>0.26597222222222222</v>
      </c>
      <c r="T61" s="40">
        <v>0.31111111111111112</v>
      </c>
      <c r="U61" s="159">
        <f t="shared" si="38"/>
        <v>7.9999999999999716</v>
      </c>
      <c r="V61" s="169">
        <f t="shared" si="37"/>
        <v>65.000000000000014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-322.76923076923117</v>
      </c>
      <c r="AF61" s="158">
        <f t="shared" si="9"/>
        <v>0.83861538461538443</v>
      </c>
      <c r="AG61" s="489"/>
    </row>
    <row r="62" spans="1:33" ht="15.75" customHeight="1">
      <c r="A62" s="507" t="s">
        <v>67</v>
      </c>
      <c r="B62" s="42" t="s">
        <v>103</v>
      </c>
      <c r="C62" s="163" t="s">
        <v>518</v>
      </c>
      <c r="D62" s="164"/>
      <c r="E62" s="42">
        <v>51.75</v>
      </c>
      <c r="F62" s="46">
        <v>2658</v>
      </c>
      <c r="G62" s="159">
        <f t="shared" si="35"/>
        <v>137551.5</v>
      </c>
      <c r="H62" s="125" t="s">
        <v>79</v>
      </c>
      <c r="I62" s="168">
        <v>25</v>
      </c>
      <c r="J62" s="37">
        <v>2000</v>
      </c>
      <c r="K62" s="17">
        <f t="shared" si="1"/>
        <v>80</v>
      </c>
      <c r="L62" s="168">
        <v>25</v>
      </c>
      <c r="M62" s="18">
        <f t="shared" si="36"/>
        <v>1696.5957446808513</v>
      </c>
      <c r="N62" s="18">
        <f t="shared" si="3"/>
        <v>67.863829787234053</v>
      </c>
      <c r="O62" s="19">
        <f t="shared" si="4"/>
        <v>0</v>
      </c>
      <c r="P62" s="20">
        <f t="shared" si="5"/>
        <v>-12.136170212765947</v>
      </c>
      <c r="Q62" s="158">
        <f t="shared" si="6"/>
        <v>0.84829787234042564</v>
      </c>
      <c r="R62" s="489"/>
      <c r="S62" s="40">
        <v>0.31666666666666665</v>
      </c>
      <c r="T62" s="40">
        <v>0.38194444444444442</v>
      </c>
      <c r="U62" s="159">
        <f t="shared" si="38"/>
        <v>7.9999999999999716</v>
      </c>
      <c r="V62" s="169">
        <f t="shared" si="37"/>
        <v>93.999999999999986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-303.40425531914866</v>
      </c>
      <c r="AF62" s="158">
        <f t="shared" si="9"/>
        <v>0.84829787234042564</v>
      </c>
      <c r="AG62" s="489"/>
    </row>
    <row r="63" spans="1:33" ht="15.75" customHeight="1">
      <c r="A63" s="507" t="s">
        <v>67</v>
      </c>
      <c r="B63" s="42" t="s">
        <v>103</v>
      </c>
      <c r="C63" s="163" t="s">
        <v>106</v>
      </c>
      <c r="D63" s="164"/>
      <c r="E63" s="42">
        <v>55.56</v>
      </c>
      <c r="F63" s="46">
        <v>1762</v>
      </c>
      <c r="G63" s="159">
        <f t="shared" si="35"/>
        <v>97896.72</v>
      </c>
      <c r="H63" s="125" t="s">
        <v>79</v>
      </c>
      <c r="I63" s="168">
        <v>17</v>
      </c>
      <c r="J63" s="37">
        <v>2000</v>
      </c>
      <c r="K63" s="17">
        <f t="shared" si="1"/>
        <v>117.64705882352941</v>
      </c>
      <c r="L63" s="168">
        <v>17</v>
      </c>
      <c r="M63" s="18">
        <f t="shared" si="36"/>
        <v>1922.1818181818196</v>
      </c>
      <c r="N63" s="18">
        <f t="shared" si="3"/>
        <v>113.06951871657762</v>
      </c>
      <c r="O63" s="19">
        <f t="shared" si="4"/>
        <v>0</v>
      </c>
      <c r="P63" s="20">
        <f t="shared" si="5"/>
        <v>-4.5775401069517869</v>
      </c>
      <c r="Q63" s="158">
        <f t="shared" si="6"/>
        <v>0.96109090909090977</v>
      </c>
      <c r="R63" s="489"/>
      <c r="S63" s="40">
        <v>0.70833333333333337</v>
      </c>
      <c r="T63" s="40">
        <v>0.74652777777777779</v>
      </c>
      <c r="U63" s="159" t="str">
        <f t="shared" si="38"/>
        <v/>
      </c>
      <c r="V63" s="169">
        <f t="shared" si="37"/>
        <v>54.999999999999964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-77.818181818180392</v>
      </c>
      <c r="AF63" s="158">
        <f t="shared" si="9"/>
        <v>0.96109090909090977</v>
      </c>
      <c r="AG63" s="489"/>
    </row>
    <row r="64" spans="1:33" ht="15.75" customHeight="1">
      <c r="A64" s="507" t="s">
        <v>67</v>
      </c>
      <c r="B64" s="42" t="s">
        <v>103</v>
      </c>
      <c r="C64" s="501" t="s">
        <v>107</v>
      </c>
      <c r="D64" s="502"/>
      <c r="E64" s="42">
        <v>55.32</v>
      </c>
      <c r="F64" s="46">
        <v>1242</v>
      </c>
      <c r="G64" s="159">
        <f t="shared" si="35"/>
        <v>68707.44</v>
      </c>
      <c r="H64" s="125" t="s">
        <v>79</v>
      </c>
      <c r="I64" s="168">
        <v>15</v>
      </c>
      <c r="J64" s="37">
        <v>2000</v>
      </c>
      <c r="K64" s="17">
        <f t="shared" si="1"/>
        <v>133.33333333333334</v>
      </c>
      <c r="L64" s="168">
        <v>15</v>
      </c>
      <c r="M64" s="18">
        <f t="shared" si="36"/>
        <v>1910.7692307692298</v>
      </c>
      <c r="N64" s="18">
        <f t="shared" si="3"/>
        <v>127.38461538461532</v>
      </c>
      <c r="O64" s="19">
        <f t="shared" si="4"/>
        <v>0</v>
      </c>
      <c r="P64" s="20">
        <f t="shared" si="5"/>
        <v>-5.9487179487180271</v>
      </c>
      <c r="Q64" s="158">
        <f t="shared" si="6"/>
        <v>0.95538461538461483</v>
      </c>
      <c r="R64" s="489"/>
      <c r="S64" s="40">
        <v>0.75069444444444444</v>
      </c>
      <c r="T64" s="40">
        <v>0.77777777777777779</v>
      </c>
      <c r="U64" s="159">
        <f t="shared" si="38"/>
        <v>5.9999999999999787</v>
      </c>
      <c r="V64" s="169">
        <f t="shared" si="37"/>
        <v>39.000000000000021</v>
      </c>
      <c r="W64" s="23"/>
      <c r="X64" s="23"/>
      <c r="Y64" s="26"/>
      <c r="Z64" s="26"/>
      <c r="AA64" s="503"/>
      <c r="AB64" s="504"/>
      <c r="AC64" s="154"/>
      <c r="AD64" s="25"/>
      <c r="AE64" s="19">
        <f t="shared" si="8"/>
        <v>-89.230769230770193</v>
      </c>
      <c r="AF64" s="158">
        <f t="shared" si="9"/>
        <v>0.95538461538461494</v>
      </c>
      <c r="AG64" s="489"/>
    </row>
    <row r="65" spans="1:33" ht="15.75" customHeight="1">
      <c r="A65" s="507" t="s">
        <v>67</v>
      </c>
      <c r="B65" s="42" t="s">
        <v>103</v>
      </c>
      <c r="C65" s="501" t="s">
        <v>516</v>
      </c>
      <c r="D65" s="502"/>
      <c r="E65" s="42">
        <v>50.67</v>
      </c>
      <c r="F65" s="46">
        <v>1526</v>
      </c>
      <c r="G65" s="159">
        <f t="shared" si="35"/>
        <v>77322.42</v>
      </c>
      <c r="H65" s="125" t="s">
        <v>79</v>
      </c>
      <c r="I65" s="168">
        <v>16</v>
      </c>
      <c r="J65" s="37">
        <v>2000</v>
      </c>
      <c r="K65" s="17">
        <f t="shared" si="1"/>
        <v>125</v>
      </c>
      <c r="L65" s="168">
        <v>16</v>
      </c>
      <c r="M65" s="18">
        <f t="shared" si="36"/>
        <v>1907.5000000000005</v>
      </c>
      <c r="N65" s="18">
        <f t="shared" si="3"/>
        <v>119.21875000000003</v>
      </c>
      <c r="O65" s="19">
        <f t="shared" si="4"/>
        <v>0</v>
      </c>
      <c r="P65" s="20">
        <f t="shared" si="5"/>
        <v>-5.7812499999999716</v>
      </c>
      <c r="Q65" s="158">
        <f t="shared" si="6"/>
        <v>0.95375000000000021</v>
      </c>
      <c r="R65" s="489"/>
      <c r="S65" s="40">
        <v>0.78194444444444444</v>
      </c>
      <c r="T65" s="40">
        <v>0.81527777777777777</v>
      </c>
      <c r="U65" s="159">
        <f t="shared" si="38"/>
        <v>5.9999999999999787</v>
      </c>
      <c r="V65" s="169">
        <f t="shared" si="37"/>
        <v>47.999999999999986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-92.499999999999545</v>
      </c>
      <c r="AF65" s="158">
        <f t="shared" si="9"/>
        <v>0.95375000000000021</v>
      </c>
      <c r="AG65" s="489"/>
    </row>
    <row r="66" spans="1:33">
      <c r="A66" s="508" t="s">
        <v>67</v>
      </c>
      <c r="B66" s="42" t="s">
        <v>71</v>
      </c>
      <c r="C66" s="494"/>
      <c r="D66" s="494"/>
      <c r="E66" s="161"/>
      <c r="F66" s="44"/>
      <c r="G66" s="17"/>
      <c r="H66" s="170"/>
      <c r="I66" s="30">
        <v>18.571428571428573</v>
      </c>
      <c r="J66" s="37">
        <v>2000</v>
      </c>
      <c r="K66" s="17">
        <f t="shared" si="1"/>
        <v>107.69230769230768</v>
      </c>
      <c r="L66" s="30">
        <v>18.571428571428573</v>
      </c>
      <c r="M66" s="18">
        <f>AVERAGE(M59:M65)</f>
        <v>1853.0150742645596</v>
      </c>
      <c r="N66" s="17">
        <f t="shared" si="3"/>
        <v>99.777734768091662</v>
      </c>
      <c r="O66" s="19">
        <f t="shared" si="4"/>
        <v>0</v>
      </c>
      <c r="P66" s="20">
        <f t="shared" si="5"/>
        <v>-7.9145729242160172</v>
      </c>
      <c r="Q66" s="158">
        <f t="shared" si="6"/>
        <v>0.92650753713227985</v>
      </c>
      <c r="R66" s="489"/>
      <c r="S66" s="41"/>
      <c r="T66" s="40"/>
      <c r="U66" s="17"/>
      <c r="V66" s="169"/>
      <c r="W66" s="17"/>
      <c r="X66" s="17"/>
      <c r="Y66" s="31">
        <f>SUM(Y59:Y65)</f>
        <v>0</v>
      </c>
      <c r="Z66" s="31">
        <f>SUM(Z59:Z65)</f>
        <v>0</v>
      </c>
      <c r="AA66" s="495"/>
      <c r="AB66" s="495"/>
      <c r="AC66" s="31">
        <v>3</v>
      </c>
      <c r="AD66" s="31">
        <f>SUM(AD59:AD65)</f>
        <v>0</v>
      </c>
      <c r="AE66" s="19">
        <f t="shared" si="8"/>
        <v>-146.98492573544036</v>
      </c>
      <c r="AF66" s="158">
        <f t="shared" si="9"/>
        <v>0.92650753713227985</v>
      </c>
      <c r="AG66" s="489"/>
    </row>
    <row r="67" spans="1:33" ht="15.75" customHeight="1">
      <c r="A67" s="499" t="s">
        <v>72</v>
      </c>
      <c r="B67" s="170" t="s">
        <v>100</v>
      </c>
      <c r="C67" s="490" t="s">
        <v>109</v>
      </c>
      <c r="D67" s="490"/>
      <c r="E67" s="42">
        <v>26.97</v>
      </c>
      <c r="F67" s="46">
        <v>1815</v>
      </c>
      <c r="G67" s="159">
        <f t="shared" ref="G67:G70" si="39">E67*F67</f>
        <v>48950.549999999996</v>
      </c>
      <c r="H67" s="125" t="s">
        <v>79</v>
      </c>
      <c r="I67" s="168">
        <v>8</v>
      </c>
      <c r="J67" s="37">
        <v>1500</v>
      </c>
      <c r="K67" s="17">
        <f t="shared" si="1"/>
        <v>187.5</v>
      </c>
      <c r="L67" s="168">
        <v>8</v>
      </c>
      <c r="M67" s="18">
        <f t="shared" ref="M67:M70" si="40">F67/V67*60</f>
        <v>1432.894736842105</v>
      </c>
      <c r="N67" s="17">
        <f t="shared" si="3"/>
        <v>179.11184210526312</v>
      </c>
      <c r="O67" s="19">
        <f t="shared" si="4"/>
        <v>0</v>
      </c>
      <c r="P67" s="20">
        <f t="shared" si="5"/>
        <v>-8.388157894736878</v>
      </c>
      <c r="Q67" s="158">
        <f t="shared" si="6"/>
        <v>0.9552631578947367</v>
      </c>
      <c r="R67" s="489">
        <f>Q71</f>
        <v>0.96178628389154697</v>
      </c>
      <c r="S67" s="40">
        <v>0.20833333333333334</v>
      </c>
      <c r="T67" s="40">
        <v>0.26111111111111113</v>
      </c>
      <c r="U67" s="159"/>
      <c r="V67" s="169">
        <f t="shared" ref="V67:V70" si="41">(T67-S67)*24*60</f>
        <v>76.000000000000014</v>
      </c>
      <c r="W67" s="28"/>
      <c r="X67" s="28"/>
      <c r="Y67" s="28"/>
      <c r="Z67" s="28"/>
      <c r="AA67" s="491"/>
      <c r="AB67" s="491"/>
      <c r="AC67" s="154" t="s">
        <v>79</v>
      </c>
      <c r="AD67" s="25"/>
      <c r="AE67" s="19">
        <f t="shared" si="8"/>
        <v>-67.105263157895024</v>
      </c>
      <c r="AF67" s="158">
        <f t="shared" si="9"/>
        <v>0.9552631578947367</v>
      </c>
      <c r="AG67" s="489">
        <f>AF71</f>
        <v>0.96178628389154697</v>
      </c>
    </row>
    <row r="68" spans="1:33" ht="15.75" customHeight="1">
      <c r="A68" s="499" t="s">
        <v>72</v>
      </c>
      <c r="B68" s="170" t="s">
        <v>93</v>
      </c>
      <c r="C68" s="490" t="s">
        <v>110</v>
      </c>
      <c r="D68" s="490"/>
      <c r="E68" s="42">
        <v>26.78</v>
      </c>
      <c r="F68" s="46">
        <v>2141</v>
      </c>
      <c r="G68" s="159">
        <f t="shared" si="39"/>
        <v>57335.98</v>
      </c>
      <c r="H68" s="125" t="s">
        <v>79</v>
      </c>
      <c r="I68" s="168">
        <v>10</v>
      </c>
      <c r="J68" s="37">
        <v>3000</v>
      </c>
      <c r="K68" s="17">
        <f t="shared" si="1"/>
        <v>300</v>
      </c>
      <c r="L68" s="168">
        <v>10</v>
      </c>
      <c r="M68" s="18">
        <f t="shared" si="40"/>
        <v>2919.5454545454545</v>
      </c>
      <c r="N68" s="17">
        <f t="shared" si="3"/>
        <v>291.95454545454544</v>
      </c>
      <c r="O68" s="19">
        <f t="shared" si="4"/>
        <v>0</v>
      </c>
      <c r="P68" s="20">
        <f t="shared" si="5"/>
        <v>-8.045454545454561</v>
      </c>
      <c r="Q68" s="158">
        <f t="shared" si="6"/>
        <v>0.97318181818181815</v>
      </c>
      <c r="R68" s="489"/>
      <c r="S68" s="40">
        <v>0.26527777777777778</v>
      </c>
      <c r="T68" s="40">
        <v>0.29583333333333334</v>
      </c>
      <c r="U68" s="159">
        <f t="shared" ref="U68:U70" si="42">(S68-T67)*24*60</f>
        <v>5.9999999999999787</v>
      </c>
      <c r="V68" s="169">
        <f t="shared" si="41"/>
        <v>44</v>
      </c>
      <c r="W68" s="159"/>
      <c r="X68" s="159"/>
      <c r="Y68" s="159"/>
      <c r="Z68" s="159"/>
      <c r="AA68" s="491"/>
      <c r="AB68" s="491"/>
      <c r="AC68" s="154" t="s">
        <v>79</v>
      </c>
      <c r="AD68" s="25"/>
      <c r="AE68" s="19">
        <f t="shared" si="8"/>
        <v>-80.454545454545496</v>
      </c>
      <c r="AF68" s="158">
        <f t="shared" si="9"/>
        <v>0.97318181818181815</v>
      </c>
      <c r="AG68" s="489"/>
    </row>
    <row r="69" spans="1:33" ht="15.75" customHeight="1">
      <c r="A69" s="499" t="s">
        <v>72</v>
      </c>
      <c r="B69" s="170" t="s">
        <v>93</v>
      </c>
      <c r="C69" s="490" t="s">
        <v>111</v>
      </c>
      <c r="D69" s="490"/>
      <c r="E69" s="42">
        <v>37.880000000000003</v>
      </c>
      <c r="F69" s="46">
        <v>2109</v>
      </c>
      <c r="G69" s="159">
        <f t="shared" si="39"/>
        <v>79888.92</v>
      </c>
      <c r="H69" s="125" t="s">
        <v>79</v>
      </c>
      <c r="I69" s="168">
        <v>10</v>
      </c>
      <c r="J69" s="37">
        <v>3000</v>
      </c>
      <c r="K69" s="17">
        <f t="shared" ref="K69:K77" si="43">J69/I69</f>
        <v>300</v>
      </c>
      <c r="L69" s="168">
        <v>10</v>
      </c>
      <c r="M69" s="18">
        <f t="shared" si="40"/>
        <v>2875.909090909091</v>
      </c>
      <c r="N69" s="17">
        <f t="shared" ref="N69:N77" si="44">M69/L69</f>
        <v>287.59090909090912</v>
      </c>
      <c r="O69" s="19">
        <f t="shared" ref="O69:O77" si="45">L69-I69</f>
        <v>0</v>
      </c>
      <c r="P69" s="20">
        <f t="shared" ref="P69:P77" si="46">N69-K69</f>
        <v>-12.409090909090878</v>
      </c>
      <c r="Q69" s="158">
        <f t="shared" ref="Q69:Q77" si="47">N69/K69</f>
        <v>0.95863636363636373</v>
      </c>
      <c r="R69" s="489"/>
      <c r="S69" s="40">
        <v>0.30138888888888887</v>
      </c>
      <c r="T69" s="40">
        <v>0.33194444444444443</v>
      </c>
      <c r="U69" s="159">
        <f t="shared" si="42"/>
        <v>7.9999999999999716</v>
      </c>
      <c r="V69" s="169">
        <f t="shared" si="41"/>
        <v>44</v>
      </c>
      <c r="W69" s="159"/>
      <c r="X69" s="159"/>
      <c r="Y69" s="159"/>
      <c r="Z69" s="159"/>
      <c r="AA69" s="491"/>
      <c r="AB69" s="491"/>
      <c r="AC69" s="154" t="s">
        <v>79</v>
      </c>
      <c r="AD69" s="25"/>
      <c r="AE69" s="19">
        <f t="shared" ref="AE69:AE77" si="48">M69-J69</f>
        <v>-124.09090909090901</v>
      </c>
      <c r="AF69" s="158">
        <f t="shared" ref="AF69:AF77" si="49">M69/J69</f>
        <v>0.95863636363636362</v>
      </c>
      <c r="AG69" s="489"/>
    </row>
    <row r="70" spans="1:33" ht="15.75" customHeight="1">
      <c r="A70" s="499" t="s">
        <v>72</v>
      </c>
      <c r="B70" s="170" t="s">
        <v>100</v>
      </c>
      <c r="C70" s="490" t="s">
        <v>519</v>
      </c>
      <c r="D70" s="490"/>
      <c r="E70" s="42">
        <v>27.4</v>
      </c>
      <c r="F70" s="46">
        <v>2094</v>
      </c>
      <c r="G70" s="159">
        <f t="shared" si="39"/>
        <v>57375.6</v>
      </c>
      <c r="H70" s="125" t="s">
        <v>79</v>
      </c>
      <c r="I70" s="168">
        <v>10</v>
      </c>
      <c r="J70" s="37">
        <v>1500</v>
      </c>
      <c r="K70" s="17">
        <f t="shared" si="43"/>
        <v>150</v>
      </c>
      <c r="L70" s="168">
        <v>10</v>
      </c>
      <c r="M70" s="18">
        <f t="shared" si="40"/>
        <v>1427.7272727272727</v>
      </c>
      <c r="N70" s="17">
        <f t="shared" si="44"/>
        <v>142.77272727272728</v>
      </c>
      <c r="O70" s="19">
        <f t="shared" si="45"/>
        <v>0</v>
      </c>
      <c r="P70" s="20">
        <f t="shared" si="46"/>
        <v>-7.2272727272727195</v>
      </c>
      <c r="Q70" s="158">
        <f t="shared" si="47"/>
        <v>0.9518181818181819</v>
      </c>
      <c r="R70" s="489"/>
      <c r="S70" s="40">
        <v>0.33680555555555552</v>
      </c>
      <c r="T70" s="40">
        <v>0.39791666666666664</v>
      </c>
      <c r="U70" s="159">
        <f t="shared" si="42"/>
        <v>6.9999999999999751</v>
      </c>
      <c r="V70" s="169">
        <f t="shared" si="41"/>
        <v>88</v>
      </c>
      <c r="W70" s="159"/>
      <c r="X70" s="159"/>
      <c r="Y70" s="159"/>
      <c r="Z70" s="159"/>
      <c r="AA70" s="491"/>
      <c r="AB70" s="491"/>
      <c r="AC70" s="154" t="s">
        <v>79</v>
      </c>
      <c r="AD70" s="25"/>
      <c r="AE70" s="19">
        <f t="shared" si="48"/>
        <v>-72.272727272727252</v>
      </c>
      <c r="AF70" s="158">
        <f t="shared" si="49"/>
        <v>0.95181818181818179</v>
      </c>
      <c r="AG70" s="489"/>
    </row>
    <row r="71" spans="1:33">
      <c r="A71" s="500" t="s">
        <v>72</v>
      </c>
      <c r="B71" s="42" t="s">
        <v>71</v>
      </c>
      <c r="C71" s="494"/>
      <c r="D71" s="494"/>
      <c r="E71" s="161"/>
      <c r="F71" s="44"/>
      <c r="G71" s="17"/>
      <c r="H71" s="170"/>
      <c r="I71" s="30">
        <v>9</v>
      </c>
      <c r="J71" s="37">
        <v>2250</v>
      </c>
      <c r="K71" s="17">
        <f t="shared" si="43"/>
        <v>250</v>
      </c>
      <c r="L71" s="30">
        <v>9</v>
      </c>
      <c r="M71" s="18">
        <f>AVERAGE(M67:M70)</f>
        <v>2164.0191387559807</v>
      </c>
      <c r="N71" s="17">
        <f t="shared" si="44"/>
        <v>240.44657097288675</v>
      </c>
      <c r="O71" s="19">
        <f t="shared" si="45"/>
        <v>0</v>
      </c>
      <c r="P71" s="20">
        <f t="shared" si="46"/>
        <v>-9.5534290271132534</v>
      </c>
      <c r="Q71" s="158">
        <f t="shared" si="47"/>
        <v>0.96178628389154697</v>
      </c>
      <c r="R71" s="489"/>
      <c r="S71" s="40"/>
      <c r="T71" s="40"/>
      <c r="U71" s="17"/>
      <c r="V71" s="169"/>
      <c r="W71" s="17"/>
      <c r="X71" s="17"/>
      <c r="Y71" s="31">
        <f>SUM(Y67:Y70)</f>
        <v>0</v>
      </c>
      <c r="Z71" s="31">
        <f>SUM(Z67:Z70)</f>
        <v>0</v>
      </c>
      <c r="AA71" s="495"/>
      <c r="AB71" s="495"/>
      <c r="AC71" s="31">
        <v>0</v>
      </c>
      <c r="AD71" s="31">
        <f>SUM(AD67:AD70)</f>
        <v>0</v>
      </c>
      <c r="AE71" s="19">
        <f t="shared" si="48"/>
        <v>-85.980861244019252</v>
      </c>
      <c r="AF71" s="158">
        <f t="shared" si="49"/>
        <v>0.96178628389154697</v>
      </c>
      <c r="AG71" s="489"/>
    </row>
    <row r="72" spans="1:33" ht="15.75" customHeight="1">
      <c r="A72" s="496" t="s">
        <v>75</v>
      </c>
      <c r="B72" s="170" t="s">
        <v>80</v>
      </c>
      <c r="C72" s="490" t="s">
        <v>115</v>
      </c>
      <c r="D72" s="490"/>
      <c r="E72" s="42">
        <v>20.2</v>
      </c>
      <c r="F72" s="170">
        <v>1544</v>
      </c>
      <c r="G72" s="159">
        <f t="shared" ref="G72:G76" si="50">E72*F72</f>
        <v>31188.799999999999</v>
      </c>
      <c r="H72" s="125" t="s">
        <v>79</v>
      </c>
      <c r="I72" s="168">
        <v>19</v>
      </c>
      <c r="J72" s="37">
        <v>2400</v>
      </c>
      <c r="K72" s="17">
        <f t="shared" si="43"/>
        <v>126.31578947368421</v>
      </c>
      <c r="L72" s="168">
        <v>19</v>
      </c>
      <c r="M72" s="18">
        <f t="shared" ref="M72:M76" si="51">F72/V72*60</f>
        <v>2316</v>
      </c>
      <c r="N72" s="17">
        <f t="shared" si="44"/>
        <v>121.89473684210526</v>
      </c>
      <c r="O72" s="19">
        <f t="shared" si="45"/>
        <v>0</v>
      </c>
      <c r="P72" s="20">
        <f t="shared" si="46"/>
        <v>-4.4210526315789451</v>
      </c>
      <c r="Q72" s="158">
        <f t="shared" si="47"/>
        <v>0.96499999999999997</v>
      </c>
      <c r="R72" s="489">
        <f>Q77</f>
        <v>0.9578546607769336</v>
      </c>
      <c r="S72" s="40">
        <v>8.3333333333333329E-2</v>
      </c>
      <c r="T72" s="40">
        <v>0.1111111111111111</v>
      </c>
      <c r="U72" s="28"/>
      <c r="V72" s="169">
        <f t="shared" ref="V72:V76" si="52">(T72-S72)*24*60</f>
        <v>40</v>
      </c>
      <c r="W72" s="23">
        <f>T72</f>
        <v>0.1111111111111111</v>
      </c>
      <c r="X72" s="23">
        <f>S73</f>
        <v>0.13055555555555556</v>
      </c>
      <c r="Y72" s="23"/>
      <c r="Z72" s="23"/>
      <c r="AA72" s="491"/>
      <c r="AB72" s="491"/>
      <c r="AC72" s="154">
        <v>6</v>
      </c>
      <c r="AD72" s="25"/>
      <c r="AE72" s="19">
        <f t="shared" si="48"/>
        <v>-84</v>
      </c>
      <c r="AF72" s="158">
        <f t="shared" si="49"/>
        <v>0.96499999999999997</v>
      </c>
      <c r="AG72" s="489">
        <f>AF77</f>
        <v>0.9578546607769336</v>
      </c>
    </row>
    <row r="73" spans="1:33" ht="15.75" customHeight="1">
      <c r="A73" s="497" t="s">
        <v>75</v>
      </c>
      <c r="B73" s="170" t="s">
        <v>80</v>
      </c>
      <c r="C73" s="490" t="s">
        <v>116</v>
      </c>
      <c r="D73" s="490"/>
      <c r="E73" s="42">
        <v>20.52</v>
      </c>
      <c r="F73" s="170">
        <v>2484</v>
      </c>
      <c r="G73" s="159">
        <f t="shared" si="50"/>
        <v>50971.68</v>
      </c>
      <c r="H73" s="125" t="s">
        <v>79</v>
      </c>
      <c r="I73" s="168">
        <v>18</v>
      </c>
      <c r="J73" s="37">
        <v>2400</v>
      </c>
      <c r="K73" s="17">
        <f t="shared" si="43"/>
        <v>133.33333333333334</v>
      </c>
      <c r="L73" s="168">
        <v>18</v>
      </c>
      <c r="M73" s="18">
        <f t="shared" si="51"/>
        <v>2292.9230769230762</v>
      </c>
      <c r="N73" s="17">
        <f t="shared" si="44"/>
        <v>127.38461538461534</v>
      </c>
      <c r="O73" s="19">
        <f t="shared" si="45"/>
        <v>0</v>
      </c>
      <c r="P73" s="20">
        <f t="shared" si="46"/>
        <v>-5.9487179487179986</v>
      </c>
      <c r="Q73" s="158">
        <f t="shared" si="47"/>
        <v>0.95538461538461505</v>
      </c>
      <c r="R73" s="489"/>
      <c r="S73" s="40">
        <v>0.13055555555555556</v>
      </c>
      <c r="T73" s="40">
        <v>0.17569444444444446</v>
      </c>
      <c r="U73" s="159">
        <f t="shared" ref="U73:U76" si="53">(S73-T72)*24*60</f>
        <v>28.000000000000021</v>
      </c>
      <c r="V73" s="169">
        <f t="shared" si="52"/>
        <v>65.000000000000014</v>
      </c>
      <c r="W73" s="23"/>
      <c r="X73" s="23"/>
      <c r="Y73" s="23"/>
      <c r="Z73" s="23"/>
      <c r="AA73" s="491"/>
      <c r="AB73" s="491"/>
      <c r="AC73" s="154"/>
      <c r="AD73" s="25"/>
      <c r="AE73" s="19">
        <f t="shared" si="48"/>
        <v>-107.07692307692378</v>
      </c>
      <c r="AF73" s="158">
        <f t="shared" si="49"/>
        <v>0.95538461538461505</v>
      </c>
      <c r="AG73" s="489"/>
    </row>
    <row r="74" spans="1:33" ht="15.75" customHeight="1">
      <c r="A74" s="497" t="s">
        <v>75</v>
      </c>
      <c r="B74" s="170" t="s">
        <v>80</v>
      </c>
      <c r="C74" s="490" t="s">
        <v>117</v>
      </c>
      <c r="D74" s="490"/>
      <c r="E74" s="42">
        <v>24.43</v>
      </c>
      <c r="F74" s="170">
        <v>5026</v>
      </c>
      <c r="G74" s="159">
        <f t="shared" si="50"/>
        <v>122785.18</v>
      </c>
      <c r="H74" s="125" t="s">
        <v>79</v>
      </c>
      <c r="I74" s="168">
        <v>14</v>
      </c>
      <c r="J74" s="37">
        <v>2400</v>
      </c>
      <c r="K74" s="17">
        <f t="shared" si="43"/>
        <v>171.42857142857142</v>
      </c>
      <c r="L74" s="168">
        <v>14</v>
      </c>
      <c r="M74" s="18">
        <f t="shared" si="51"/>
        <v>2301.9847328244277</v>
      </c>
      <c r="N74" s="17">
        <f t="shared" si="44"/>
        <v>164.42748091603056</v>
      </c>
      <c r="O74" s="19">
        <f t="shared" si="45"/>
        <v>0</v>
      </c>
      <c r="P74" s="20">
        <f t="shared" si="46"/>
        <v>-7.0010905125408556</v>
      </c>
      <c r="Q74" s="158">
        <f t="shared" si="47"/>
        <v>0.95916030534351171</v>
      </c>
      <c r="R74" s="489"/>
      <c r="S74" s="40">
        <v>0.17986111111111114</v>
      </c>
      <c r="T74" s="40">
        <v>0.27083333333333337</v>
      </c>
      <c r="U74" s="159">
        <f t="shared" si="53"/>
        <v>6.0000000000000187</v>
      </c>
      <c r="V74" s="169">
        <f t="shared" si="52"/>
        <v>131</v>
      </c>
      <c r="W74" s="23"/>
      <c r="X74" s="23"/>
      <c r="Y74" s="23"/>
      <c r="Z74" s="23"/>
      <c r="AA74" s="491"/>
      <c r="AB74" s="491"/>
      <c r="AC74" s="154"/>
      <c r="AD74" s="25"/>
      <c r="AE74" s="19">
        <f t="shared" si="48"/>
        <v>-98.015267175572262</v>
      </c>
      <c r="AF74" s="158">
        <f t="shared" si="49"/>
        <v>0.9591603053435116</v>
      </c>
      <c r="AG74" s="489"/>
    </row>
    <row r="75" spans="1:33" ht="15.75" customHeight="1">
      <c r="A75" s="497" t="s">
        <v>75</v>
      </c>
      <c r="B75" s="170" t="s">
        <v>80</v>
      </c>
      <c r="C75" s="490" t="s">
        <v>118</v>
      </c>
      <c r="D75" s="490"/>
      <c r="E75" s="42">
        <v>20.21</v>
      </c>
      <c r="F75" s="170">
        <v>3251</v>
      </c>
      <c r="G75" s="159">
        <f t="shared" si="50"/>
        <v>65702.710000000006</v>
      </c>
      <c r="H75" s="125" t="s">
        <v>79</v>
      </c>
      <c r="I75" s="168">
        <v>16</v>
      </c>
      <c r="J75" s="37">
        <v>2400</v>
      </c>
      <c r="K75" s="17">
        <f t="shared" si="43"/>
        <v>150</v>
      </c>
      <c r="L75" s="168">
        <v>16</v>
      </c>
      <c r="M75" s="18">
        <f t="shared" si="51"/>
        <v>2294.8235294117644</v>
      </c>
      <c r="N75" s="17">
        <f t="shared" si="44"/>
        <v>143.42647058823528</v>
      </c>
      <c r="O75" s="19">
        <f t="shared" si="45"/>
        <v>0</v>
      </c>
      <c r="P75" s="20">
        <f t="shared" si="46"/>
        <v>-6.5735294117647243</v>
      </c>
      <c r="Q75" s="158">
        <f t="shared" si="47"/>
        <v>0.95617647058823518</v>
      </c>
      <c r="R75" s="489"/>
      <c r="S75" s="40">
        <v>0.27638888888888891</v>
      </c>
      <c r="T75" s="40">
        <v>0.3354166666666667</v>
      </c>
      <c r="U75" s="159">
        <f t="shared" si="53"/>
        <v>7.9999999999999716</v>
      </c>
      <c r="V75" s="169">
        <f t="shared" si="52"/>
        <v>85.000000000000014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-105.17647058823559</v>
      </c>
      <c r="AF75" s="158">
        <f t="shared" si="49"/>
        <v>0.95617647058823518</v>
      </c>
      <c r="AG75" s="489"/>
    </row>
    <row r="76" spans="1:33" ht="15.75" customHeight="1">
      <c r="A76" s="497" t="s">
        <v>75</v>
      </c>
      <c r="B76" s="170" t="s">
        <v>80</v>
      </c>
      <c r="C76" s="490" t="s">
        <v>119</v>
      </c>
      <c r="D76" s="490"/>
      <c r="E76" s="42">
        <v>19.02</v>
      </c>
      <c r="F76" s="170">
        <v>6980</v>
      </c>
      <c r="G76" s="159">
        <f t="shared" si="50"/>
        <v>132759.6</v>
      </c>
      <c r="H76" s="125" t="s">
        <v>79</v>
      </c>
      <c r="I76" s="168">
        <v>15</v>
      </c>
      <c r="J76" s="37">
        <v>2400</v>
      </c>
      <c r="K76" s="17">
        <f t="shared" si="43"/>
        <v>160</v>
      </c>
      <c r="L76" s="168">
        <v>15</v>
      </c>
      <c r="M76" s="18">
        <f t="shared" si="51"/>
        <v>2288.5245901639341</v>
      </c>
      <c r="N76" s="17">
        <f t="shared" si="44"/>
        <v>152.56830601092895</v>
      </c>
      <c r="O76" s="19">
        <f t="shared" si="45"/>
        <v>0</v>
      </c>
      <c r="P76" s="20">
        <f t="shared" si="46"/>
        <v>-7.4316939890710501</v>
      </c>
      <c r="Q76" s="158">
        <f t="shared" si="47"/>
        <v>0.95355191256830596</v>
      </c>
      <c r="R76" s="489"/>
      <c r="S76" s="40">
        <v>0.33888888888888891</v>
      </c>
      <c r="T76" s="40">
        <v>0.46597222222222223</v>
      </c>
      <c r="U76" s="159">
        <f t="shared" si="53"/>
        <v>4.9999999999999822</v>
      </c>
      <c r="V76" s="169">
        <f t="shared" si="52"/>
        <v>183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8"/>
        <v>-111.47540983606586</v>
      </c>
      <c r="AF76" s="158">
        <f t="shared" si="49"/>
        <v>0.95355191256830585</v>
      </c>
      <c r="AG76" s="489"/>
    </row>
    <row r="77" spans="1:33" ht="16.5" customHeight="1">
      <c r="A77" s="498" t="s">
        <v>75</v>
      </c>
      <c r="B77" s="42" t="s">
        <v>71</v>
      </c>
      <c r="C77" s="492"/>
      <c r="D77" s="493"/>
      <c r="E77" s="161"/>
      <c r="F77" s="44"/>
      <c r="G77" s="17"/>
      <c r="H77" s="170"/>
      <c r="I77" s="30">
        <v>16.399999999999999</v>
      </c>
      <c r="J77" s="37">
        <v>2400</v>
      </c>
      <c r="K77" s="17">
        <f t="shared" si="43"/>
        <v>146.34146341463415</v>
      </c>
      <c r="L77" s="30">
        <v>16.399999999999999</v>
      </c>
      <c r="M77" s="18">
        <f>AVERAGE(M72:M76)</f>
        <v>2298.8511858646407</v>
      </c>
      <c r="N77" s="17">
        <f t="shared" si="44"/>
        <v>140.17385279662443</v>
      </c>
      <c r="O77" s="19">
        <f t="shared" si="45"/>
        <v>0</v>
      </c>
      <c r="P77" s="20">
        <f t="shared" si="46"/>
        <v>-6.1676106180097179</v>
      </c>
      <c r="Q77" s="158">
        <f t="shared" si="47"/>
        <v>0.9578546607769336</v>
      </c>
      <c r="R77" s="489"/>
      <c r="S77" s="40"/>
      <c r="T77" s="40"/>
      <c r="U77" s="17"/>
      <c r="V77" s="169"/>
      <c r="W77" s="17"/>
      <c r="X77" s="17"/>
      <c r="Y77" s="31">
        <f>SUM(Y72:Y76)</f>
        <v>0</v>
      </c>
      <c r="Z77" s="31">
        <f>SUM(Z72:Z76)</f>
        <v>0</v>
      </c>
      <c r="AA77" s="495"/>
      <c r="AB77" s="495"/>
      <c r="AC77" s="31">
        <v>6</v>
      </c>
      <c r="AD77" s="31">
        <f>SUM(AD72:AD76)</f>
        <v>0</v>
      </c>
      <c r="AE77" s="19">
        <f t="shared" si="48"/>
        <v>-101.14881413535932</v>
      </c>
      <c r="AF77" s="158">
        <f t="shared" si="49"/>
        <v>0.9578546607769336</v>
      </c>
      <c r="AG77" s="489"/>
    </row>
    <row r="78" spans="1:33">
      <c r="D78" s="33"/>
      <c r="E78" s="33"/>
    </row>
  </sheetData>
  <mergeCells count="205">
    <mergeCell ref="AG72:AG77"/>
    <mergeCell ref="C73:D73"/>
    <mergeCell ref="AA73:AB73"/>
    <mergeCell ref="C74:D74"/>
    <mergeCell ref="AA74:AB74"/>
    <mergeCell ref="C75:D75"/>
    <mergeCell ref="AA75:AB75"/>
    <mergeCell ref="C76:D76"/>
    <mergeCell ref="AA76:AB76"/>
    <mergeCell ref="C77:D77"/>
    <mergeCell ref="A72:A77"/>
    <mergeCell ref="C72:D72"/>
    <mergeCell ref="R72:R77"/>
    <mergeCell ref="AA72:AB72"/>
    <mergeCell ref="AA77:AB77"/>
    <mergeCell ref="A67:A71"/>
    <mergeCell ref="C67:D67"/>
    <mergeCell ref="R67:R71"/>
    <mergeCell ref="AA67:AB67"/>
    <mergeCell ref="AG67:AG71"/>
    <mergeCell ref="C68:D68"/>
    <mergeCell ref="AA68:AB68"/>
    <mergeCell ref="C69:D69"/>
    <mergeCell ref="AA69:AB69"/>
    <mergeCell ref="C70:D70"/>
    <mergeCell ref="AA63:AB63"/>
    <mergeCell ref="C64:D64"/>
    <mergeCell ref="AA64:AB64"/>
    <mergeCell ref="C65:D65"/>
    <mergeCell ref="AA65:AB65"/>
    <mergeCell ref="C66:D66"/>
    <mergeCell ref="AA66:AB66"/>
    <mergeCell ref="AA70:AB70"/>
    <mergeCell ref="C71:D71"/>
    <mergeCell ref="AA71:AB71"/>
    <mergeCell ref="A59:A66"/>
    <mergeCell ref="C59:D59"/>
    <mergeCell ref="R59:R66"/>
    <mergeCell ref="AA59:AB59"/>
    <mergeCell ref="AG59:AG66"/>
    <mergeCell ref="C60:D60"/>
    <mergeCell ref="AA60:AB60"/>
    <mergeCell ref="C61:D61"/>
    <mergeCell ref="AA61:AB61"/>
    <mergeCell ref="AA62:AB62"/>
    <mergeCell ref="AG49:AG58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54:D54"/>
    <mergeCell ref="A49:A58"/>
    <mergeCell ref="C49:D49"/>
    <mergeCell ref="R49:R58"/>
    <mergeCell ref="AA49:AB49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AG41:AG48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C47:D47"/>
    <mergeCell ref="AA47:AB47"/>
    <mergeCell ref="C48:D48"/>
    <mergeCell ref="AA48:AB48"/>
    <mergeCell ref="A41:A48"/>
    <mergeCell ref="C41:D41"/>
    <mergeCell ref="R41:R48"/>
    <mergeCell ref="AA41:AB41"/>
    <mergeCell ref="AA46:AB46"/>
    <mergeCell ref="A35:A40"/>
    <mergeCell ref="C35:D35"/>
    <mergeCell ref="R35:R40"/>
    <mergeCell ref="AA35:AB35"/>
    <mergeCell ref="AA13:AB13"/>
    <mergeCell ref="AA20:AB20"/>
    <mergeCell ref="C21:D21"/>
    <mergeCell ref="AA21:AB21"/>
    <mergeCell ref="C22:D22"/>
    <mergeCell ref="AA22:AB22"/>
    <mergeCell ref="AG35:AG40"/>
    <mergeCell ref="C36:D36"/>
    <mergeCell ref="AA36:AB36"/>
    <mergeCell ref="C37:D37"/>
    <mergeCell ref="AA37:AB37"/>
    <mergeCell ref="C38:D38"/>
    <mergeCell ref="C32:D32"/>
    <mergeCell ref="AA32:AB32"/>
    <mergeCell ref="C33:D33"/>
    <mergeCell ref="AA33:AB33"/>
    <mergeCell ref="C34:D34"/>
    <mergeCell ref="AA34:AB34"/>
    <mergeCell ref="AA38:AB38"/>
    <mergeCell ref="C39:D39"/>
    <mergeCell ref="AA39:AB39"/>
    <mergeCell ref="C40:D40"/>
    <mergeCell ref="AA40:AB40"/>
    <mergeCell ref="AG23:AG34"/>
    <mergeCell ref="A23:A34"/>
    <mergeCell ref="C23:D23"/>
    <mergeCell ref="R23:R34"/>
    <mergeCell ref="AA23:AB23"/>
    <mergeCell ref="AA28:AB28"/>
    <mergeCell ref="C29:D29"/>
    <mergeCell ref="AA29:AB29"/>
    <mergeCell ref="C30:D30"/>
    <mergeCell ref="AA30:AB30"/>
    <mergeCell ref="C31:D31"/>
    <mergeCell ref="AA31:AB31"/>
    <mergeCell ref="C27:D27"/>
    <mergeCell ref="AA27:AB27"/>
    <mergeCell ref="C28:D28"/>
    <mergeCell ref="C24:D24"/>
    <mergeCell ref="AA24:AB24"/>
    <mergeCell ref="C25:D25"/>
    <mergeCell ref="AA25:AB25"/>
    <mergeCell ref="C26:D26"/>
    <mergeCell ref="AA26:AB26"/>
    <mergeCell ref="AG13:AG22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19:AB19"/>
    <mergeCell ref="A13:A22"/>
    <mergeCell ref="C13:D13"/>
    <mergeCell ref="R13:R2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6:O67 O70:O77 O5:O10 O12:O14 O58:O64 O22:O54">
    <cfRule type="cellIs" dxfId="782" priority="76" operator="greaterThan">
      <formula>0</formula>
    </cfRule>
  </conditionalFormatting>
  <conditionalFormatting sqref="P5:P8 P70 AE70 P72:P76 P35:P39 P67 P10 P12:P14 P23:P33 P59:P64 P41:P54 AE5:AE67 AE72:AE77">
    <cfRule type="cellIs" dxfId="781" priority="80" operator="lessThan">
      <formula>0</formula>
    </cfRule>
  </conditionalFormatting>
  <conditionalFormatting sqref="AF70 Q66:Q67 Q70:Q77 Q5:Q10 Q12:Q14 Q58:Q64 Q22:Q54 AF5:AF67 AF72:AF77">
    <cfRule type="cellIs" dxfId="780" priority="77" operator="greaterThan">
      <formula>1</formula>
    </cfRule>
    <cfRule type="cellIs" dxfId="779" priority="78" operator="lessThan">
      <formula>0.8</formula>
    </cfRule>
  </conditionalFormatting>
  <conditionalFormatting sqref="AG13:AG14 R13:R14 AG70 R22:R28 AG22:AG28 AG66:AG67 R66:R67 R70:R77 AG5:AG10 R5:R10 R34:R54 AG34:AG54 AG58:AG64 R58:R64">
    <cfRule type="cellIs" dxfId="778" priority="82" operator="lessThan">
      <formula>0.8</formula>
    </cfRule>
  </conditionalFormatting>
  <conditionalFormatting sqref="AG49">
    <cfRule type="cellIs" dxfId="777" priority="84" operator="lessThan">
      <formula>0.8</formula>
    </cfRule>
  </conditionalFormatting>
  <conditionalFormatting sqref="AG23:AG28">
    <cfRule type="cellIs" dxfId="776" priority="81" operator="lessThan">
      <formula>0.8</formula>
    </cfRule>
  </conditionalFormatting>
  <conditionalFormatting sqref="AG35">
    <cfRule type="cellIs" dxfId="775" priority="83" operator="lessThan">
      <formula>0.8</formula>
    </cfRule>
  </conditionalFormatting>
  <conditionalFormatting sqref="AG41:AG47">
    <cfRule type="cellIs" dxfId="774" priority="79" operator="lessThan">
      <formula>0.8</formula>
    </cfRule>
  </conditionalFormatting>
  <conditionalFormatting sqref="AE71">
    <cfRule type="cellIs" dxfId="773" priority="75" operator="lessThan">
      <formula>0</formula>
    </cfRule>
  </conditionalFormatting>
  <conditionalFormatting sqref="AF71">
    <cfRule type="cellIs" dxfId="772" priority="73" operator="greaterThan">
      <formula>1</formula>
    </cfRule>
    <cfRule type="cellIs" dxfId="771" priority="74" operator="lessThan">
      <formula>0.8</formula>
    </cfRule>
  </conditionalFormatting>
  <conditionalFormatting sqref="O15:O16">
    <cfRule type="cellIs" dxfId="770" priority="68" operator="greaterThan">
      <formula>0</formula>
    </cfRule>
  </conditionalFormatting>
  <conditionalFormatting sqref="P15:P16">
    <cfRule type="cellIs" dxfId="769" priority="71" operator="lessThan">
      <formula>0</formula>
    </cfRule>
  </conditionalFormatting>
  <conditionalFormatting sqref="Q15:Q16">
    <cfRule type="cellIs" dxfId="768" priority="69" operator="greaterThan">
      <formula>1</formula>
    </cfRule>
    <cfRule type="cellIs" dxfId="767" priority="70" operator="lessThan">
      <formula>0.8</formula>
    </cfRule>
  </conditionalFormatting>
  <conditionalFormatting sqref="R15:R16 AG15:AG16">
    <cfRule type="cellIs" dxfId="766" priority="72" operator="lessThan">
      <formula>0.8</formula>
    </cfRule>
  </conditionalFormatting>
  <conditionalFormatting sqref="O11">
    <cfRule type="cellIs" dxfId="765" priority="64" operator="greaterThan">
      <formula>0</formula>
    </cfRule>
  </conditionalFormatting>
  <conditionalFormatting sqref="P11">
    <cfRule type="cellIs" dxfId="764" priority="67" operator="lessThan">
      <formula>0</formula>
    </cfRule>
  </conditionalFormatting>
  <conditionalFormatting sqref="Q11">
    <cfRule type="cellIs" dxfId="763" priority="65" operator="greaterThan">
      <formula>1</formula>
    </cfRule>
    <cfRule type="cellIs" dxfId="762" priority="66" operator="lessThan">
      <formula>0.8</formula>
    </cfRule>
  </conditionalFormatting>
  <conditionalFormatting sqref="O65">
    <cfRule type="cellIs" dxfId="761" priority="59" operator="greaterThan">
      <formula>0</formula>
    </cfRule>
  </conditionalFormatting>
  <conditionalFormatting sqref="P65">
    <cfRule type="cellIs" dxfId="760" priority="62" operator="lessThan">
      <formula>0</formula>
    </cfRule>
  </conditionalFormatting>
  <conditionalFormatting sqref="Q65">
    <cfRule type="cellIs" dxfId="759" priority="60" operator="greaterThan">
      <formula>1</formula>
    </cfRule>
    <cfRule type="cellIs" dxfId="758" priority="61" operator="lessThan">
      <formula>0.8</formula>
    </cfRule>
  </conditionalFormatting>
  <conditionalFormatting sqref="R65 AG65">
    <cfRule type="cellIs" dxfId="757" priority="63" operator="lessThan">
      <formula>0.8</formula>
    </cfRule>
  </conditionalFormatting>
  <conditionalFormatting sqref="AG30 R30">
    <cfRule type="cellIs" dxfId="756" priority="58" operator="lessThan">
      <formula>0.8</formula>
    </cfRule>
  </conditionalFormatting>
  <conditionalFormatting sqref="O69">
    <cfRule type="cellIs" dxfId="755" priority="53" operator="greaterThan">
      <formula>0</formula>
    </cfRule>
  </conditionalFormatting>
  <conditionalFormatting sqref="P69 AE69">
    <cfRule type="cellIs" dxfId="754" priority="56" operator="lessThan">
      <formula>0</formula>
    </cfRule>
  </conditionalFormatting>
  <conditionalFormatting sqref="Q69 AF69">
    <cfRule type="cellIs" dxfId="753" priority="54" operator="greaterThan">
      <formula>1</formula>
    </cfRule>
    <cfRule type="cellIs" dxfId="752" priority="55" operator="lessThan">
      <formula>0.8</formula>
    </cfRule>
  </conditionalFormatting>
  <conditionalFormatting sqref="R69 AG69">
    <cfRule type="cellIs" dxfId="751" priority="57" operator="lessThan">
      <formula>0.8</formula>
    </cfRule>
  </conditionalFormatting>
  <conditionalFormatting sqref="O17:O18">
    <cfRule type="cellIs" dxfId="750" priority="48" operator="greaterThan">
      <formula>0</formula>
    </cfRule>
  </conditionalFormatting>
  <conditionalFormatting sqref="P17:P18">
    <cfRule type="cellIs" dxfId="749" priority="51" operator="lessThan">
      <formula>0</formula>
    </cfRule>
  </conditionalFormatting>
  <conditionalFormatting sqref="Q17:Q18">
    <cfRule type="cellIs" dxfId="748" priority="49" operator="greaterThan">
      <formula>1</formula>
    </cfRule>
    <cfRule type="cellIs" dxfId="747" priority="50" operator="lessThan">
      <formula>0.8</formula>
    </cfRule>
  </conditionalFormatting>
  <conditionalFormatting sqref="R17:R18 AG17:AG18">
    <cfRule type="cellIs" dxfId="746" priority="52" operator="lessThan">
      <formula>0.8</formula>
    </cfRule>
  </conditionalFormatting>
  <conditionalFormatting sqref="O55">
    <cfRule type="cellIs" dxfId="745" priority="42" operator="greaterThan">
      <formula>0</formula>
    </cfRule>
  </conditionalFormatting>
  <conditionalFormatting sqref="P55">
    <cfRule type="cellIs" dxfId="744" priority="46" operator="lessThan">
      <formula>0</formula>
    </cfRule>
  </conditionalFormatting>
  <conditionalFormatting sqref="Q55">
    <cfRule type="cellIs" dxfId="743" priority="43" operator="greaterThan">
      <formula>1</formula>
    </cfRule>
    <cfRule type="cellIs" dxfId="742" priority="44" operator="lessThan">
      <formula>0.8</formula>
    </cfRule>
  </conditionalFormatting>
  <conditionalFormatting sqref="R55 AG55">
    <cfRule type="cellIs" dxfId="741" priority="47" operator="lessThan">
      <formula>0.8</formula>
    </cfRule>
  </conditionalFormatting>
  <conditionalFormatting sqref="AG55">
    <cfRule type="cellIs" dxfId="740" priority="45" operator="lessThan">
      <formula>0.8</formula>
    </cfRule>
  </conditionalFormatting>
  <conditionalFormatting sqref="O56">
    <cfRule type="cellIs" dxfId="739" priority="36" operator="greaterThan">
      <formula>0</formula>
    </cfRule>
  </conditionalFormatting>
  <conditionalFormatting sqref="P56">
    <cfRule type="cellIs" dxfId="738" priority="40" operator="lessThan">
      <formula>0</formula>
    </cfRule>
  </conditionalFormatting>
  <conditionalFormatting sqref="Q56">
    <cfRule type="cellIs" dxfId="737" priority="37" operator="greaterThan">
      <formula>1</formula>
    </cfRule>
    <cfRule type="cellIs" dxfId="736" priority="38" operator="lessThan">
      <formula>0.8</formula>
    </cfRule>
  </conditionalFormatting>
  <conditionalFormatting sqref="R56 AG56">
    <cfRule type="cellIs" dxfId="735" priority="41" operator="lessThan">
      <formula>0.8</formula>
    </cfRule>
  </conditionalFormatting>
  <conditionalFormatting sqref="AG56">
    <cfRule type="cellIs" dxfId="734" priority="39" operator="lessThan">
      <formula>0.8</formula>
    </cfRule>
  </conditionalFormatting>
  <conditionalFormatting sqref="AG31 R31">
    <cfRule type="cellIs" dxfId="733" priority="35" operator="lessThan">
      <formula>0.8</formula>
    </cfRule>
  </conditionalFormatting>
  <conditionalFormatting sqref="AG33 R33">
    <cfRule type="cellIs" dxfId="732" priority="34" operator="lessThan">
      <formula>0.8</formula>
    </cfRule>
  </conditionalFormatting>
  <conditionalFormatting sqref="R29 AG29">
    <cfRule type="cellIs" dxfId="731" priority="33" operator="lessThan">
      <formula>0.8</formula>
    </cfRule>
  </conditionalFormatting>
  <conditionalFormatting sqref="AG29">
    <cfRule type="cellIs" dxfId="730" priority="32" operator="lessThan">
      <formula>0.8</formula>
    </cfRule>
  </conditionalFormatting>
  <conditionalFormatting sqref="O57">
    <cfRule type="cellIs" dxfId="729" priority="26" operator="greaterThan">
      <formula>0</formula>
    </cfRule>
  </conditionalFormatting>
  <conditionalFormatting sqref="P57">
    <cfRule type="cellIs" dxfId="728" priority="30" operator="lessThan">
      <formula>0</formula>
    </cfRule>
  </conditionalFormatting>
  <conditionalFormatting sqref="Q57">
    <cfRule type="cellIs" dxfId="727" priority="27" operator="greaterThan">
      <formula>1</formula>
    </cfRule>
    <cfRule type="cellIs" dxfId="726" priority="28" operator="lessThan">
      <formula>0.8</formula>
    </cfRule>
  </conditionalFormatting>
  <conditionalFormatting sqref="R57 AG57">
    <cfRule type="cellIs" dxfId="725" priority="31" operator="lessThan">
      <formula>0.8</formula>
    </cfRule>
  </conditionalFormatting>
  <conditionalFormatting sqref="AG57">
    <cfRule type="cellIs" dxfId="724" priority="29" operator="lessThan">
      <formula>0.8</formula>
    </cfRule>
  </conditionalFormatting>
  <conditionalFormatting sqref="O68">
    <cfRule type="cellIs" dxfId="723" priority="21" operator="greaterThan">
      <formula>0</formula>
    </cfRule>
  </conditionalFormatting>
  <conditionalFormatting sqref="P68 AE68">
    <cfRule type="cellIs" dxfId="722" priority="24" operator="lessThan">
      <formula>0</formula>
    </cfRule>
  </conditionalFormatting>
  <conditionalFormatting sqref="Q68 AF68">
    <cfRule type="cellIs" dxfId="721" priority="22" operator="greaterThan">
      <formula>1</formula>
    </cfRule>
    <cfRule type="cellIs" dxfId="720" priority="23" operator="lessThan">
      <formula>0.8</formula>
    </cfRule>
  </conditionalFormatting>
  <conditionalFormatting sqref="R68 AG68">
    <cfRule type="cellIs" dxfId="719" priority="25" operator="lessThan">
      <formula>0.8</formula>
    </cfRule>
  </conditionalFormatting>
  <conditionalFormatting sqref="O19">
    <cfRule type="cellIs" dxfId="718" priority="16" operator="greaterThan">
      <formula>0</formula>
    </cfRule>
  </conditionalFormatting>
  <conditionalFormatting sqref="P19">
    <cfRule type="cellIs" dxfId="717" priority="19" operator="lessThan">
      <formula>0</formula>
    </cfRule>
  </conditionalFormatting>
  <conditionalFormatting sqref="Q19">
    <cfRule type="cellIs" dxfId="716" priority="17" operator="greaterThan">
      <formula>1</formula>
    </cfRule>
    <cfRule type="cellIs" dxfId="715" priority="18" operator="lessThan">
      <formula>0.8</formula>
    </cfRule>
  </conditionalFormatting>
  <conditionalFormatting sqref="AG19 R19">
    <cfRule type="cellIs" dxfId="714" priority="20" operator="lessThan">
      <formula>0.8</formula>
    </cfRule>
  </conditionalFormatting>
  <conditionalFormatting sqref="O20:O21">
    <cfRule type="cellIs" dxfId="713" priority="11" operator="greaterThan">
      <formula>0</formula>
    </cfRule>
  </conditionalFormatting>
  <conditionalFormatting sqref="P20:P21">
    <cfRule type="cellIs" dxfId="712" priority="14" operator="lessThan">
      <formula>0</formula>
    </cfRule>
  </conditionalFormatting>
  <conditionalFormatting sqref="Q20:Q21">
    <cfRule type="cellIs" dxfId="711" priority="12" operator="greaterThan">
      <formula>1</formula>
    </cfRule>
    <cfRule type="cellIs" dxfId="710" priority="13" operator="lessThan">
      <formula>0.8</formula>
    </cfRule>
  </conditionalFormatting>
  <conditionalFormatting sqref="AG20 R20">
    <cfRule type="cellIs" dxfId="709" priority="15" operator="lessThan">
      <formula>0.8</formula>
    </cfRule>
  </conditionalFormatting>
  <conditionalFormatting sqref="P9">
    <cfRule type="cellIs" dxfId="708" priority="10" operator="lessThan">
      <formula>0</formula>
    </cfRule>
  </conditionalFormatting>
  <conditionalFormatting sqref="P22">
    <cfRule type="cellIs" dxfId="707" priority="9" operator="lessThan">
      <formula>0</formula>
    </cfRule>
  </conditionalFormatting>
  <conditionalFormatting sqref="P34">
    <cfRule type="cellIs" dxfId="706" priority="8" operator="lessThan">
      <formula>0</formula>
    </cfRule>
  </conditionalFormatting>
  <conditionalFormatting sqref="P40">
    <cfRule type="cellIs" dxfId="705" priority="7" operator="lessThan">
      <formula>0</formula>
    </cfRule>
  </conditionalFormatting>
  <conditionalFormatting sqref="P58">
    <cfRule type="cellIs" dxfId="704" priority="6" operator="lessThan">
      <formula>0</formula>
    </cfRule>
  </conditionalFormatting>
  <conditionalFormatting sqref="P66">
    <cfRule type="cellIs" dxfId="703" priority="5" operator="lessThan">
      <formula>0</formula>
    </cfRule>
  </conditionalFormatting>
  <conditionalFormatting sqref="P71">
    <cfRule type="cellIs" dxfId="702" priority="4" operator="lessThan">
      <formula>0</formula>
    </cfRule>
  </conditionalFormatting>
  <conditionalFormatting sqref="P77">
    <cfRule type="cellIs" dxfId="701" priority="3" operator="lessThan">
      <formula>0</formula>
    </cfRule>
  </conditionalFormatting>
  <conditionalFormatting sqref="AG21 R21">
    <cfRule type="cellIs" dxfId="700" priority="2" operator="lessThan">
      <formula>0.8</formula>
    </cfRule>
  </conditionalFormatting>
  <conditionalFormatting sqref="AG32 R32">
    <cfRule type="cellIs" dxfId="699" priority="1" operator="lessThan">
      <formula>0.8</formula>
    </cfRule>
  </conditionalFormatting>
  <dataValidations count="1">
    <dataValidation type="list" allowBlank="1" showInputMessage="1" showErrorMessage="1" sqref="AB9 AA5:AB8 AB11:AB67 AA9:AA70 AA71:AB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6" sqref="A6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745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161</v>
      </c>
      <c r="C3" s="478" t="str">
        <f>TEXT('0108 4度C'!A2,"yyyy.mm.ddaaaa")</f>
        <v>2026.01.08星期四</v>
      </c>
      <c r="D3" s="479"/>
      <c r="E3" s="56" t="s">
        <v>746</v>
      </c>
      <c r="F3" s="480">
        <f>'0108 4度C'!D1</f>
        <v>158393</v>
      </c>
      <c r="G3" s="481"/>
      <c r="H3" s="56" t="s">
        <v>747</v>
      </c>
      <c r="I3" s="482">
        <f>'0108 4度C'!F1</f>
        <v>5469302.7599999988</v>
      </c>
      <c r="J3" s="483"/>
      <c r="K3" s="57"/>
      <c r="L3" s="58"/>
      <c r="M3" s="59"/>
      <c r="N3" s="59"/>
    </row>
    <row r="4" spans="2:17" ht="28.5" customHeight="1">
      <c r="B4" s="484" t="s">
        <v>164</v>
      </c>
      <c r="C4" s="470" t="s">
        <v>165</v>
      </c>
      <c r="D4" s="471"/>
      <c r="E4" s="487" t="s">
        <v>748</v>
      </c>
      <c r="F4" s="488"/>
      <c r="G4" s="487" t="s">
        <v>167</v>
      </c>
      <c r="H4" s="488"/>
      <c r="I4" s="487" t="s">
        <v>168</v>
      </c>
      <c r="J4" s="488"/>
      <c r="K4" s="468" t="s">
        <v>528</v>
      </c>
      <c r="L4" s="469"/>
      <c r="M4" s="469" t="s">
        <v>749</v>
      </c>
      <c r="N4" s="469"/>
    </row>
    <row r="5" spans="2:17" ht="28.5" customHeight="1">
      <c r="B5" s="485"/>
      <c r="C5" s="470" t="s">
        <v>750</v>
      </c>
      <c r="D5" s="471"/>
      <c r="E5" s="470" t="s">
        <v>751</v>
      </c>
      <c r="F5" s="471"/>
      <c r="G5" s="472" t="s">
        <v>173</v>
      </c>
      <c r="H5" s="473"/>
      <c r="I5" s="474" t="s">
        <v>752</v>
      </c>
      <c r="J5" s="475"/>
      <c r="K5" s="60" t="s">
        <v>143</v>
      </c>
      <c r="L5" s="61" t="s">
        <v>535</v>
      </c>
      <c r="M5" s="60" t="s">
        <v>753</v>
      </c>
      <c r="N5" s="61" t="s">
        <v>177</v>
      </c>
    </row>
    <row r="6" spans="2:17" ht="28.5" customHeight="1">
      <c r="B6" s="485"/>
      <c r="C6" s="470" t="s">
        <v>144</v>
      </c>
      <c r="D6" s="471"/>
      <c r="E6" s="462">
        <f>AVERAGE(D13:M13)</f>
        <v>145.78732440610949</v>
      </c>
      <c r="F6" s="463">
        <f>AVERAGE(D31:O31,D13:J13)</f>
        <v>148.81668155293639</v>
      </c>
      <c r="G6" s="464">
        <f>AVERAGE(D13:J13)</f>
        <v>148.81668155293639</v>
      </c>
      <c r="H6" s="465"/>
      <c r="I6" s="464">
        <f>AVERAGE(K13:M13)</f>
        <v>138.71882439684677</v>
      </c>
      <c r="J6" s="465"/>
      <c r="K6" s="466">
        <f>'0108 4度C'!Y2</f>
        <v>0</v>
      </c>
      <c r="L6" s="451">
        <f>'0108 4度C'!Z2</f>
        <v>0</v>
      </c>
      <c r="M6" s="467">
        <f>'0108 4度C'!AC2</f>
        <v>37</v>
      </c>
      <c r="N6" s="451">
        <f>'0108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139.62685302322609</v>
      </c>
      <c r="F7" s="455">
        <f>AVERAGE(D32:O32,D14:J14)</f>
        <v>142.40751999357653</v>
      </c>
      <c r="G7" s="456">
        <f>AVERAGE(D14:J14)</f>
        <v>142.40751999357653</v>
      </c>
      <c r="H7" s="457"/>
      <c r="I7" s="456">
        <f>AVERAGE(K14:M14)</f>
        <v>133.13863009240836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0.95644824327128641</v>
      </c>
      <c r="F8" s="459">
        <f>AVERAGE(D15:J15,D33:O33)</f>
        <v>0.95500624177120141</v>
      </c>
      <c r="G8" s="460">
        <f>AVERAGE(D15:J15)</f>
        <v>0.95500624177120141</v>
      </c>
      <c r="H8" s="461"/>
      <c r="I8" s="460">
        <f>AVERAGE(K15:M15)</f>
        <v>0.95981291343815167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754</v>
      </c>
      <c r="N9" s="59"/>
      <c r="O9" s="59"/>
      <c r="P9" s="59"/>
      <c r="Q9" s="59"/>
    </row>
    <row r="10" spans="2:17" ht="30" customHeight="1">
      <c r="B10" s="434" t="s">
        <v>755</v>
      </c>
      <c r="C10" s="435"/>
      <c r="D10" s="436" t="s">
        <v>180</v>
      </c>
      <c r="E10" s="437"/>
      <c r="F10" s="437"/>
      <c r="G10" s="437"/>
      <c r="H10" s="437"/>
      <c r="I10" s="437"/>
      <c r="J10" s="438"/>
      <c r="K10" s="439" t="s">
        <v>756</v>
      </c>
      <c r="L10" s="440"/>
      <c r="M10" s="441"/>
      <c r="P10" s="65"/>
      <c r="Q10" s="65"/>
    </row>
    <row r="11" spans="2:17" ht="17.25" customHeight="1">
      <c r="B11" s="442" t="s">
        <v>757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758</v>
      </c>
      <c r="C13" s="72" t="s">
        <v>184</v>
      </c>
      <c r="D13" s="73">
        <f>SUMIFS('0108 4度C'!$K:$K,'0108 4度C'!$A:$A,"新豐6線",'0108 4度C'!$B:$B,"平均")</f>
        <v>108.69565217391305</v>
      </c>
      <c r="E13" s="74">
        <f>SUMIFS('0108 4度C'!$K:$K,'0108 4度C'!$A:$A,"新豐2線",'0108 4度C'!$B:$B,"平均")</f>
        <v>83.333333333333329</v>
      </c>
      <c r="F13" s="75">
        <f>SUMIFS('0108 4度C'!$K:$K,'0108 4度C'!$A:$A,"新豐5線",'0108 4度C'!$B:$B,"平均")</f>
        <v>109.99999999999999</v>
      </c>
      <c r="G13" s="75">
        <f>SUMIFS('0108 4度C'!$K:$K,'0108 4度C'!$A:$A,"新豐7線",'0108 4度C'!$B:$B,"平均")</f>
        <v>114.75409836065573</v>
      </c>
      <c r="H13" s="75">
        <f>SUMIFS('0108 4度C'!$K:$K,'0108 4度C'!$A:$A,"新豐3線",'0108 4度C'!$B:$B,"平均")</f>
        <v>267.24137931034483</v>
      </c>
      <c r="I13" s="75">
        <f>SUMIFS('0108 4度C'!$K:$K,'0108 4度C'!$A:$A,"新豐1線",'0108 4度C'!$B:$B,"平均")</f>
        <v>107.69230769230768</v>
      </c>
      <c r="J13" s="76">
        <f>SUMIFS('0108 4度C'!$K:$K,'0108 4度C'!$A:$A,"新豐10線",'0108 4度C'!$B:$B,"平均")</f>
        <v>250</v>
      </c>
      <c r="K13" s="77">
        <f>SUMIFS('0108 4度C'!$K:$K,'0108 4度C'!$A:$A,"新豐8線",'0108 4度C'!$B:$B,"平均")</f>
        <v>132.11009174311926</v>
      </c>
      <c r="L13" s="78">
        <f>SUMIFS('0108 4度C'!$K:$K,'0108 4度C'!$A:$A,"新豐9線",'0108 4度C'!$B:$B,"平均")</f>
        <v>137.70491803278691</v>
      </c>
      <c r="M13" s="76">
        <f>SUMIFS('0108 4度C'!$K:$K,'0108 4度C'!$A:$A,"新豐4線",'0108 4度C'!$B:$B,"平均")</f>
        <v>146.34146341463415</v>
      </c>
    </row>
    <row r="14" spans="2:17" ht="39.6" customHeight="1">
      <c r="B14" s="447"/>
      <c r="C14" s="79" t="s">
        <v>185</v>
      </c>
      <c r="D14" s="80">
        <f>SUMIFS('0108 4度C'!$N:$N,'0108 4度C'!$A:$A,"新豐6線",'0108 4度C'!$B:$B,"平均")</f>
        <v>104.50413734374492</v>
      </c>
      <c r="E14" s="81">
        <f>SUMIFS('0108 4度C'!$N:$N,'0108 4度C'!$A:$A,"新豐2線",'0108 4度C'!$B:$B,"平均")</f>
        <v>79.660205899224096</v>
      </c>
      <c r="F14" s="81">
        <f>SUMIFS('0108 4度C'!$N:$N,'0108 4度C'!$A:$A,"新豐5線",'0108 4度C'!$B:$B,"平均")</f>
        <v>105.36543765026077</v>
      </c>
      <c r="G14" s="81">
        <f>SUMIFS('0108 4度C'!$N:$N,'0108 4度C'!$A:$A,"新豐7線",'0108 4度C'!$B:$B,"平均")</f>
        <v>110.3195394267342</v>
      </c>
      <c r="H14" s="81">
        <f>SUMIFS('0108 4度C'!$N:$N,'0108 4度C'!$A:$A,"新豐3線",'0108 4度C'!$B:$B,"平均")</f>
        <v>256.7747732674859</v>
      </c>
      <c r="I14" s="81">
        <f>SUMIFS('0108 4度C'!$N:$N,'0108 4度C'!$A:$A,"新豐1線",'0108 4度C'!$B:$B,"平均")</f>
        <v>99.647977021875178</v>
      </c>
      <c r="J14" s="82">
        <f>SUMIFS('0108 4度C'!$N:$N,'0108 4度C'!$A:$A,"新豐10線",'0108 4度C'!$B:$B,"平均")</f>
        <v>240.5805693457109</v>
      </c>
      <c r="K14" s="83">
        <f>SUMIFS('0108 4度C'!$N:$N,'0108 4度C'!$A:$A,"新豐8線",'0108 4度C'!$B:$B,"平均")</f>
        <v>126.36577093531336</v>
      </c>
      <c r="L14" s="84">
        <f>SUMIFS('0108 4度C'!$N:$N,'0108 4度C'!$A:$A,"新豐9線",'0108 4度C'!$B:$B,"平均")</f>
        <v>133.18100919778058</v>
      </c>
      <c r="M14" s="82">
        <f>SUMIFS('0108 4度C'!$N:$N,'0108 4度C'!$A:$A,"新豐4線",'0108 4度C'!$B:$B,"平均")</f>
        <v>139.86911014413121</v>
      </c>
    </row>
    <row r="15" spans="2:17" ht="40.15" customHeight="1">
      <c r="B15" s="448"/>
      <c r="C15" s="85" t="s">
        <v>759</v>
      </c>
      <c r="D15" s="86">
        <f t="shared" ref="D15:M15" si="0">D14/D13</f>
        <v>0.9614380635624532</v>
      </c>
      <c r="E15" s="87">
        <f t="shared" si="0"/>
        <v>0.95592247079068915</v>
      </c>
      <c r="F15" s="87">
        <f t="shared" si="0"/>
        <v>0.95786761500237083</v>
      </c>
      <c r="G15" s="87">
        <f t="shared" si="0"/>
        <v>0.96135598643296949</v>
      </c>
      <c r="H15" s="87">
        <f t="shared" si="0"/>
        <v>0.9608346354525279</v>
      </c>
      <c r="I15" s="87">
        <f t="shared" si="0"/>
        <v>0.92530264377455529</v>
      </c>
      <c r="J15" s="88">
        <f t="shared" si="0"/>
        <v>0.96232227738284359</v>
      </c>
      <c r="K15" s="86">
        <f t="shared" si="0"/>
        <v>0.95651868277424712</v>
      </c>
      <c r="L15" s="87">
        <f t="shared" si="0"/>
        <v>0.9671478048886446</v>
      </c>
      <c r="M15" s="88">
        <f t="shared" si="0"/>
        <v>0.95577225265156329</v>
      </c>
    </row>
    <row r="16" spans="2:17" ht="17.25" customHeight="1">
      <c r="B16" s="449" t="s">
        <v>187</v>
      </c>
      <c r="C16" s="89" t="s">
        <v>188</v>
      </c>
      <c r="D16" s="90">
        <f>VLOOKUP("新豐6線",'0108 4度C'!$A:$T,19,0)</f>
        <v>0.70833333333333337</v>
      </c>
      <c r="E16" s="91">
        <f>VLOOKUP("新豐2線",'0108 4度C'!$A:$T,19,0)</f>
        <v>0.16666666666666666</v>
      </c>
      <c r="F16" s="91">
        <f>VLOOKUP("新豐5線",'0108 4度C'!$A:$T,19,0)</f>
        <v>0.20833333333333334</v>
      </c>
      <c r="G16" s="91">
        <f>VLOOKUP("新豐7線",'0108 4度C'!$A:$T,19,0)</f>
        <v>0.20833333333333334</v>
      </c>
      <c r="H16" s="91">
        <f>VLOOKUP("新豐3線",'0108 4度C'!$A:$T,19,0)</f>
        <v>8.3333333333333329E-2</v>
      </c>
      <c r="I16" s="91">
        <f>VLOOKUP("新豐1線",'0108 4度C'!$A:$T,19,0)</f>
        <v>0.20833333333333334</v>
      </c>
      <c r="J16" s="92">
        <f>VLOOKUP("新豐10線",'0108 4度C'!$A:$T,19,0)</f>
        <v>0.20833333333333334</v>
      </c>
      <c r="K16" s="93">
        <f>VLOOKUP("新豐8線",'0108 4度C'!$A:$T,19,0)</f>
        <v>8.3333333333333329E-2</v>
      </c>
      <c r="L16" s="94">
        <f>VLOOKUP("新豐9線",'0108 4度C'!$A:$T,19,0)</f>
        <v>8.3333333333333329E-2</v>
      </c>
      <c r="M16" s="95">
        <f>VLOOKUP("新豐4線",'0108 4度C'!$A:$T,19,0)</f>
        <v>8.3333333333333329E-2</v>
      </c>
    </row>
    <row r="17" spans="2:13" ht="17.25" customHeight="1">
      <c r="B17" s="450"/>
      <c r="C17" s="89" t="s">
        <v>760</v>
      </c>
      <c r="D17" s="93">
        <f>LOOKUP(2,1/(('0108 4度C'!$A:$A="新豐6線")*('0108 4度C'!$T:$T&lt;&gt;"")),'0108 4度C'!$T:$T)</f>
        <v>0.89236111111111116</v>
      </c>
      <c r="E17" s="91">
        <f>LOOKUP(2,1/(('0108 4度C'!$A:$A="新豐2線")*('0108 4度C'!$T:$T&lt;&gt;"")),'0108 4度C'!$T:$T)</f>
        <v>0.39652777777777776</v>
      </c>
      <c r="F17" s="91">
        <f>LOOKUP(2,1/(('0108 4度C'!$A:$A="新豐5線")*('0108 4度C'!$T:$T&lt;&gt;"")),'0108 4度C'!$T:$T)</f>
        <v>0.92916666666666659</v>
      </c>
      <c r="G17" s="91">
        <f>LOOKUP(2,1/(('0108 4度C'!$A:$A="新豐7線")*('0108 4度C'!$T:$T&lt;&gt;"")),'0108 4度C'!$T:$T)</f>
        <v>0.94513888888888875</v>
      </c>
      <c r="H17" s="91">
        <f>LOOKUP(2,1/(('0108 4度C'!$A:$A="新豐3線")*('0108 4度C'!$T:$T&lt;&gt;"")),'0108 4度C'!$T:$T)</f>
        <v>0.60972222222222217</v>
      </c>
      <c r="I17" s="91">
        <f>LOOKUP(2,1/(('0108 4度C'!$A:$A="新豐1線")*('0108 4度C'!$T:$T&lt;&gt;"")),'0108 4度C'!$T:$T)</f>
        <v>0.82499999999999996</v>
      </c>
      <c r="J17" s="92">
        <f>LOOKUP(2,1/(('0108 4度C'!$A:$A="新豐10線")*('0108 4度C'!$T:$T&lt;&gt;"")),'0108 4度C'!$T:$T)</f>
        <v>0.49166666666666659</v>
      </c>
      <c r="K17" s="90">
        <f>LOOKUP(2,1/(('0108 4度C'!$A:$A="新豐8線")*('0108 4度C'!$T:$T&lt;&gt;"")),'0108 4度C'!$T:$T)</f>
        <v>0.5756944444444444</v>
      </c>
      <c r="L17" s="91">
        <f>LOOKUP(2,1/(('0108 4度C'!$A:$A="新豐9線")*('0108 4度C'!$T:$T&lt;&gt;"")),'0108 4度C'!$T:$T)</f>
        <v>0.47430555555555548</v>
      </c>
      <c r="M17" s="92">
        <f>LOOKUP(2,1/(('0108 4度C'!$A:$A="新豐4線")*('0108 4度C'!$T:$T&lt;&gt;"")),'0108 4度C'!$T:$T)</f>
        <v>0.52222222222222214</v>
      </c>
    </row>
    <row r="18" spans="2:13" ht="17.25" customHeight="1">
      <c r="B18" s="428" t="s">
        <v>190</v>
      </c>
      <c r="C18" s="96" t="s">
        <v>191</v>
      </c>
      <c r="D18" s="97">
        <f>SUMIFS('0108 4度C'!$Y:$Y,'0108 4度C'!$A:$A,"新豐6線",'0108 4度C'!$B:$B,"平均")</f>
        <v>0</v>
      </c>
      <c r="E18" s="98">
        <f>SUMIFS('0108 4度C'!$Y:$Y,'0108 4度C'!$A:$A,"新豐2線",'0108 4度C'!$B:$B,"平均")</f>
        <v>0</v>
      </c>
      <c r="F18" s="98">
        <f>SUMIFS('0108 4度C'!$Y:$Y,'0108 4度C'!$A:$A,"新豐5線",'0108 4度C'!$B:$B,"平均")</f>
        <v>0</v>
      </c>
      <c r="G18" s="98">
        <f>SUMIFS('0108 4度C'!$Y:$Y,'0108 4度C'!$A:$A,"新豐7線",'0108 4度C'!$B:$B,"平均")</f>
        <v>0</v>
      </c>
      <c r="H18" s="98">
        <f>SUMIFS('0108 4度C'!$Y:$Y,'0108 4度C'!$A:$A,"新豐3線",'0108 4度C'!$B:$B,"平均")</f>
        <v>0</v>
      </c>
      <c r="I18" s="98">
        <f>SUMIFS('0108 4度C'!$Y:$Y,'0108 4度C'!$A:$A,"新豐1線",'0108 4度C'!$B:$B,"平均")</f>
        <v>0</v>
      </c>
      <c r="J18" s="99">
        <f>SUMIFS('0108 4度C'!$Y:$Y,'0108 4度C'!$A:$A,"新豐10線",'0108 4度C'!$B:$B,"平均")</f>
        <v>0</v>
      </c>
      <c r="K18" s="100">
        <f>SUMIFS('0108 4度C'!$Y:$Y,'0108 4度C'!$A:$A,"新豐8線",'0108 4度C'!$B:$B,"平均")</f>
        <v>0</v>
      </c>
      <c r="L18" s="98">
        <f>SUMIFS('0108 4度C'!$Y:$Y,'0108 4度C'!$A:$A,"新豐9線",'0108 4度C'!$B:$B,"平均")</f>
        <v>0</v>
      </c>
      <c r="M18" s="99">
        <f>SUMIFS('0108 4度C'!$Y:$Y,'0108 4度C'!$A:$A,"新豐4線",'0108 4度C'!$B:$B,"平均")</f>
        <v>0</v>
      </c>
    </row>
    <row r="19" spans="2:13" ht="17.25" customHeight="1">
      <c r="B19" s="429"/>
      <c r="C19" s="96" t="s">
        <v>192</v>
      </c>
      <c r="D19" s="97">
        <f>SUMIFS('0108 4度C'!$Z:$Z,'0108 4度C'!$A:$A,"新豐6線",'0108 4度C'!$B:$B,"平均")</f>
        <v>0</v>
      </c>
      <c r="E19" s="98">
        <f>SUMIFS('0108 4度C'!$Z:$Z,'0108 4度C'!$A:$A,"新豐2線",'0108 4度C'!$B:$B,"平均")</f>
        <v>0</v>
      </c>
      <c r="F19" s="98">
        <f>SUMIFS('0108 4度C'!$Z:$Z,'0108 4度C'!$A:$A,"新豐5線",'0108 4度C'!$B:$B,"平均")</f>
        <v>0</v>
      </c>
      <c r="G19" s="98">
        <f>SUMIFS('0108 4度C'!$Z:$Z,'0108 4度C'!$A:$A,"新豐7線",'0108 4度C'!$B:$B,"平均")</f>
        <v>0</v>
      </c>
      <c r="H19" s="98">
        <f>SUMIFS('0108 4度C'!$Z:$Z,'0108 4度C'!$A:$A,"新豐3線",'0108 4度C'!$B:$B,"平均")</f>
        <v>0</v>
      </c>
      <c r="I19" s="98">
        <f>SUMIFS('0108 4度C'!$Z:$Z,'0108 4度C'!$A:$A,"新豐1線",'0108 4度C'!$B:$B,"平均")</f>
        <v>0</v>
      </c>
      <c r="J19" s="99">
        <f>SUMIFS('0108 4度C'!$Z:$Z,'0108 4度C'!$A:$A,"新豐10線",'0108 4度C'!$B:$B,"平均")</f>
        <v>0</v>
      </c>
      <c r="K19" s="100">
        <f>SUMIFS('0108 4度C'!$Z:$Z,'0108 4度C'!$A:$A,"新豐8線",'0108 4度C'!$B:$B,"平均")</f>
        <v>0</v>
      </c>
      <c r="L19" s="98">
        <f>SUMIFS('0108 4度C'!$Z:$Z,'0108 4度C'!$A:$A,"新豐9線",'0108 4度C'!$B:$B,"平均")</f>
        <v>0</v>
      </c>
      <c r="M19" s="99">
        <f>SUMIFS('0108 4度C'!$Z:$Z,'0108 4度C'!$A:$A,"新豐4線",'0108 4度C'!$B:$B,"平均")</f>
        <v>0</v>
      </c>
    </row>
    <row r="20" spans="2:13" ht="17.25" customHeight="1">
      <c r="B20" s="428" t="s">
        <v>193</v>
      </c>
      <c r="C20" s="96" t="s">
        <v>191</v>
      </c>
      <c r="D20" s="97">
        <f>SUMIFS('0108 4度C'!$AC:$AC,'0108 4度C'!$A:$A,"新豐6線",'0108 4度C'!$B:$B,"平均")</f>
        <v>2</v>
      </c>
      <c r="E20" s="98">
        <f>SUMIFS('0108 4度C'!$AC:$AC,'0108 4度C'!$A:$A,"新豐2線",'0108 4度C'!$B:$B,"平均")</f>
        <v>2</v>
      </c>
      <c r="F20" s="98">
        <f>SUMIFS('0108 4度C'!$AC:$AC,'0108 4度C'!$A:$A,"新豐5線",'0108 4度C'!$B:$B,"平均")</f>
        <v>4</v>
      </c>
      <c r="G20" s="98">
        <f>SUMIFS('0108 4度C'!$AC:$AC,'0108 4度C'!$A:$A,"新豐7線",'0108 4度C'!$B:$B,"平均")</f>
        <v>4</v>
      </c>
      <c r="H20" s="98">
        <f>SUMIFS('0108 4度C'!$AC:$AC,'0108 4度C'!$A:$A,"新豐3線",'0108 4度C'!$B:$B,"平均")</f>
        <v>0</v>
      </c>
      <c r="I20" s="98">
        <f>SUMIFS('0108 4度C'!$AC:$AC,'0108 4度C'!$A:$A,"新豐1線",'0108 4度C'!$B:$B,"平均")</f>
        <v>4</v>
      </c>
      <c r="J20" s="99">
        <f>SUMIFS('0108 4度C'!$AC:$AC,'0108 4度C'!$A:$A,"新豐10線",'0108 4度C'!$B:$B,"平均")</f>
        <v>1</v>
      </c>
      <c r="K20" s="100">
        <f>SUMIFS('0108 4度C'!$AC:$AC,'0108 4度C'!$A:$A,"新豐8線",'0108 4度C'!$B:$B,"平均")</f>
        <v>7</v>
      </c>
      <c r="L20" s="98">
        <f>SUMIFS('0108 4度C'!$AC:$AC,'0108 4度C'!$A:$A,"新豐9線",'0108 4度C'!$B:$B,"平均")</f>
        <v>6</v>
      </c>
      <c r="M20" s="99">
        <f>SUMIFS('0108 4度C'!$AC:$AC,'0108 4度C'!$A:$A,"新豐4線",'0108 4度C'!$B:$B,"平均")</f>
        <v>7</v>
      </c>
    </row>
    <row r="21" spans="2:13" ht="17.25" customHeight="1">
      <c r="B21" s="429"/>
      <c r="C21" s="96" t="s">
        <v>194</v>
      </c>
      <c r="D21" s="97">
        <f>SUMIFS('0108 4度C'!$AD:$AD,'0108 4度C'!$A:$A,"新豐6線",'0108 4度C'!$B:$B,"平均")</f>
        <v>0</v>
      </c>
      <c r="E21" s="98">
        <f>SUMIFS('0108 4度C'!$AD:$AD,'0108 4度C'!$A:$A,"新豐2線",'0108 4度C'!$B:$B,"平均")</f>
        <v>0</v>
      </c>
      <c r="F21" s="98">
        <f>SUMIFS('0108 4度C'!$AD:$AD,'0108 4度C'!$A:$A,"新豐5線",'0108 4度C'!$B:$B,"平均")</f>
        <v>0</v>
      </c>
      <c r="G21" s="98">
        <f>SUMIFS('0108 4度C'!$AD:$AD,'0108 4度C'!$A:$A,"新豐7線",'0108 4度C'!$B:$B,"平均")</f>
        <v>0</v>
      </c>
      <c r="H21" s="98">
        <f>SUMIFS('0108 4度C'!$AD:$AD,'0108 4度C'!$A:$A,"新豐3線",'0108 4度C'!$B:$B,"平均")</f>
        <v>0</v>
      </c>
      <c r="I21" s="98">
        <f>SUMIFS('0108 4度C'!$AD:$AD,'0108 4度C'!$A:$A,"新豐1線",'0108 4度C'!$B:$B,"平均")</f>
        <v>0</v>
      </c>
      <c r="J21" s="99">
        <f>SUMIFS('0108 4度C'!$AD:$AD,'0108 4度C'!$A:$A,"新豐10線",'0108 4度C'!$B:$B,"平均")</f>
        <v>0</v>
      </c>
      <c r="K21" s="100">
        <f>SUMIFS('0108 4度C'!$AD:$AD,'0108 4度C'!$A:$A,"新豐8線",'0108 4度C'!$B:$B,"平均")</f>
        <v>0</v>
      </c>
      <c r="L21" s="98">
        <f>SUMIFS('0108 4度C'!$AD:$AD,'0108 4度C'!$A:$A,"新豐9線",'0108 4度C'!$B:$B,"平均")</f>
        <v>0</v>
      </c>
      <c r="M21" s="99">
        <f>SUMIFS('0108 4度C'!$AD:$AD,'0108 4度C'!$A:$A,"新豐4線",'0108 4度C'!$B:$B,"平均")</f>
        <v>0</v>
      </c>
    </row>
    <row r="22" spans="2:13" ht="17.25" customHeight="1">
      <c r="B22" s="430" t="s">
        <v>195</v>
      </c>
      <c r="C22" s="431"/>
      <c r="D22" s="101">
        <f>SUMIFS('0108 4度C'!$I:$I,'0108 4度C'!$A:$A,"新豐6線",'0108 4度C'!$B:$B,"平均")</f>
        <v>18.399999999999999</v>
      </c>
      <c r="E22" s="102">
        <f>SUMIFS('0108 4度C'!$I:$I,'0108 4度C'!$A:$A,"新豐2線",'0108 4度C'!$B:$B,"平均")</f>
        <v>18</v>
      </c>
      <c r="F22" s="102">
        <f>SUMIFS('0108 4度C'!$I:$I,'0108 4度C'!$A:$A,"新豐5線",'0108 4度C'!$B:$B,"平均")</f>
        <v>16.666666666666668</v>
      </c>
      <c r="G22" s="102">
        <f>SUMIFS('0108 4度C'!$I:$I,'0108 4度C'!$A:$A,"新豐7線",'0108 4度C'!$B:$B,"平均")</f>
        <v>16.636363636363637</v>
      </c>
      <c r="H22" s="102">
        <f>SUMIFS('0108 4度C'!$I:$I,'0108 4度C'!$A:$A,"新豐3線",'0108 4度C'!$B:$B,"平均")</f>
        <v>10.545454545454545</v>
      </c>
      <c r="I22" s="102">
        <f>SUMIFS('0108 4度C'!$I:$I,'0108 4度C'!$A:$A,"新豐1線",'0108 4度C'!$B:$B,"平均")</f>
        <v>18.571428571428573</v>
      </c>
      <c r="J22" s="103">
        <f>SUMIFS('0108 4度C'!$I:$I,'0108 4度C'!$A:$A,"新豐10線",'0108 4度C'!$B:$B,"平均")</f>
        <v>9</v>
      </c>
      <c r="K22" s="101">
        <f>SUMIFS('0108 4度C'!$I:$I,'0108 4度C'!$A:$A,"新豐8線",'0108 4度C'!$B:$B,"平均")</f>
        <v>18.166666666666668</v>
      </c>
      <c r="L22" s="102">
        <f>SUMIFS('0108 4度C'!$I:$I,'0108 4度C'!$A:$A,"新豐9線",'0108 4度C'!$B:$B,"平均")</f>
        <v>17.428571428571427</v>
      </c>
      <c r="M22" s="103">
        <f>SUMIFS('0108 4度C'!$I:$I,'0108 4度C'!$A:$A,"新豐4線",'0108 4度C'!$B:$B,"平均")</f>
        <v>16.399999999999999</v>
      </c>
    </row>
    <row r="23" spans="2:13" ht="17.25" customHeight="1">
      <c r="B23" s="430" t="s">
        <v>761</v>
      </c>
      <c r="C23" s="431"/>
      <c r="D23" s="104" t="s">
        <v>157</v>
      </c>
      <c r="E23" s="105" t="s">
        <v>158</v>
      </c>
      <c r="F23" s="105" t="s">
        <v>197</v>
      </c>
      <c r="G23" s="105" t="s">
        <v>762</v>
      </c>
      <c r="H23" s="105" t="s">
        <v>159</v>
      </c>
      <c r="I23" s="105" t="s">
        <v>157</v>
      </c>
      <c r="J23" s="106" t="s">
        <v>159</v>
      </c>
      <c r="K23" s="104" t="s">
        <v>647</v>
      </c>
      <c r="L23" s="105" t="s">
        <v>647</v>
      </c>
      <c r="M23" s="106" t="s">
        <v>199</v>
      </c>
    </row>
    <row r="24" spans="2:13" ht="17.25" customHeight="1">
      <c r="B24" s="430" t="s">
        <v>200</v>
      </c>
      <c r="C24" s="431"/>
      <c r="D24" s="104"/>
      <c r="E24" s="105"/>
      <c r="F24" s="105" t="s">
        <v>763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764</v>
      </c>
      <c r="C25" s="433"/>
      <c r="D25" s="107"/>
      <c r="E25" s="108" t="s">
        <v>203</v>
      </c>
      <c r="F25" s="426" t="s">
        <v>204</v>
      </c>
      <c r="G25" s="427"/>
      <c r="H25" s="108" t="s">
        <v>205</v>
      </c>
      <c r="I25" s="108" t="s">
        <v>765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9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zoomScale="80" zoomScaleNormal="80" workbookViewId="0">
      <pane ySplit="4" topLeftCell="A65" activePane="bottomLeft" state="frozen"/>
      <selection activeCell="A6" sqref="A6"/>
      <selection pane="bottomLeft" activeCell="A6" sqref="A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766</v>
      </c>
      <c r="D1" s="3">
        <f>SUM(F5:F81)</f>
        <v>158393</v>
      </c>
      <c r="E1" s="159" t="s">
        <v>767</v>
      </c>
      <c r="F1" s="1">
        <f>SUM(G5:G81)</f>
        <v>5469302.7599999988</v>
      </c>
      <c r="G1" s="1" t="s">
        <v>3</v>
      </c>
      <c r="H1" s="5">
        <f>L10+L13+L62+L70+L23+L75+L42+L50+L35+L81</f>
        <v>159.81515151515154</v>
      </c>
      <c r="I1" s="542" t="s">
        <v>768</v>
      </c>
      <c r="J1" s="542"/>
      <c r="K1" s="542"/>
      <c r="L1" s="542" t="s">
        <v>769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770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771</v>
      </c>
      <c r="AF1" s="544"/>
      <c r="AG1" s="544"/>
    </row>
    <row r="2" spans="1:33" ht="26.25" customHeight="1">
      <c r="A2" s="49">
        <v>46030</v>
      </c>
      <c r="B2" s="50" t="s">
        <v>78</v>
      </c>
      <c r="C2" s="2" t="s">
        <v>758</v>
      </c>
      <c r="D2" s="10">
        <f>AVERAGE(N10,N13,N62,N70,N23,N75,N35,N42,N50,N81)</f>
        <v>139.62685302322612</v>
      </c>
      <c r="E2" s="11" t="s">
        <v>14</v>
      </c>
      <c r="F2" s="12">
        <f>F1/D1</f>
        <v>34.529952460020318</v>
      </c>
      <c r="G2" s="1" t="s">
        <v>772</v>
      </c>
      <c r="H2" s="171">
        <f>COUNT(H5:H81)</f>
        <v>8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SUM(Y10+Y13+Y23+Y35+Y42+Y50+Y62+Y70+Y75+Y81)</f>
        <v>0</v>
      </c>
      <c r="Z2" s="14">
        <f>SUM(Z10+Z13+Z23+Z35+Z42+Z50+Z62+Z70+Z75+Z81)</f>
        <v>0</v>
      </c>
      <c r="AA2" s="543"/>
      <c r="AB2" s="543"/>
      <c r="AC2" s="157">
        <v>37</v>
      </c>
      <c r="AD2" s="14">
        <f>SUM(AD10+AD13+AD23+AD35+AD42+AD50+AD62+AD70+AD75+AD81)</f>
        <v>0</v>
      </c>
      <c r="AE2" s="544"/>
      <c r="AF2" s="544"/>
      <c r="AG2" s="544"/>
    </row>
    <row r="3" spans="1:33" ht="40.5" customHeight="1">
      <c r="A3" s="491" t="s">
        <v>773</v>
      </c>
      <c r="B3" s="491" t="s">
        <v>774</v>
      </c>
      <c r="C3" s="491" t="s">
        <v>775</v>
      </c>
      <c r="D3" s="491"/>
      <c r="E3" s="540" t="s">
        <v>19</v>
      </c>
      <c r="F3" s="491" t="s">
        <v>776</v>
      </c>
      <c r="G3" s="540" t="s">
        <v>777</v>
      </c>
      <c r="H3" s="533" t="s">
        <v>778</v>
      </c>
      <c r="I3" s="531" t="s">
        <v>779</v>
      </c>
      <c r="J3" s="528" t="s">
        <v>24</v>
      </c>
      <c r="K3" s="538" t="s">
        <v>758</v>
      </c>
      <c r="L3" s="531" t="s">
        <v>278</v>
      </c>
      <c r="M3" s="528" t="s">
        <v>780</v>
      </c>
      <c r="N3" s="538" t="s">
        <v>758</v>
      </c>
      <c r="O3" s="531" t="s">
        <v>779</v>
      </c>
      <c r="P3" s="538" t="s">
        <v>13</v>
      </c>
      <c r="Q3" s="529" t="s">
        <v>25</v>
      </c>
      <c r="R3" s="507" t="s">
        <v>781</v>
      </c>
      <c r="S3" s="539" t="s">
        <v>27</v>
      </c>
      <c r="T3" s="539"/>
      <c r="U3" s="533" t="s">
        <v>28</v>
      </c>
      <c r="V3" s="533" t="s">
        <v>29</v>
      </c>
      <c r="W3" s="491" t="s">
        <v>681</v>
      </c>
      <c r="X3" s="491"/>
      <c r="Y3" s="534" t="s">
        <v>579</v>
      </c>
      <c r="Z3" s="495"/>
      <c r="AA3" s="535" t="s">
        <v>734</v>
      </c>
      <c r="AB3" s="536"/>
      <c r="AC3" s="534" t="s">
        <v>782</v>
      </c>
      <c r="AD3" s="495"/>
      <c r="AE3" s="528" t="s">
        <v>780</v>
      </c>
      <c r="AF3" s="529" t="s">
        <v>25</v>
      </c>
      <c r="AG3" s="507" t="s">
        <v>735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70" t="s">
        <v>37</v>
      </c>
      <c r="T4" s="170" t="s">
        <v>38</v>
      </c>
      <c r="U4" s="533"/>
      <c r="V4" s="533"/>
      <c r="W4" s="159" t="s">
        <v>39</v>
      </c>
      <c r="X4" s="159" t="s">
        <v>585</v>
      </c>
      <c r="Y4" s="162" t="s">
        <v>586</v>
      </c>
      <c r="Z4" s="162" t="s">
        <v>587</v>
      </c>
      <c r="AA4" s="537"/>
      <c r="AB4" s="536"/>
      <c r="AC4" s="162" t="s">
        <v>783</v>
      </c>
      <c r="AD4" s="162" t="s">
        <v>784</v>
      </c>
      <c r="AE4" s="528"/>
      <c r="AF4" s="529"/>
      <c r="AG4" s="507"/>
    </row>
    <row r="5" spans="1:33">
      <c r="A5" s="530" t="s">
        <v>691</v>
      </c>
      <c r="B5" s="42" t="s">
        <v>103</v>
      </c>
      <c r="C5" s="532" t="s">
        <v>120</v>
      </c>
      <c r="D5" s="532"/>
      <c r="E5" s="42">
        <v>50.67</v>
      </c>
      <c r="F5" s="170">
        <v>1134</v>
      </c>
      <c r="G5" s="159">
        <f t="shared" ref="G5:G9" si="0">E5*F5</f>
        <v>57459.78</v>
      </c>
      <c r="H5" s="125" t="s">
        <v>79</v>
      </c>
      <c r="I5" s="168">
        <v>17</v>
      </c>
      <c r="J5" s="37">
        <v>2000</v>
      </c>
      <c r="K5" s="17">
        <f t="shared" ref="K5:K68" si="1">J5/I5</f>
        <v>117.64705882352941</v>
      </c>
      <c r="L5" s="168">
        <v>17</v>
      </c>
      <c r="M5" s="18">
        <f t="shared" ref="M5:M9" si="2">F5/V5*60</f>
        <v>1943.9999999999982</v>
      </c>
      <c r="N5" s="17">
        <f t="shared" ref="N5:N68" si="3">M5/L5</f>
        <v>114.35294117647048</v>
      </c>
      <c r="O5" s="19">
        <f t="shared" ref="O5:O68" si="4">L5-I5</f>
        <v>0</v>
      </c>
      <c r="P5" s="20">
        <f t="shared" ref="P5:P68" si="5">N5-K5</f>
        <v>-3.2941176470589255</v>
      </c>
      <c r="Q5" s="158">
        <f t="shared" ref="Q5:Q68" si="6">N5/K5</f>
        <v>0.97199999999999909</v>
      </c>
      <c r="R5" s="489">
        <f>Q10</f>
        <v>0.9614380635624532</v>
      </c>
      <c r="S5" s="40">
        <v>0.70833333333333337</v>
      </c>
      <c r="T5" s="40">
        <v>0.73263888888888895</v>
      </c>
      <c r="U5" s="159"/>
      <c r="V5" s="169">
        <f t="shared" ref="V5:V9" si="7">(T5-S5)*24*60</f>
        <v>35.000000000000036</v>
      </c>
      <c r="W5" s="23"/>
      <c r="X5" s="24"/>
      <c r="Y5" s="24"/>
      <c r="Z5" s="24"/>
      <c r="AA5" s="491"/>
      <c r="AB5" s="491"/>
      <c r="AC5" s="154">
        <v>2</v>
      </c>
      <c r="AD5" s="25"/>
      <c r="AE5" s="19">
        <f t="shared" ref="AE5:AE68" si="8">M5-J5</f>
        <v>-56.000000000001819</v>
      </c>
      <c r="AF5" s="158">
        <f t="shared" ref="AF5:AF68" si="9">M5/J5</f>
        <v>0.97199999999999909</v>
      </c>
      <c r="AG5" s="489">
        <f>AF10</f>
        <v>0.9614380635624532</v>
      </c>
    </row>
    <row r="6" spans="1:33">
      <c r="A6" s="531" t="s">
        <v>45</v>
      </c>
      <c r="B6" s="42" t="s">
        <v>103</v>
      </c>
      <c r="C6" s="532" t="s">
        <v>121</v>
      </c>
      <c r="D6" s="532"/>
      <c r="E6" s="42">
        <v>54.09</v>
      </c>
      <c r="F6" s="170">
        <v>1147</v>
      </c>
      <c r="G6" s="159">
        <f t="shared" si="0"/>
        <v>62041.23</v>
      </c>
      <c r="H6" s="125" t="s">
        <v>79</v>
      </c>
      <c r="I6" s="168">
        <v>19</v>
      </c>
      <c r="J6" s="37">
        <v>2000</v>
      </c>
      <c r="K6" s="17">
        <f t="shared" si="1"/>
        <v>105.26315789473684</v>
      </c>
      <c r="L6" s="168">
        <v>19</v>
      </c>
      <c r="M6" s="18">
        <f t="shared" si="2"/>
        <v>1911.6666666666652</v>
      </c>
      <c r="N6" s="17">
        <f t="shared" si="3"/>
        <v>100.61403508771922</v>
      </c>
      <c r="O6" s="19">
        <f t="shared" si="4"/>
        <v>0</v>
      </c>
      <c r="P6" s="20">
        <f t="shared" si="5"/>
        <v>-4.6491228070176192</v>
      </c>
      <c r="Q6" s="158">
        <f t="shared" si="6"/>
        <v>0.95583333333333265</v>
      </c>
      <c r="R6" s="489"/>
      <c r="S6" s="40">
        <v>0.73611111111111116</v>
      </c>
      <c r="T6" s="40">
        <v>0.76111111111111118</v>
      </c>
      <c r="U6" s="159">
        <f t="shared" ref="U6:U9" si="10">IF(S6=TIME(17,0,0),"",(S6-T5)*24*60)</f>
        <v>4.9999999999999822</v>
      </c>
      <c r="V6" s="169">
        <f t="shared" si="7"/>
        <v>36.000000000000028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-88.333333333334849</v>
      </c>
      <c r="AF6" s="158">
        <f t="shared" si="9"/>
        <v>0.95583333333333254</v>
      </c>
      <c r="AG6" s="489"/>
    </row>
    <row r="7" spans="1:33">
      <c r="A7" s="531" t="s">
        <v>45</v>
      </c>
      <c r="B7" s="42" t="s">
        <v>103</v>
      </c>
      <c r="C7" s="523" t="s">
        <v>515</v>
      </c>
      <c r="D7" s="524"/>
      <c r="E7" s="42">
        <v>50.67</v>
      </c>
      <c r="F7" s="170">
        <v>1400</v>
      </c>
      <c r="G7" s="159">
        <f t="shared" si="0"/>
        <v>70938</v>
      </c>
      <c r="H7" s="125">
        <v>2</v>
      </c>
      <c r="I7" s="168">
        <v>21</v>
      </c>
      <c r="J7" s="37">
        <v>2000</v>
      </c>
      <c r="K7" s="17">
        <f t="shared" si="1"/>
        <v>95.238095238095241</v>
      </c>
      <c r="L7" s="168">
        <v>21</v>
      </c>
      <c r="M7" s="18">
        <f t="shared" si="2"/>
        <v>1909.090909090909</v>
      </c>
      <c r="N7" s="17">
        <f t="shared" si="3"/>
        <v>90.909090909090907</v>
      </c>
      <c r="O7" s="19">
        <f t="shared" si="4"/>
        <v>0</v>
      </c>
      <c r="P7" s="20">
        <f t="shared" si="5"/>
        <v>-4.3290043290043343</v>
      </c>
      <c r="Q7" s="158">
        <f t="shared" si="6"/>
        <v>0.95454545454545447</v>
      </c>
      <c r="R7" s="489"/>
      <c r="S7" s="40">
        <v>0.76666666666666672</v>
      </c>
      <c r="T7" s="40">
        <v>0.79722222222222228</v>
      </c>
      <c r="U7" s="159">
        <f t="shared" si="10"/>
        <v>7.9999999999999716</v>
      </c>
      <c r="V7" s="169">
        <f t="shared" si="7"/>
        <v>44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-90.909090909090992</v>
      </c>
      <c r="AF7" s="158">
        <f t="shared" si="9"/>
        <v>0.95454545454545447</v>
      </c>
      <c r="AG7" s="489"/>
    </row>
    <row r="8" spans="1:33">
      <c r="A8" s="531" t="s">
        <v>45</v>
      </c>
      <c r="B8" s="42" t="s">
        <v>103</v>
      </c>
      <c r="C8" s="523" t="s">
        <v>122</v>
      </c>
      <c r="D8" s="524"/>
      <c r="E8" s="42">
        <v>50.29</v>
      </c>
      <c r="F8" s="170">
        <v>1331</v>
      </c>
      <c r="G8" s="159">
        <f t="shared" si="0"/>
        <v>66935.990000000005</v>
      </c>
      <c r="H8" s="125" t="s">
        <v>79</v>
      </c>
      <c r="I8" s="168">
        <v>16</v>
      </c>
      <c r="J8" s="37">
        <v>2000</v>
      </c>
      <c r="K8" s="17">
        <f t="shared" si="1"/>
        <v>125</v>
      </c>
      <c r="L8" s="168">
        <v>16</v>
      </c>
      <c r="M8" s="18">
        <f t="shared" si="2"/>
        <v>1947.80487804878</v>
      </c>
      <c r="N8" s="17">
        <f t="shared" si="3"/>
        <v>121.73780487804875</v>
      </c>
      <c r="O8" s="19">
        <f t="shared" si="4"/>
        <v>0</v>
      </c>
      <c r="P8" s="20">
        <f t="shared" si="5"/>
        <v>-3.2621951219512511</v>
      </c>
      <c r="Q8" s="158">
        <f t="shared" si="6"/>
        <v>0.97390243902439</v>
      </c>
      <c r="R8" s="489"/>
      <c r="S8" s="40">
        <v>0.80069444444444449</v>
      </c>
      <c r="T8" s="40">
        <v>0.82916666666666672</v>
      </c>
      <c r="U8" s="159">
        <f t="shared" si="10"/>
        <v>4.9999999999999822</v>
      </c>
      <c r="V8" s="169">
        <f t="shared" si="7"/>
        <v>41.000000000000014</v>
      </c>
      <c r="W8" s="23">
        <f>T8</f>
        <v>0.82916666666666672</v>
      </c>
      <c r="X8" s="23">
        <f>S9</f>
        <v>0.86944444444444446</v>
      </c>
      <c r="Y8" s="29"/>
      <c r="Z8" s="29"/>
      <c r="AA8" s="503"/>
      <c r="AB8" s="504"/>
      <c r="AC8" s="155"/>
      <c r="AD8" s="27"/>
      <c r="AE8" s="19">
        <f t="shared" si="8"/>
        <v>-52.195121951220017</v>
      </c>
      <c r="AF8" s="158">
        <f t="shared" si="9"/>
        <v>0.97390243902439</v>
      </c>
      <c r="AG8" s="489"/>
    </row>
    <row r="9" spans="1:33">
      <c r="A9" s="531" t="s">
        <v>45</v>
      </c>
      <c r="B9" s="42" t="s">
        <v>103</v>
      </c>
      <c r="C9" s="523" t="s">
        <v>515</v>
      </c>
      <c r="D9" s="524"/>
      <c r="E9" s="42">
        <v>50.67</v>
      </c>
      <c r="F9" s="170">
        <v>1046</v>
      </c>
      <c r="G9" s="159">
        <f t="shared" si="0"/>
        <v>53000.82</v>
      </c>
      <c r="H9" s="125" t="s">
        <v>79</v>
      </c>
      <c r="I9" s="168">
        <v>21</v>
      </c>
      <c r="J9" s="37">
        <v>2000</v>
      </c>
      <c r="K9" s="17">
        <f t="shared" si="1"/>
        <v>95.238095238095241</v>
      </c>
      <c r="L9" s="168">
        <v>21</v>
      </c>
      <c r="M9" s="18">
        <f t="shared" si="2"/>
        <v>1901.8181818181795</v>
      </c>
      <c r="N9" s="17">
        <f t="shared" si="3"/>
        <v>90.562770562770453</v>
      </c>
      <c r="O9" s="19">
        <f t="shared" si="4"/>
        <v>0</v>
      </c>
      <c r="P9" s="20">
        <f t="shared" si="5"/>
        <v>-4.6753246753247879</v>
      </c>
      <c r="Q9" s="158">
        <f t="shared" si="6"/>
        <v>0.9509090909090897</v>
      </c>
      <c r="R9" s="489"/>
      <c r="S9" s="40">
        <v>0.86944444444444446</v>
      </c>
      <c r="T9" s="40">
        <v>0.89236111111111116</v>
      </c>
      <c r="U9" s="159">
        <f t="shared" si="10"/>
        <v>57.999999999999957</v>
      </c>
      <c r="V9" s="169">
        <f t="shared" si="7"/>
        <v>33.000000000000043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-98.181818181820518</v>
      </c>
      <c r="AF9" s="158">
        <f t="shared" si="9"/>
        <v>0.9509090909090897</v>
      </c>
      <c r="AG9" s="489"/>
    </row>
    <row r="10" spans="1:33">
      <c r="A10" s="531" t="s">
        <v>45</v>
      </c>
      <c r="B10" s="42" t="s">
        <v>71</v>
      </c>
      <c r="C10" s="494"/>
      <c r="D10" s="494"/>
      <c r="E10" s="161"/>
      <c r="F10" s="44"/>
      <c r="G10" s="17"/>
      <c r="H10" s="170"/>
      <c r="I10" s="30">
        <v>18.399999999999999</v>
      </c>
      <c r="J10" s="37">
        <v>2000</v>
      </c>
      <c r="K10" s="17">
        <f t="shared" si="1"/>
        <v>108.69565217391305</v>
      </c>
      <c r="L10" s="30">
        <v>18.399999999999999</v>
      </c>
      <c r="M10" s="18">
        <f>AVERAGE(M5:M9)</f>
        <v>1922.8761271249064</v>
      </c>
      <c r="N10" s="17">
        <f t="shared" si="3"/>
        <v>104.50413734374492</v>
      </c>
      <c r="O10" s="19">
        <f t="shared" si="4"/>
        <v>0</v>
      </c>
      <c r="P10" s="20">
        <f t="shared" si="5"/>
        <v>-4.1915148301681313</v>
      </c>
      <c r="Q10" s="158">
        <f t="shared" si="6"/>
        <v>0.9614380635624532</v>
      </c>
      <c r="R10" s="489"/>
      <c r="S10" s="40"/>
      <c r="T10" s="40"/>
      <c r="U10" s="159"/>
      <c r="V10" s="169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2</v>
      </c>
      <c r="AD10" s="31">
        <f>SUM(AD5:AD9)</f>
        <v>0</v>
      </c>
      <c r="AE10" s="19">
        <f t="shared" si="8"/>
        <v>-77.123872875093639</v>
      </c>
      <c r="AF10" s="158">
        <f t="shared" si="9"/>
        <v>0.9614380635624532</v>
      </c>
      <c r="AG10" s="489"/>
    </row>
    <row r="11" spans="1:33" ht="15.75" customHeight="1">
      <c r="A11" s="527" t="s">
        <v>50</v>
      </c>
      <c r="B11" s="42" t="s">
        <v>100</v>
      </c>
      <c r="C11" s="523" t="s">
        <v>124</v>
      </c>
      <c r="D11" s="524"/>
      <c r="E11" s="42">
        <v>39.619999999999997</v>
      </c>
      <c r="F11" s="170">
        <v>2922</v>
      </c>
      <c r="G11" s="159">
        <f t="shared" ref="G11:G12" si="11">E11*F11</f>
        <v>115769.64</v>
      </c>
      <c r="H11" s="125" t="s">
        <v>79</v>
      </c>
      <c r="I11" s="168">
        <v>19</v>
      </c>
      <c r="J11" s="37">
        <v>1500</v>
      </c>
      <c r="K11" s="17">
        <f t="shared" si="1"/>
        <v>78.94736842105263</v>
      </c>
      <c r="L11" s="168">
        <v>19</v>
      </c>
      <c r="M11" s="18">
        <f t="shared" ref="M11:M12" si="12">F11/V11*60</f>
        <v>1437.0491803278687</v>
      </c>
      <c r="N11" s="17">
        <f t="shared" si="3"/>
        <v>75.634167385677301</v>
      </c>
      <c r="O11" s="19">
        <f t="shared" si="4"/>
        <v>0</v>
      </c>
      <c r="P11" s="20">
        <f t="shared" si="5"/>
        <v>-3.3132010353753287</v>
      </c>
      <c r="Q11" s="158">
        <f t="shared" si="6"/>
        <v>0.95803278688524585</v>
      </c>
      <c r="R11" s="489">
        <f>Q13</f>
        <v>0.95592247079068915</v>
      </c>
      <c r="S11" s="40">
        <v>0.16666666666666666</v>
      </c>
      <c r="T11" s="40">
        <v>0.25138888888888888</v>
      </c>
      <c r="U11" s="159"/>
      <c r="V11" s="169">
        <f t="shared" ref="V11:V12" si="13">(T11-S11)*24*60</f>
        <v>122</v>
      </c>
      <c r="W11" s="23">
        <f>T11</f>
        <v>0.25138888888888888</v>
      </c>
      <c r="X11" s="23">
        <f>S12</f>
        <v>0.27083333333333331</v>
      </c>
      <c r="Y11" s="23"/>
      <c r="Z11" s="23"/>
      <c r="AA11" s="491"/>
      <c r="AB11" s="491"/>
      <c r="AC11" s="154">
        <v>2</v>
      </c>
      <c r="AD11" s="25"/>
      <c r="AE11" s="19">
        <f t="shared" si="8"/>
        <v>-62.950819672131274</v>
      </c>
      <c r="AF11" s="158">
        <f t="shared" si="9"/>
        <v>0.95803278688524585</v>
      </c>
      <c r="AG11" s="489">
        <f>AF13</f>
        <v>0.95592247079068915</v>
      </c>
    </row>
    <row r="12" spans="1:33" ht="15.75" customHeight="1">
      <c r="A12" s="527" t="s">
        <v>50</v>
      </c>
      <c r="B12" s="42" t="s">
        <v>100</v>
      </c>
      <c r="C12" s="523" t="s">
        <v>125</v>
      </c>
      <c r="D12" s="524"/>
      <c r="E12" s="42">
        <v>39.799999999999997</v>
      </c>
      <c r="F12" s="170">
        <v>4316</v>
      </c>
      <c r="G12" s="159">
        <f t="shared" si="11"/>
        <v>171776.8</v>
      </c>
      <c r="H12" s="125" t="s">
        <v>79</v>
      </c>
      <c r="I12" s="168">
        <v>17</v>
      </c>
      <c r="J12" s="37">
        <v>1500</v>
      </c>
      <c r="K12" s="17">
        <f t="shared" si="1"/>
        <v>88.235294117647058</v>
      </c>
      <c r="L12" s="168">
        <v>17</v>
      </c>
      <c r="M12" s="18">
        <f t="shared" si="12"/>
        <v>1430.7182320441989</v>
      </c>
      <c r="N12" s="17">
        <f t="shared" si="3"/>
        <v>84.159896002599936</v>
      </c>
      <c r="O12" s="19">
        <f t="shared" si="4"/>
        <v>0</v>
      </c>
      <c r="P12" s="20">
        <f t="shared" si="5"/>
        <v>-4.0753981150471219</v>
      </c>
      <c r="Q12" s="158">
        <f t="shared" si="6"/>
        <v>0.95381215469613256</v>
      </c>
      <c r="R12" s="489"/>
      <c r="S12" s="40">
        <v>0.27083333333333331</v>
      </c>
      <c r="T12" s="40">
        <v>0.39652777777777776</v>
      </c>
      <c r="U12" s="159">
        <f t="shared" ref="U12" si="14">IF(S12=TIME(17,0,0),"",(S12-T11)*24*60)</f>
        <v>27.999999999999979</v>
      </c>
      <c r="V12" s="169">
        <f t="shared" si="13"/>
        <v>181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-69.281767955801115</v>
      </c>
      <c r="AF12" s="158">
        <f t="shared" si="9"/>
        <v>0.95381215469613256</v>
      </c>
      <c r="AG12" s="489"/>
    </row>
    <row r="13" spans="1:33" ht="16.5" customHeight="1">
      <c r="A13" s="527" t="s">
        <v>50</v>
      </c>
      <c r="B13" s="42" t="s">
        <v>785</v>
      </c>
      <c r="C13" s="494"/>
      <c r="D13" s="494"/>
      <c r="E13" s="161"/>
      <c r="F13" s="37"/>
      <c r="G13" s="18"/>
      <c r="H13" s="170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1433.8837061860338</v>
      </c>
      <c r="N13" s="17">
        <f t="shared" si="3"/>
        <v>79.660205899224096</v>
      </c>
      <c r="O13" s="19">
        <f t="shared" si="4"/>
        <v>0</v>
      </c>
      <c r="P13" s="20">
        <f t="shared" si="5"/>
        <v>-3.673127434109233</v>
      </c>
      <c r="Q13" s="158">
        <f t="shared" si="6"/>
        <v>0.95592247079068915</v>
      </c>
      <c r="R13" s="489"/>
      <c r="S13" s="40"/>
      <c r="T13" s="40"/>
      <c r="U13" s="17"/>
      <c r="V13" s="169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-66.116293813966195</v>
      </c>
      <c r="AF13" s="158">
        <f t="shared" si="9"/>
        <v>0.95592247079068915</v>
      </c>
      <c r="AG13" s="489"/>
    </row>
    <row r="14" spans="1:33" ht="16.5" customHeight="1">
      <c r="A14" s="525" t="s">
        <v>52</v>
      </c>
      <c r="B14" s="170" t="s">
        <v>126</v>
      </c>
      <c r="C14" s="515" t="s">
        <v>127</v>
      </c>
      <c r="D14" s="515"/>
      <c r="E14" s="42">
        <v>41</v>
      </c>
      <c r="F14" s="170">
        <v>2923</v>
      </c>
      <c r="G14" s="159">
        <f t="shared" ref="G14:G22" si="15">E14*F14</f>
        <v>119843</v>
      </c>
      <c r="H14" s="125" t="s">
        <v>79</v>
      </c>
      <c r="I14" s="168">
        <v>26</v>
      </c>
      <c r="J14" s="37">
        <v>1500</v>
      </c>
      <c r="K14" s="17">
        <f t="shared" si="1"/>
        <v>57.692307692307693</v>
      </c>
      <c r="L14" s="168">
        <v>26</v>
      </c>
      <c r="M14" s="18">
        <f t="shared" ref="M14:M22" si="16">F14/V14*60</f>
        <v>1437.5409836065573</v>
      </c>
      <c r="N14" s="17">
        <f t="shared" si="3"/>
        <v>55.290037831021436</v>
      </c>
      <c r="O14" s="19">
        <f t="shared" si="4"/>
        <v>0</v>
      </c>
      <c r="P14" s="20">
        <f t="shared" si="5"/>
        <v>-2.402269861286257</v>
      </c>
      <c r="Q14" s="158">
        <f t="shared" si="6"/>
        <v>0.9583606557377049</v>
      </c>
      <c r="R14" s="489">
        <f>Q23</f>
        <v>0.95786761500237083</v>
      </c>
      <c r="S14" s="40">
        <v>0.20833333333333334</v>
      </c>
      <c r="T14" s="40">
        <v>0.29305555555555557</v>
      </c>
      <c r="U14" s="159"/>
      <c r="V14" s="169">
        <f t="shared" ref="V14:V22" si="17">(T14-S14)*24*60</f>
        <v>122</v>
      </c>
      <c r="W14" s="28"/>
      <c r="X14" s="28"/>
      <c r="Y14" s="28"/>
      <c r="Z14" s="28"/>
      <c r="AA14" s="491"/>
      <c r="AB14" s="491"/>
      <c r="AC14" s="154">
        <v>4</v>
      </c>
      <c r="AD14" s="25"/>
      <c r="AE14" s="19">
        <f t="shared" si="8"/>
        <v>-62.459016393442653</v>
      </c>
      <c r="AF14" s="158">
        <f t="shared" si="9"/>
        <v>0.9583606557377049</v>
      </c>
      <c r="AG14" s="489">
        <f>AF23</f>
        <v>0.95786761500237083</v>
      </c>
    </row>
    <row r="15" spans="1:33" ht="16.5" customHeight="1">
      <c r="A15" s="526" t="s">
        <v>52</v>
      </c>
      <c r="B15" s="170" t="s">
        <v>128</v>
      </c>
      <c r="C15" s="515" t="s">
        <v>129</v>
      </c>
      <c r="D15" s="515"/>
      <c r="E15" s="42">
        <v>72.400000000000006</v>
      </c>
      <c r="F15" s="170">
        <v>1019</v>
      </c>
      <c r="G15" s="159">
        <f t="shared" si="15"/>
        <v>73775.600000000006</v>
      </c>
      <c r="H15" s="125" t="s">
        <v>79</v>
      </c>
      <c r="I15" s="168">
        <v>18</v>
      </c>
      <c r="J15" s="37">
        <v>1500</v>
      </c>
      <c r="K15" s="17">
        <f t="shared" si="1"/>
        <v>83.333333333333329</v>
      </c>
      <c r="L15" s="168">
        <v>18</v>
      </c>
      <c r="M15" s="18">
        <f t="shared" si="16"/>
        <v>1455.7142857142851</v>
      </c>
      <c r="N15" s="17">
        <f t="shared" si="3"/>
        <v>80.873015873015845</v>
      </c>
      <c r="O15" s="19">
        <f t="shared" si="4"/>
        <v>0</v>
      </c>
      <c r="P15" s="20">
        <f t="shared" si="5"/>
        <v>-2.4603174603174836</v>
      </c>
      <c r="Q15" s="158">
        <f t="shared" si="6"/>
        <v>0.97047619047619016</v>
      </c>
      <c r="R15" s="489"/>
      <c r="S15" s="40">
        <v>0.29722222222222222</v>
      </c>
      <c r="T15" s="40">
        <v>0.3263888888888889</v>
      </c>
      <c r="U15" s="159">
        <f t="shared" ref="U15:U22" si="18">IF(S15=TIME(17,0,0),"",(S15-T14)*24*60)</f>
        <v>5.9999999999999787</v>
      </c>
      <c r="V15" s="169">
        <f t="shared" si="17"/>
        <v>42.000000000000014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-44.285714285714903</v>
      </c>
      <c r="AF15" s="158">
        <f t="shared" si="9"/>
        <v>0.97047619047619005</v>
      </c>
      <c r="AG15" s="489"/>
    </row>
    <row r="16" spans="1:33" ht="16.5" customHeight="1">
      <c r="A16" s="526" t="s">
        <v>52</v>
      </c>
      <c r="B16" s="170" t="s">
        <v>130</v>
      </c>
      <c r="C16" s="515" t="s">
        <v>131</v>
      </c>
      <c r="D16" s="515"/>
      <c r="E16" s="42">
        <v>50.67</v>
      </c>
      <c r="F16" s="170">
        <v>1312</v>
      </c>
      <c r="G16" s="159">
        <f t="shared" si="15"/>
        <v>66479.040000000008</v>
      </c>
      <c r="H16" s="125" t="s">
        <v>79</v>
      </c>
      <c r="I16" s="168">
        <v>16</v>
      </c>
      <c r="J16" s="37">
        <v>1500</v>
      </c>
      <c r="K16" s="17">
        <f t="shared" si="1"/>
        <v>93.75</v>
      </c>
      <c r="L16" s="168">
        <v>16</v>
      </c>
      <c r="M16" s="18">
        <f t="shared" si="16"/>
        <v>1431.2727272727282</v>
      </c>
      <c r="N16" s="17">
        <f t="shared" si="3"/>
        <v>89.45454545454551</v>
      </c>
      <c r="O16" s="19">
        <f t="shared" si="4"/>
        <v>0</v>
      </c>
      <c r="P16" s="20">
        <f t="shared" si="5"/>
        <v>-4.2954545454544899</v>
      </c>
      <c r="Q16" s="158">
        <f t="shared" si="6"/>
        <v>0.9541818181818188</v>
      </c>
      <c r="R16" s="489"/>
      <c r="S16" s="40">
        <v>0.3298611111111111</v>
      </c>
      <c r="T16" s="40">
        <v>0.36805555555555552</v>
      </c>
      <c r="U16" s="159">
        <f t="shared" si="18"/>
        <v>4.9999999999999822</v>
      </c>
      <c r="V16" s="169">
        <f t="shared" si="17"/>
        <v>54.999999999999964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-68.727272727271838</v>
      </c>
      <c r="AF16" s="158">
        <f t="shared" si="9"/>
        <v>0.9541818181818188</v>
      </c>
      <c r="AG16" s="489"/>
    </row>
    <row r="17" spans="1:33" ht="16.5" customHeight="1">
      <c r="A17" s="526" t="s">
        <v>52</v>
      </c>
      <c r="B17" s="170" t="s">
        <v>103</v>
      </c>
      <c r="C17" s="515" t="s">
        <v>123</v>
      </c>
      <c r="D17" s="515"/>
      <c r="E17" s="42">
        <v>50.98</v>
      </c>
      <c r="F17" s="170">
        <v>700</v>
      </c>
      <c r="G17" s="159">
        <f t="shared" si="15"/>
        <v>35686</v>
      </c>
      <c r="H17" s="125">
        <v>2</v>
      </c>
      <c r="I17" s="168">
        <v>16</v>
      </c>
      <c r="J17" s="37">
        <v>2000</v>
      </c>
      <c r="K17" s="17">
        <f t="shared" si="1"/>
        <v>125</v>
      </c>
      <c r="L17" s="168">
        <v>16</v>
      </c>
      <c r="M17" s="18">
        <f t="shared" si="16"/>
        <v>1909.0909090909158</v>
      </c>
      <c r="N17" s="17">
        <f t="shared" si="3"/>
        <v>119.31818181818224</v>
      </c>
      <c r="O17" s="19">
        <f t="shared" si="4"/>
        <v>0</v>
      </c>
      <c r="P17" s="20">
        <f t="shared" si="5"/>
        <v>-5.6818181818177607</v>
      </c>
      <c r="Q17" s="158">
        <f t="shared" si="6"/>
        <v>0.95454545454545792</v>
      </c>
      <c r="R17" s="489"/>
      <c r="S17" s="40">
        <v>0.70833333333333337</v>
      </c>
      <c r="T17" s="40">
        <v>0.72361111111111109</v>
      </c>
      <c r="U17" s="159" t="str">
        <f t="shared" si="18"/>
        <v/>
      </c>
      <c r="V17" s="169">
        <f t="shared" si="17"/>
        <v>21.999999999999922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-90.909090909084171</v>
      </c>
      <c r="AF17" s="158">
        <f t="shared" si="9"/>
        <v>0.95454545454545792</v>
      </c>
      <c r="AG17" s="489"/>
    </row>
    <row r="18" spans="1:33" ht="16.5" customHeight="1">
      <c r="A18" s="526" t="s">
        <v>52</v>
      </c>
      <c r="B18" s="170" t="s">
        <v>103</v>
      </c>
      <c r="C18" s="515" t="s">
        <v>132</v>
      </c>
      <c r="D18" s="515"/>
      <c r="E18" s="42">
        <v>50.92</v>
      </c>
      <c r="F18" s="170">
        <v>900</v>
      </c>
      <c r="G18" s="159">
        <f t="shared" si="15"/>
        <v>45828</v>
      </c>
      <c r="H18" s="125">
        <v>2</v>
      </c>
      <c r="I18" s="168">
        <v>15</v>
      </c>
      <c r="J18" s="37">
        <v>2000</v>
      </c>
      <c r="K18" s="17">
        <f t="shared" si="1"/>
        <v>133.33333333333334</v>
      </c>
      <c r="L18" s="168">
        <v>15</v>
      </c>
      <c r="M18" s="18">
        <f t="shared" si="16"/>
        <v>1928.5714285714246</v>
      </c>
      <c r="N18" s="17">
        <f t="shared" si="3"/>
        <v>128.5714285714283</v>
      </c>
      <c r="O18" s="19">
        <f t="shared" si="4"/>
        <v>0</v>
      </c>
      <c r="P18" s="20">
        <f t="shared" si="5"/>
        <v>-4.7619047619050434</v>
      </c>
      <c r="Q18" s="158">
        <f t="shared" si="6"/>
        <v>0.96428571428571219</v>
      </c>
      <c r="R18" s="489"/>
      <c r="S18" s="40">
        <v>0.72847222222222219</v>
      </c>
      <c r="T18" s="40">
        <v>0.74791666666666667</v>
      </c>
      <c r="U18" s="159">
        <f t="shared" si="18"/>
        <v>6.9999999999999751</v>
      </c>
      <c r="V18" s="169">
        <f t="shared" si="17"/>
        <v>28.00000000000006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-71.428571428575424</v>
      </c>
      <c r="AF18" s="158">
        <f t="shared" si="9"/>
        <v>0.9642857142857123</v>
      </c>
      <c r="AG18" s="489"/>
    </row>
    <row r="19" spans="1:33" ht="16.5" customHeight="1">
      <c r="A19" s="526" t="s">
        <v>52</v>
      </c>
      <c r="B19" s="170" t="s">
        <v>103</v>
      </c>
      <c r="C19" s="521" t="s">
        <v>133</v>
      </c>
      <c r="D19" s="522"/>
      <c r="E19" s="42">
        <v>50.67</v>
      </c>
      <c r="F19" s="170">
        <v>1526</v>
      </c>
      <c r="G19" s="159">
        <f t="shared" si="15"/>
        <v>77322.42</v>
      </c>
      <c r="H19" s="125" t="s">
        <v>79</v>
      </c>
      <c r="I19" s="168">
        <v>15</v>
      </c>
      <c r="J19" s="37">
        <v>2000</v>
      </c>
      <c r="K19" s="17">
        <f t="shared" si="1"/>
        <v>133.33333333333334</v>
      </c>
      <c r="L19" s="168">
        <v>15</v>
      </c>
      <c r="M19" s="18">
        <f t="shared" si="16"/>
        <v>1907.5000000000005</v>
      </c>
      <c r="N19" s="17">
        <f t="shared" si="3"/>
        <v>127.1666666666667</v>
      </c>
      <c r="O19" s="19">
        <f t="shared" si="4"/>
        <v>0</v>
      </c>
      <c r="P19" s="20">
        <f t="shared" si="5"/>
        <v>-6.166666666666643</v>
      </c>
      <c r="Q19" s="158">
        <f t="shared" si="6"/>
        <v>0.95375000000000021</v>
      </c>
      <c r="R19" s="489"/>
      <c r="S19" s="40">
        <v>0.75277777777777777</v>
      </c>
      <c r="T19" s="40">
        <v>0.78611111111111109</v>
      </c>
      <c r="U19" s="159">
        <f t="shared" si="18"/>
        <v>6.9999999999999751</v>
      </c>
      <c r="V19" s="169">
        <f t="shared" si="17"/>
        <v>47.999999999999986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-92.499999999999545</v>
      </c>
      <c r="AF19" s="158">
        <f t="shared" si="9"/>
        <v>0.95375000000000021</v>
      </c>
      <c r="AG19" s="489"/>
    </row>
    <row r="20" spans="1:33" ht="16.5" customHeight="1">
      <c r="A20" s="526" t="s">
        <v>52</v>
      </c>
      <c r="B20" s="170" t="s">
        <v>103</v>
      </c>
      <c r="C20" s="166" t="s">
        <v>134</v>
      </c>
      <c r="D20" s="167"/>
      <c r="E20" s="42">
        <v>57.3</v>
      </c>
      <c r="F20" s="170">
        <v>1811</v>
      </c>
      <c r="G20" s="159">
        <f t="shared" si="15"/>
        <v>103770.29999999999</v>
      </c>
      <c r="H20" s="125" t="s">
        <v>79</v>
      </c>
      <c r="I20" s="168">
        <v>13</v>
      </c>
      <c r="J20" s="37">
        <v>2000</v>
      </c>
      <c r="K20" s="17">
        <f t="shared" si="1"/>
        <v>153.84615384615384</v>
      </c>
      <c r="L20" s="168">
        <v>13</v>
      </c>
      <c r="M20" s="18">
        <f t="shared" si="16"/>
        <v>1906.3157894736858</v>
      </c>
      <c r="N20" s="17">
        <f t="shared" si="3"/>
        <v>146.63967611336045</v>
      </c>
      <c r="O20" s="19">
        <f t="shared" si="4"/>
        <v>0</v>
      </c>
      <c r="P20" s="20">
        <f t="shared" si="5"/>
        <v>-7.2064777327933882</v>
      </c>
      <c r="Q20" s="158">
        <f t="shared" si="6"/>
        <v>0.95315789473684298</v>
      </c>
      <c r="R20" s="489"/>
      <c r="S20" s="40">
        <v>0.79097222222222219</v>
      </c>
      <c r="T20" s="40">
        <v>0.83055555555555549</v>
      </c>
      <c r="U20" s="159">
        <f t="shared" si="18"/>
        <v>6.9999999999999751</v>
      </c>
      <c r="V20" s="169">
        <f t="shared" si="17"/>
        <v>56.999999999999957</v>
      </c>
      <c r="W20" s="23">
        <f>T20</f>
        <v>0.83055555555555549</v>
      </c>
      <c r="X20" s="23">
        <f>S21</f>
        <v>0.87152777777777768</v>
      </c>
      <c r="Y20" s="26"/>
      <c r="Z20" s="26"/>
      <c r="AA20" s="503"/>
      <c r="AB20" s="504"/>
      <c r="AC20" s="154"/>
      <c r="AD20" s="25"/>
      <c r="AE20" s="19">
        <f t="shared" si="8"/>
        <v>-93.684210526314246</v>
      </c>
      <c r="AF20" s="158">
        <f t="shared" si="9"/>
        <v>0.95315789473684287</v>
      </c>
      <c r="AG20" s="489"/>
    </row>
    <row r="21" spans="1:33" ht="16.5" customHeight="1">
      <c r="A21" s="526" t="s">
        <v>52</v>
      </c>
      <c r="B21" s="170" t="s">
        <v>103</v>
      </c>
      <c r="C21" s="166" t="s">
        <v>123</v>
      </c>
      <c r="D21" s="167"/>
      <c r="E21" s="42">
        <v>50.98</v>
      </c>
      <c r="F21" s="170">
        <v>1349</v>
      </c>
      <c r="G21" s="159">
        <f t="shared" si="15"/>
        <v>68772.01999999999</v>
      </c>
      <c r="H21" s="125" t="s">
        <v>79</v>
      </c>
      <c r="I21" s="168">
        <v>16</v>
      </c>
      <c r="J21" s="37">
        <v>2000</v>
      </c>
      <c r="K21" s="17">
        <f t="shared" si="1"/>
        <v>125</v>
      </c>
      <c r="L21" s="168">
        <v>16</v>
      </c>
      <c r="M21" s="18">
        <f t="shared" si="16"/>
        <v>1927.1428571428564</v>
      </c>
      <c r="N21" s="17">
        <f t="shared" si="3"/>
        <v>120.44642857142853</v>
      </c>
      <c r="O21" s="19">
        <f t="shared" si="4"/>
        <v>0</v>
      </c>
      <c r="P21" s="20">
        <f t="shared" si="5"/>
        <v>-4.5535714285714732</v>
      </c>
      <c r="Q21" s="158">
        <f t="shared" si="6"/>
        <v>0.96357142857142819</v>
      </c>
      <c r="R21" s="489"/>
      <c r="S21" s="40">
        <v>0.87152777777777768</v>
      </c>
      <c r="T21" s="40">
        <v>0.90069444444444435</v>
      </c>
      <c r="U21" s="159">
        <f t="shared" si="18"/>
        <v>58.99999999999995</v>
      </c>
      <c r="V21" s="169">
        <f t="shared" si="17"/>
        <v>42.000000000000014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-72.857142857143572</v>
      </c>
      <c r="AF21" s="158">
        <f t="shared" si="9"/>
        <v>0.96357142857142819</v>
      </c>
      <c r="AG21" s="489"/>
    </row>
    <row r="22" spans="1:33" ht="16.5" customHeight="1">
      <c r="A22" s="526" t="s">
        <v>52</v>
      </c>
      <c r="B22" s="170" t="s">
        <v>103</v>
      </c>
      <c r="C22" s="521" t="s">
        <v>132</v>
      </c>
      <c r="D22" s="522"/>
      <c r="E22" s="42">
        <v>50.92</v>
      </c>
      <c r="F22" s="170">
        <v>1141</v>
      </c>
      <c r="G22" s="159">
        <f t="shared" si="15"/>
        <v>58099.72</v>
      </c>
      <c r="H22" s="125" t="s">
        <v>79</v>
      </c>
      <c r="I22" s="168">
        <v>15</v>
      </c>
      <c r="J22" s="37">
        <v>2000</v>
      </c>
      <c r="K22" s="17">
        <f t="shared" si="1"/>
        <v>133.33333333333334</v>
      </c>
      <c r="L22" s="168">
        <v>15</v>
      </c>
      <c r="M22" s="18">
        <f t="shared" si="16"/>
        <v>1901.6666666666652</v>
      </c>
      <c r="N22" s="17">
        <f t="shared" si="3"/>
        <v>126.77777777777767</v>
      </c>
      <c r="O22" s="19">
        <f t="shared" si="4"/>
        <v>0</v>
      </c>
      <c r="P22" s="20">
        <f t="shared" si="5"/>
        <v>-6.5555555555556708</v>
      </c>
      <c r="Q22" s="158">
        <f t="shared" si="6"/>
        <v>0.95083333333333242</v>
      </c>
      <c r="R22" s="489"/>
      <c r="S22" s="40">
        <v>0.90416666666666656</v>
      </c>
      <c r="T22" s="40">
        <v>0.92916666666666659</v>
      </c>
      <c r="U22" s="159">
        <f t="shared" si="18"/>
        <v>4.9999999999999822</v>
      </c>
      <c r="V22" s="169">
        <f t="shared" si="17"/>
        <v>36.000000000000028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-98.333333333334849</v>
      </c>
      <c r="AF22" s="158">
        <f t="shared" si="9"/>
        <v>0.95083333333333253</v>
      </c>
      <c r="AG22" s="489"/>
    </row>
    <row r="23" spans="1:33" ht="16.5" customHeight="1">
      <c r="A23" s="526" t="s">
        <v>52</v>
      </c>
      <c r="B23" s="42" t="s">
        <v>71</v>
      </c>
      <c r="C23" s="494"/>
      <c r="D23" s="494"/>
      <c r="E23" s="161"/>
      <c r="F23" s="44"/>
      <c r="G23" s="17"/>
      <c r="H23" s="170"/>
      <c r="I23" s="30">
        <v>16.666666666666668</v>
      </c>
      <c r="J23" s="37">
        <v>1833.3333333333333</v>
      </c>
      <c r="K23" s="17">
        <f t="shared" si="1"/>
        <v>109.99999999999999</v>
      </c>
      <c r="L23" s="30">
        <v>16.666666666666668</v>
      </c>
      <c r="M23" s="18">
        <f>AVERAGE(M14:M22)</f>
        <v>1756.0906275043465</v>
      </c>
      <c r="N23" s="17">
        <f t="shared" si="3"/>
        <v>105.36543765026077</v>
      </c>
      <c r="O23" s="19">
        <f t="shared" si="4"/>
        <v>0</v>
      </c>
      <c r="P23" s="20">
        <f t="shared" si="5"/>
        <v>-4.6345623497392126</v>
      </c>
      <c r="Q23" s="158">
        <f t="shared" si="6"/>
        <v>0.95786761500237083</v>
      </c>
      <c r="R23" s="489"/>
      <c r="S23" s="40"/>
      <c r="T23" s="40"/>
      <c r="U23" s="159"/>
      <c r="V23" s="169"/>
      <c r="W23" s="17"/>
      <c r="X23" s="17"/>
      <c r="Y23" s="31">
        <f>SUM(Y14:Y22)</f>
        <v>0</v>
      </c>
      <c r="Z23" s="31">
        <f>SUM(Z14:Z22)</f>
        <v>0</v>
      </c>
      <c r="AA23" s="495"/>
      <c r="AB23" s="495"/>
      <c r="AC23" s="31">
        <v>4</v>
      </c>
      <c r="AD23" s="31">
        <f>SUM(AD14:AD22)</f>
        <v>0</v>
      </c>
      <c r="AE23" s="19">
        <f t="shared" si="8"/>
        <v>-77.2427058289868</v>
      </c>
      <c r="AF23" s="158">
        <f t="shared" si="9"/>
        <v>0.95786761500237083</v>
      </c>
      <c r="AG23" s="489"/>
    </row>
    <row r="24" spans="1:33" ht="15.75" customHeight="1">
      <c r="A24" s="519" t="s">
        <v>56</v>
      </c>
      <c r="B24" s="42" t="s">
        <v>126</v>
      </c>
      <c r="C24" s="515" t="s">
        <v>135</v>
      </c>
      <c r="D24" s="515"/>
      <c r="E24" s="42">
        <v>43.14</v>
      </c>
      <c r="F24" s="170">
        <v>1085</v>
      </c>
      <c r="G24" s="159">
        <f t="shared" ref="G24:G34" si="19">E24*F24</f>
        <v>46806.9</v>
      </c>
      <c r="H24" s="125" t="s">
        <v>79</v>
      </c>
      <c r="I24" s="168">
        <v>17</v>
      </c>
      <c r="J24" s="37">
        <v>2000</v>
      </c>
      <c r="K24" s="17">
        <f t="shared" si="1"/>
        <v>117.64705882352941</v>
      </c>
      <c r="L24" s="168">
        <v>17</v>
      </c>
      <c r="M24" s="18">
        <f t="shared" ref="M24:M34" si="20">F24/V24*60</f>
        <v>1914.705882352941</v>
      </c>
      <c r="N24" s="17">
        <f t="shared" si="3"/>
        <v>112.62975778546712</v>
      </c>
      <c r="O24" s="19">
        <f t="shared" si="4"/>
        <v>0</v>
      </c>
      <c r="P24" s="20">
        <f t="shared" si="5"/>
        <v>-5.0173010380622856</v>
      </c>
      <c r="Q24" s="158">
        <f t="shared" si="6"/>
        <v>0.95735294117647052</v>
      </c>
      <c r="R24" s="489">
        <f>Q35</f>
        <v>0.96135598643296949</v>
      </c>
      <c r="S24" s="40">
        <v>0.20833333333333334</v>
      </c>
      <c r="T24" s="40">
        <v>0.23194444444444445</v>
      </c>
      <c r="U24" s="159"/>
      <c r="V24" s="169">
        <f t="shared" ref="V24:V34" si="21">(T24-S24)*24*60</f>
        <v>34</v>
      </c>
      <c r="W24" s="28"/>
      <c r="X24" s="28"/>
      <c r="Y24" s="28"/>
      <c r="Z24" s="28"/>
      <c r="AA24" s="491"/>
      <c r="AB24" s="491"/>
      <c r="AC24" s="154">
        <v>4</v>
      </c>
      <c r="AD24" s="25"/>
      <c r="AE24" s="19">
        <f t="shared" si="8"/>
        <v>-85.294117647059011</v>
      </c>
      <c r="AF24" s="158">
        <f t="shared" si="9"/>
        <v>0.95735294117647052</v>
      </c>
      <c r="AG24" s="489">
        <f>AF35</f>
        <v>0.96135598643296949</v>
      </c>
    </row>
    <row r="25" spans="1:33" ht="15.75" customHeight="1">
      <c r="A25" s="520" t="s">
        <v>56</v>
      </c>
      <c r="B25" s="42" t="s">
        <v>130</v>
      </c>
      <c r="C25" s="515" t="s">
        <v>136</v>
      </c>
      <c r="D25" s="515"/>
      <c r="E25" s="42">
        <v>49.9</v>
      </c>
      <c r="F25" s="170">
        <v>973</v>
      </c>
      <c r="G25" s="159">
        <f t="shared" si="19"/>
        <v>48552.7</v>
      </c>
      <c r="H25" s="125" t="s">
        <v>79</v>
      </c>
      <c r="I25" s="168">
        <v>17</v>
      </c>
      <c r="J25" s="37">
        <v>2000</v>
      </c>
      <c r="K25" s="17">
        <f t="shared" si="1"/>
        <v>117.64705882352941</v>
      </c>
      <c r="L25" s="168">
        <v>17</v>
      </c>
      <c r="M25" s="18">
        <f t="shared" si="20"/>
        <v>1945.9999999999989</v>
      </c>
      <c r="N25" s="17">
        <f t="shared" si="3"/>
        <v>114.47058823529404</v>
      </c>
      <c r="O25" s="19">
        <f t="shared" si="4"/>
        <v>0</v>
      </c>
      <c r="P25" s="20">
        <f t="shared" si="5"/>
        <v>-3.176470588235361</v>
      </c>
      <c r="Q25" s="158">
        <f t="shared" si="6"/>
        <v>0.97299999999999942</v>
      </c>
      <c r="R25" s="489"/>
      <c r="S25" s="40">
        <v>0.23611111111111113</v>
      </c>
      <c r="T25" s="40">
        <v>0.25694444444444448</v>
      </c>
      <c r="U25" s="159">
        <f t="shared" ref="U25:U34" si="22">IF(S25=TIME(17,0,0),"",(S25-T24)*24*60)</f>
        <v>6.0000000000000187</v>
      </c>
      <c r="V25" s="169">
        <f t="shared" si="21"/>
        <v>30.000000000000014</v>
      </c>
      <c r="W25" s="23"/>
      <c r="X25" s="159"/>
      <c r="Y25" s="159"/>
      <c r="Z25" s="159"/>
      <c r="AA25" s="491"/>
      <c r="AB25" s="491"/>
      <c r="AC25" s="154"/>
      <c r="AD25" s="25"/>
      <c r="AE25" s="19">
        <f t="shared" si="8"/>
        <v>-54.000000000001137</v>
      </c>
      <c r="AF25" s="158">
        <f t="shared" si="9"/>
        <v>0.97299999999999942</v>
      </c>
      <c r="AG25" s="489"/>
    </row>
    <row r="26" spans="1:33" ht="15.75" customHeight="1">
      <c r="A26" s="520" t="s">
        <v>56</v>
      </c>
      <c r="B26" s="42" t="s">
        <v>103</v>
      </c>
      <c r="C26" s="515" t="s">
        <v>137</v>
      </c>
      <c r="D26" s="515"/>
      <c r="E26" s="42">
        <v>57.73</v>
      </c>
      <c r="F26" s="170">
        <v>2597</v>
      </c>
      <c r="G26" s="159">
        <f t="shared" si="19"/>
        <v>149924.81</v>
      </c>
      <c r="H26" s="125" t="s">
        <v>79</v>
      </c>
      <c r="I26" s="168">
        <v>14</v>
      </c>
      <c r="J26" s="37">
        <v>2000</v>
      </c>
      <c r="K26" s="17">
        <f t="shared" si="1"/>
        <v>142.85714285714286</v>
      </c>
      <c r="L26" s="168">
        <v>14</v>
      </c>
      <c r="M26" s="18">
        <f t="shared" si="20"/>
        <v>1923.7037037037032</v>
      </c>
      <c r="N26" s="17">
        <f t="shared" si="3"/>
        <v>137.40740740740736</v>
      </c>
      <c r="O26" s="19">
        <f t="shared" si="4"/>
        <v>0</v>
      </c>
      <c r="P26" s="20">
        <f t="shared" si="5"/>
        <v>-5.4497354497354991</v>
      </c>
      <c r="Q26" s="158">
        <f t="shared" si="6"/>
        <v>0.96185185185185151</v>
      </c>
      <c r="R26" s="489"/>
      <c r="S26" s="40">
        <v>0.26250000000000001</v>
      </c>
      <c r="T26" s="40">
        <v>0.31875000000000003</v>
      </c>
      <c r="U26" s="159">
        <f t="shared" si="22"/>
        <v>7.9999999999999716</v>
      </c>
      <c r="V26" s="169">
        <f t="shared" si="21"/>
        <v>81.000000000000028</v>
      </c>
      <c r="W26" s="23"/>
      <c r="X26" s="159"/>
      <c r="Y26" s="159"/>
      <c r="Z26" s="159"/>
      <c r="AA26" s="491"/>
      <c r="AB26" s="491"/>
      <c r="AC26" s="154"/>
      <c r="AD26" s="25"/>
      <c r="AE26" s="19">
        <f t="shared" si="8"/>
        <v>-76.296296296296759</v>
      </c>
      <c r="AF26" s="158">
        <f t="shared" si="9"/>
        <v>0.96185185185185162</v>
      </c>
      <c r="AG26" s="489"/>
    </row>
    <row r="27" spans="1:33" ht="15.75" customHeight="1">
      <c r="A27" s="520" t="s">
        <v>56</v>
      </c>
      <c r="B27" s="42" t="s">
        <v>103</v>
      </c>
      <c r="C27" s="515" t="s">
        <v>138</v>
      </c>
      <c r="D27" s="515"/>
      <c r="E27" s="42">
        <v>53.68</v>
      </c>
      <c r="F27" s="170">
        <v>1782</v>
      </c>
      <c r="G27" s="159">
        <f t="shared" si="19"/>
        <v>95657.76</v>
      </c>
      <c r="H27" s="125" t="s">
        <v>79</v>
      </c>
      <c r="I27" s="168">
        <v>16</v>
      </c>
      <c r="J27" s="37">
        <v>2000</v>
      </c>
      <c r="K27" s="17">
        <f t="shared" si="1"/>
        <v>125</v>
      </c>
      <c r="L27" s="168">
        <v>16</v>
      </c>
      <c r="M27" s="18">
        <f t="shared" si="20"/>
        <v>1909.2857142857129</v>
      </c>
      <c r="N27" s="17">
        <f t="shared" si="3"/>
        <v>119.33035714285705</v>
      </c>
      <c r="O27" s="19">
        <f t="shared" si="4"/>
        <v>0</v>
      </c>
      <c r="P27" s="20">
        <f t="shared" si="5"/>
        <v>-5.6696428571429465</v>
      </c>
      <c r="Q27" s="158">
        <f t="shared" si="6"/>
        <v>0.95464285714285646</v>
      </c>
      <c r="R27" s="489"/>
      <c r="S27" s="40">
        <v>0.32361111111111113</v>
      </c>
      <c r="T27" s="40">
        <v>0.36250000000000004</v>
      </c>
      <c r="U27" s="159">
        <f t="shared" si="22"/>
        <v>6.9999999999999751</v>
      </c>
      <c r="V27" s="169">
        <f t="shared" si="21"/>
        <v>56.000000000000043</v>
      </c>
      <c r="W27" s="23"/>
      <c r="X27" s="159"/>
      <c r="Y27" s="159"/>
      <c r="Z27" s="159"/>
      <c r="AA27" s="491"/>
      <c r="AB27" s="491"/>
      <c r="AC27" s="154"/>
      <c r="AD27" s="25"/>
      <c r="AE27" s="19">
        <f t="shared" si="8"/>
        <v>-90.714285714287143</v>
      </c>
      <c r="AF27" s="158">
        <f t="shared" si="9"/>
        <v>0.95464285714285646</v>
      </c>
      <c r="AG27" s="489"/>
    </row>
    <row r="28" spans="1:33" ht="15.75" customHeight="1">
      <c r="A28" s="520" t="s">
        <v>786</v>
      </c>
      <c r="B28" s="42" t="s">
        <v>103</v>
      </c>
      <c r="C28" s="515" t="s">
        <v>139</v>
      </c>
      <c r="D28" s="515"/>
      <c r="E28" s="42">
        <v>49.91</v>
      </c>
      <c r="F28" s="170">
        <v>1032</v>
      </c>
      <c r="G28" s="159">
        <f t="shared" si="19"/>
        <v>51507.119999999995</v>
      </c>
      <c r="H28" s="125" t="s">
        <v>79</v>
      </c>
      <c r="I28" s="168">
        <v>17</v>
      </c>
      <c r="J28" s="37">
        <v>2000</v>
      </c>
      <c r="K28" s="17">
        <f t="shared" si="1"/>
        <v>117.64705882352941</v>
      </c>
      <c r="L28" s="168">
        <v>17</v>
      </c>
      <c r="M28" s="18">
        <f t="shared" si="20"/>
        <v>1935.000000000002</v>
      </c>
      <c r="N28" s="17">
        <f t="shared" si="3"/>
        <v>113.82352941176482</v>
      </c>
      <c r="O28" s="19">
        <f t="shared" si="4"/>
        <v>0</v>
      </c>
      <c r="P28" s="20">
        <f t="shared" si="5"/>
        <v>-3.8235294117645822</v>
      </c>
      <c r="Q28" s="158">
        <f t="shared" si="6"/>
        <v>0.96750000000000103</v>
      </c>
      <c r="R28" s="489"/>
      <c r="S28" s="40">
        <v>0.36805555555555558</v>
      </c>
      <c r="T28" s="40">
        <v>0.39027777777777778</v>
      </c>
      <c r="U28" s="159">
        <f t="shared" si="22"/>
        <v>7.9999999999999716</v>
      </c>
      <c r="V28" s="169">
        <f t="shared" si="21"/>
        <v>31.999999999999964</v>
      </c>
      <c r="W28" s="23"/>
      <c r="X28" s="159"/>
      <c r="Y28" s="159"/>
      <c r="Z28" s="159"/>
      <c r="AA28" s="491"/>
      <c r="AB28" s="491"/>
      <c r="AC28" s="154"/>
      <c r="AD28" s="25"/>
      <c r="AE28" s="19">
        <f t="shared" si="8"/>
        <v>-64.999999999997954</v>
      </c>
      <c r="AF28" s="158">
        <f t="shared" si="9"/>
        <v>0.96750000000000103</v>
      </c>
      <c r="AG28" s="489"/>
    </row>
    <row r="29" spans="1:33" ht="15.75" customHeight="1">
      <c r="A29" s="520" t="s">
        <v>56</v>
      </c>
      <c r="B29" s="42" t="s">
        <v>103</v>
      </c>
      <c r="C29" s="515" t="s">
        <v>140</v>
      </c>
      <c r="D29" s="515"/>
      <c r="E29" s="42">
        <v>50.49</v>
      </c>
      <c r="F29" s="170">
        <v>700</v>
      </c>
      <c r="G29" s="159">
        <f t="shared" si="19"/>
        <v>35343</v>
      </c>
      <c r="H29" s="125">
        <v>2</v>
      </c>
      <c r="I29" s="168">
        <v>15</v>
      </c>
      <c r="J29" s="37">
        <v>2000</v>
      </c>
      <c r="K29" s="17">
        <f t="shared" si="1"/>
        <v>133.33333333333334</v>
      </c>
      <c r="L29" s="168">
        <v>15</v>
      </c>
      <c r="M29" s="18">
        <f t="shared" si="20"/>
        <v>1909.0909090909158</v>
      </c>
      <c r="N29" s="17">
        <f t="shared" si="3"/>
        <v>127.27272727272772</v>
      </c>
      <c r="O29" s="19">
        <f t="shared" si="4"/>
        <v>0</v>
      </c>
      <c r="P29" s="20">
        <f t="shared" si="5"/>
        <v>-6.0606060606056218</v>
      </c>
      <c r="Q29" s="158">
        <f t="shared" si="6"/>
        <v>0.95454545454545781</v>
      </c>
      <c r="R29" s="489"/>
      <c r="S29" s="40">
        <v>0.70833333333333337</v>
      </c>
      <c r="T29" s="40">
        <v>0.72361111111111109</v>
      </c>
      <c r="U29" s="159" t="str">
        <f t="shared" si="22"/>
        <v/>
      </c>
      <c r="V29" s="169">
        <f t="shared" si="21"/>
        <v>21.999999999999922</v>
      </c>
      <c r="W29" s="23"/>
      <c r="X29" s="28"/>
      <c r="Y29" s="28"/>
      <c r="Z29" s="28"/>
      <c r="AA29" s="491"/>
      <c r="AB29" s="491"/>
      <c r="AC29" s="154"/>
      <c r="AD29" s="25"/>
      <c r="AE29" s="19">
        <f t="shared" si="8"/>
        <v>-90.909090909084171</v>
      </c>
      <c r="AF29" s="158">
        <f t="shared" si="9"/>
        <v>0.95454545454545792</v>
      </c>
      <c r="AG29" s="489"/>
    </row>
    <row r="30" spans="1:33" ht="15.75" customHeight="1">
      <c r="A30" s="520" t="s">
        <v>56</v>
      </c>
      <c r="B30" s="42" t="s">
        <v>103</v>
      </c>
      <c r="C30" s="515" t="s">
        <v>141</v>
      </c>
      <c r="D30" s="515"/>
      <c r="E30" s="42">
        <v>57.73</v>
      </c>
      <c r="F30" s="170">
        <v>1144</v>
      </c>
      <c r="G30" s="159">
        <f t="shared" si="19"/>
        <v>66043.12</v>
      </c>
      <c r="H30" s="125" t="s">
        <v>79</v>
      </c>
      <c r="I30" s="168">
        <v>16</v>
      </c>
      <c r="J30" s="37">
        <v>1500</v>
      </c>
      <c r="K30" s="17">
        <f t="shared" si="1"/>
        <v>93.75</v>
      </c>
      <c r="L30" s="168">
        <v>16</v>
      </c>
      <c r="M30" s="18">
        <f t="shared" si="20"/>
        <v>1430.0000000000005</v>
      </c>
      <c r="N30" s="17">
        <f t="shared" si="3"/>
        <v>89.375000000000028</v>
      </c>
      <c r="O30" s="19">
        <f t="shared" si="4"/>
        <v>0</v>
      </c>
      <c r="P30" s="20">
        <f t="shared" si="5"/>
        <v>-4.3749999999999716</v>
      </c>
      <c r="Q30" s="158">
        <f t="shared" si="6"/>
        <v>0.95333333333333359</v>
      </c>
      <c r="R30" s="489"/>
      <c r="S30" s="40">
        <v>0.72777777777777775</v>
      </c>
      <c r="T30" s="40">
        <v>0.76111111111111107</v>
      </c>
      <c r="U30" s="159">
        <f t="shared" si="22"/>
        <v>5.9999999999999787</v>
      </c>
      <c r="V30" s="169">
        <f t="shared" si="21"/>
        <v>47.999999999999986</v>
      </c>
      <c r="W30" s="23"/>
      <c r="X30" s="28"/>
      <c r="Y30" s="29"/>
      <c r="Z30" s="29"/>
      <c r="AA30" s="503"/>
      <c r="AB30" s="504"/>
      <c r="AC30" s="154"/>
      <c r="AD30" s="25"/>
      <c r="AE30" s="19">
        <f t="shared" si="8"/>
        <v>-69.999999999999545</v>
      </c>
      <c r="AF30" s="158">
        <f t="shared" si="9"/>
        <v>0.95333333333333359</v>
      </c>
      <c r="AG30" s="489"/>
    </row>
    <row r="31" spans="1:33" ht="15.75" customHeight="1">
      <c r="A31" s="520" t="s">
        <v>56</v>
      </c>
      <c r="B31" s="42" t="s">
        <v>103</v>
      </c>
      <c r="C31" s="521" t="s">
        <v>108</v>
      </c>
      <c r="D31" s="522"/>
      <c r="E31" s="42">
        <v>54.29</v>
      </c>
      <c r="F31" s="170">
        <v>700</v>
      </c>
      <c r="G31" s="159">
        <f t="shared" si="19"/>
        <v>38003</v>
      </c>
      <c r="H31" s="125">
        <v>2</v>
      </c>
      <c r="I31" s="168">
        <v>20</v>
      </c>
      <c r="J31" s="37">
        <v>2000</v>
      </c>
      <c r="K31" s="17">
        <f t="shared" si="1"/>
        <v>100</v>
      </c>
      <c r="L31" s="168">
        <v>20</v>
      </c>
      <c r="M31" s="18">
        <f t="shared" si="20"/>
        <v>1909.0909090909158</v>
      </c>
      <c r="N31" s="17">
        <f t="shared" si="3"/>
        <v>95.454545454545794</v>
      </c>
      <c r="O31" s="19">
        <f t="shared" si="4"/>
        <v>0</v>
      </c>
      <c r="P31" s="20">
        <f t="shared" si="5"/>
        <v>-4.5454545454542057</v>
      </c>
      <c r="Q31" s="158">
        <f t="shared" si="6"/>
        <v>0.95454545454545792</v>
      </c>
      <c r="R31" s="489"/>
      <c r="S31" s="40">
        <v>0.76597222222222217</v>
      </c>
      <c r="T31" s="40">
        <v>0.78124999999999989</v>
      </c>
      <c r="U31" s="159">
        <f t="shared" si="22"/>
        <v>6.9999999999999751</v>
      </c>
      <c r="V31" s="169">
        <f t="shared" si="21"/>
        <v>21.999999999999922</v>
      </c>
      <c r="W31" s="23"/>
      <c r="X31" s="23"/>
      <c r="Y31" s="26"/>
      <c r="Z31" s="26"/>
      <c r="AA31" s="503"/>
      <c r="AB31" s="504"/>
      <c r="AC31" s="154"/>
      <c r="AD31" s="25"/>
      <c r="AE31" s="19">
        <f t="shared" si="8"/>
        <v>-90.909090909084171</v>
      </c>
      <c r="AF31" s="158">
        <f t="shared" si="9"/>
        <v>0.95454545454545792</v>
      </c>
      <c r="AG31" s="489"/>
    </row>
    <row r="32" spans="1:33" ht="15.75" customHeight="1">
      <c r="A32" s="520" t="s">
        <v>56</v>
      </c>
      <c r="B32" s="42" t="s">
        <v>103</v>
      </c>
      <c r="C32" s="521" t="s">
        <v>142</v>
      </c>
      <c r="D32" s="522"/>
      <c r="E32" s="42">
        <v>53.68</v>
      </c>
      <c r="F32" s="170">
        <v>1783</v>
      </c>
      <c r="G32" s="159">
        <f t="shared" si="19"/>
        <v>95711.44</v>
      </c>
      <c r="H32" s="125" t="s">
        <v>79</v>
      </c>
      <c r="I32" s="168">
        <v>16</v>
      </c>
      <c r="J32" s="37">
        <v>1500</v>
      </c>
      <c r="K32" s="17">
        <f t="shared" si="1"/>
        <v>93.75</v>
      </c>
      <c r="L32" s="168">
        <v>16</v>
      </c>
      <c r="M32" s="18">
        <f t="shared" si="20"/>
        <v>1445.6756756756745</v>
      </c>
      <c r="N32" s="17">
        <f t="shared" si="3"/>
        <v>90.354729729729655</v>
      </c>
      <c r="O32" s="19">
        <f t="shared" si="4"/>
        <v>0</v>
      </c>
      <c r="P32" s="20">
        <f t="shared" si="5"/>
        <v>-3.3952702702703448</v>
      </c>
      <c r="Q32" s="158">
        <f t="shared" si="6"/>
        <v>0.96378378378378304</v>
      </c>
      <c r="R32" s="489"/>
      <c r="S32" s="40">
        <v>0.78680555555555542</v>
      </c>
      <c r="T32" s="40">
        <v>0.83819444444444435</v>
      </c>
      <c r="U32" s="159">
        <f t="shared" si="22"/>
        <v>7.9999999999999716</v>
      </c>
      <c r="V32" s="169">
        <f t="shared" si="21"/>
        <v>74.000000000000057</v>
      </c>
      <c r="W32" s="23">
        <f>T32</f>
        <v>0.83819444444444435</v>
      </c>
      <c r="X32" s="23">
        <f>S33</f>
        <v>0.87777777777777766</v>
      </c>
      <c r="Y32" s="26"/>
      <c r="Z32" s="26"/>
      <c r="AA32" s="503"/>
      <c r="AB32" s="504"/>
      <c r="AC32" s="154"/>
      <c r="AD32" s="25"/>
      <c r="AE32" s="19">
        <f t="shared" si="8"/>
        <v>-54.324324324325516</v>
      </c>
      <c r="AF32" s="158">
        <f t="shared" si="9"/>
        <v>0.96378378378378304</v>
      </c>
      <c r="AG32" s="489"/>
    </row>
    <row r="33" spans="1:33" ht="15.75" customHeight="1">
      <c r="A33" s="520" t="s">
        <v>786</v>
      </c>
      <c r="B33" s="42" t="s">
        <v>103</v>
      </c>
      <c r="C33" s="521" t="s">
        <v>140</v>
      </c>
      <c r="D33" s="522"/>
      <c r="E33" s="42">
        <v>50.49</v>
      </c>
      <c r="F33" s="170">
        <v>1098</v>
      </c>
      <c r="G33" s="159">
        <f t="shared" si="19"/>
        <v>55438.020000000004</v>
      </c>
      <c r="H33" s="125" t="s">
        <v>79</v>
      </c>
      <c r="I33" s="168">
        <v>15</v>
      </c>
      <c r="J33" s="37">
        <v>2000</v>
      </c>
      <c r="K33" s="17">
        <f t="shared" si="1"/>
        <v>133.33333333333334</v>
      </c>
      <c r="L33" s="168">
        <v>15</v>
      </c>
      <c r="M33" s="18">
        <f t="shared" si="20"/>
        <v>1937.647058823527</v>
      </c>
      <c r="N33" s="17">
        <f t="shared" si="3"/>
        <v>129.17647058823513</v>
      </c>
      <c r="O33" s="19">
        <f t="shared" si="4"/>
        <v>0</v>
      </c>
      <c r="P33" s="20">
        <f t="shared" si="5"/>
        <v>-4.1568627450982092</v>
      </c>
      <c r="Q33" s="158">
        <f t="shared" si="6"/>
        <v>0.96882352941176342</v>
      </c>
      <c r="R33" s="489"/>
      <c r="S33" s="40">
        <v>0.87777777777777766</v>
      </c>
      <c r="T33" s="40">
        <v>0.9013888888888888</v>
      </c>
      <c r="U33" s="159">
        <f t="shared" si="22"/>
        <v>56.999999999999957</v>
      </c>
      <c r="V33" s="169">
        <f t="shared" si="21"/>
        <v>34.000000000000043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-62.352941176472996</v>
      </c>
      <c r="AF33" s="158">
        <f t="shared" si="9"/>
        <v>0.96882352941176353</v>
      </c>
      <c r="AG33" s="489"/>
    </row>
    <row r="34" spans="1:33" ht="15.75" customHeight="1">
      <c r="A34" s="520" t="s">
        <v>56</v>
      </c>
      <c r="B34" s="42" t="s">
        <v>103</v>
      </c>
      <c r="C34" s="521" t="s">
        <v>108</v>
      </c>
      <c r="D34" s="522"/>
      <c r="E34" s="42">
        <v>54.29</v>
      </c>
      <c r="F34" s="170">
        <v>1864</v>
      </c>
      <c r="G34" s="159">
        <f t="shared" si="19"/>
        <v>101196.56</v>
      </c>
      <c r="H34" s="125" t="s">
        <v>79</v>
      </c>
      <c r="I34" s="168">
        <v>20</v>
      </c>
      <c r="J34" s="37">
        <v>2000</v>
      </c>
      <c r="K34" s="17">
        <f t="shared" si="1"/>
        <v>100</v>
      </c>
      <c r="L34" s="168">
        <v>20</v>
      </c>
      <c r="M34" s="18">
        <f t="shared" si="20"/>
        <v>1928.2758620689669</v>
      </c>
      <c r="N34" s="17">
        <f t="shared" si="3"/>
        <v>96.413793103448342</v>
      </c>
      <c r="O34" s="19">
        <f t="shared" si="4"/>
        <v>0</v>
      </c>
      <c r="P34" s="20">
        <f t="shared" si="5"/>
        <v>-3.5862068965516585</v>
      </c>
      <c r="Q34" s="158">
        <f t="shared" si="6"/>
        <v>0.96413793103448342</v>
      </c>
      <c r="R34" s="489"/>
      <c r="S34" s="40">
        <v>0.90486111111111101</v>
      </c>
      <c r="T34" s="40">
        <v>0.94513888888888875</v>
      </c>
      <c r="U34" s="159">
        <f t="shared" si="22"/>
        <v>4.9999999999999822</v>
      </c>
      <c r="V34" s="169">
        <f t="shared" si="21"/>
        <v>57.999999999999957</v>
      </c>
      <c r="W34" s="23"/>
      <c r="X34" s="23"/>
      <c r="Y34" s="26"/>
      <c r="Z34" s="26"/>
      <c r="AA34" s="503"/>
      <c r="AB34" s="504"/>
      <c r="AC34" s="154"/>
      <c r="AD34" s="25"/>
      <c r="AE34" s="19">
        <f t="shared" si="8"/>
        <v>-71.724137931033056</v>
      </c>
      <c r="AF34" s="158">
        <f t="shared" si="9"/>
        <v>0.96413793103448342</v>
      </c>
      <c r="AG34" s="489"/>
    </row>
    <row r="35" spans="1:33" ht="15.75" customHeight="1">
      <c r="A35" s="520" t="s">
        <v>56</v>
      </c>
      <c r="B35" s="42" t="s">
        <v>785</v>
      </c>
      <c r="C35" s="494"/>
      <c r="D35" s="494"/>
      <c r="E35" s="161"/>
      <c r="F35" s="170"/>
      <c r="G35" s="159"/>
      <c r="H35" s="170"/>
      <c r="I35" s="30">
        <v>16.636363636363637</v>
      </c>
      <c r="J35" s="37">
        <v>1909.090909090909</v>
      </c>
      <c r="K35" s="17">
        <f t="shared" si="1"/>
        <v>114.75409836065573</v>
      </c>
      <c r="L35" s="30">
        <v>16.636363636363637</v>
      </c>
      <c r="M35" s="18">
        <f>AVERAGE(M24:M34)</f>
        <v>1835.3159740993053</v>
      </c>
      <c r="N35" s="17">
        <f t="shared" si="3"/>
        <v>110.3195394267342</v>
      </c>
      <c r="O35" s="19">
        <f t="shared" si="4"/>
        <v>0</v>
      </c>
      <c r="P35" s="20">
        <f t="shared" si="5"/>
        <v>-4.4345589339215365</v>
      </c>
      <c r="Q35" s="158">
        <f t="shared" si="6"/>
        <v>0.96135598643296949</v>
      </c>
      <c r="R35" s="489"/>
      <c r="S35" s="40"/>
      <c r="T35" s="40"/>
      <c r="U35" s="17"/>
      <c r="V35" s="169"/>
      <c r="W35" s="17"/>
      <c r="X35" s="17"/>
      <c r="Y35" s="31">
        <f>SUM(Y24:Y34)</f>
        <v>0</v>
      </c>
      <c r="Z35" s="31">
        <f>SUM(Z24:Z34)</f>
        <v>0</v>
      </c>
      <c r="AA35" s="495"/>
      <c r="AB35" s="495"/>
      <c r="AC35" s="31">
        <v>4</v>
      </c>
      <c r="AD35" s="31">
        <f>SUM(AD24:AD34)</f>
        <v>0</v>
      </c>
      <c r="AE35" s="19">
        <f t="shared" si="8"/>
        <v>-73.774934991603686</v>
      </c>
      <c r="AF35" s="158">
        <f t="shared" si="9"/>
        <v>0.96135598643296949</v>
      </c>
      <c r="AG35" s="489"/>
    </row>
    <row r="36" spans="1:33" ht="15.75" customHeight="1">
      <c r="A36" s="518" t="s">
        <v>59</v>
      </c>
      <c r="B36" s="42" t="s">
        <v>80</v>
      </c>
      <c r="C36" s="515" t="s">
        <v>81</v>
      </c>
      <c r="D36" s="515"/>
      <c r="E36" s="42">
        <v>31.29</v>
      </c>
      <c r="F36" s="170">
        <v>4300</v>
      </c>
      <c r="G36" s="159">
        <f t="shared" ref="G36:G41" si="23">E36*F36</f>
        <v>134547</v>
      </c>
      <c r="H36" s="125">
        <v>2</v>
      </c>
      <c r="I36" s="168">
        <v>18</v>
      </c>
      <c r="J36" s="37">
        <v>2400</v>
      </c>
      <c r="K36" s="17">
        <f t="shared" si="1"/>
        <v>133.33333333333334</v>
      </c>
      <c r="L36" s="168">
        <v>18</v>
      </c>
      <c r="M36" s="18">
        <f t="shared" ref="M36:M41" si="24">F36/V36*60</f>
        <v>2283.1858407079653</v>
      </c>
      <c r="N36" s="17">
        <f t="shared" si="3"/>
        <v>126.84365781710919</v>
      </c>
      <c r="O36" s="19">
        <f t="shared" si="4"/>
        <v>0</v>
      </c>
      <c r="P36" s="20">
        <f t="shared" si="5"/>
        <v>-6.4896755162241533</v>
      </c>
      <c r="Q36" s="158">
        <f t="shared" si="6"/>
        <v>0.95132743362831884</v>
      </c>
      <c r="R36" s="489">
        <f>Q42</f>
        <v>0.95651868277424712</v>
      </c>
      <c r="S36" s="40">
        <v>8.3333333333333329E-2</v>
      </c>
      <c r="T36" s="40">
        <v>0.16180555555555554</v>
      </c>
      <c r="U36" s="159"/>
      <c r="V36" s="169">
        <f t="shared" ref="V36:V41" si="25">(T36-S36)*24*60</f>
        <v>112.99999999999997</v>
      </c>
      <c r="W36" s="23">
        <f>T36</f>
        <v>0.16180555555555554</v>
      </c>
      <c r="X36" s="23">
        <f>S37</f>
        <v>0.18263888888888888</v>
      </c>
      <c r="Y36" s="23"/>
      <c r="Z36" s="23"/>
      <c r="AA36" s="491"/>
      <c r="AB36" s="491"/>
      <c r="AC36" s="154">
        <v>7</v>
      </c>
      <c r="AD36" s="25"/>
      <c r="AE36" s="19">
        <f t="shared" si="8"/>
        <v>-116.81415929203467</v>
      </c>
      <c r="AF36" s="158">
        <f t="shared" si="9"/>
        <v>0.95132743362831884</v>
      </c>
      <c r="AG36" s="489">
        <f>AF42</f>
        <v>0.95651868277424701</v>
      </c>
    </row>
    <row r="37" spans="1:33" ht="15.75" customHeight="1">
      <c r="A37" s="518" t="s">
        <v>787</v>
      </c>
      <c r="B37" s="42" t="s">
        <v>80</v>
      </c>
      <c r="C37" s="515" t="s">
        <v>82</v>
      </c>
      <c r="D37" s="515"/>
      <c r="E37" s="42">
        <v>26.2</v>
      </c>
      <c r="F37" s="170">
        <v>4292</v>
      </c>
      <c r="G37" s="159">
        <f t="shared" si="23"/>
        <v>112450.4</v>
      </c>
      <c r="H37" s="125" t="s">
        <v>79</v>
      </c>
      <c r="I37" s="168">
        <v>20</v>
      </c>
      <c r="J37" s="37">
        <v>2400</v>
      </c>
      <c r="K37" s="17">
        <f t="shared" si="1"/>
        <v>120</v>
      </c>
      <c r="L37" s="168">
        <v>20</v>
      </c>
      <c r="M37" s="18">
        <f t="shared" si="24"/>
        <v>2299.2857142857151</v>
      </c>
      <c r="N37" s="17">
        <f t="shared" si="3"/>
        <v>114.96428571428575</v>
      </c>
      <c r="O37" s="19">
        <f t="shared" si="4"/>
        <v>0</v>
      </c>
      <c r="P37" s="20">
        <f t="shared" si="5"/>
        <v>-5.0357142857142492</v>
      </c>
      <c r="Q37" s="158">
        <f t="shared" si="6"/>
        <v>0.95803571428571455</v>
      </c>
      <c r="R37" s="489"/>
      <c r="S37" s="40">
        <v>0.18263888888888888</v>
      </c>
      <c r="T37" s="40">
        <v>0.26041666666666663</v>
      </c>
      <c r="U37" s="159">
        <f t="shared" ref="U37:U41" si="26">(S37-T36)*24*60</f>
        <v>30.000000000000014</v>
      </c>
      <c r="V37" s="169">
        <f t="shared" si="25"/>
        <v>111.99999999999996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-100.71428571428487</v>
      </c>
      <c r="AF37" s="158">
        <f t="shared" si="9"/>
        <v>0.95803571428571466</v>
      </c>
      <c r="AG37" s="489"/>
    </row>
    <row r="38" spans="1:33" ht="15.75" customHeight="1">
      <c r="A38" s="518" t="s">
        <v>787</v>
      </c>
      <c r="B38" s="42" t="s">
        <v>80</v>
      </c>
      <c r="C38" s="515" t="s">
        <v>83</v>
      </c>
      <c r="D38" s="515"/>
      <c r="E38" s="42">
        <v>25.99</v>
      </c>
      <c r="F38" s="170">
        <v>3917</v>
      </c>
      <c r="G38" s="159">
        <f t="shared" si="23"/>
        <v>101802.82999999999</v>
      </c>
      <c r="H38" s="125" t="s">
        <v>79</v>
      </c>
      <c r="I38" s="168">
        <v>14</v>
      </c>
      <c r="J38" s="37">
        <v>2400</v>
      </c>
      <c r="K38" s="17">
        <f t="shared" si="1"/>
        <v>171.42857142857142</v>
      </c>
      <c r="L38" s="168">
        <v>14</v>
      </c>
      <c r="M38" s="18">
        <f t="shared" si="24"/>
        <v>2304.1176470588248</v>
      </c>
      <c r="N38" s="17">
        <f t="shared" si="3"/>
        <v>164.5798319327732</v>
      </c>
      <c r="O38" s="19">
        <f t="shared" si="4"/>
        <v>0</v>
      </c>
      <c r="P38" s="20">
        <f t="shared" si="5"/>
        <v>-6.8487394957982133</v>
      </c>
      <c r="Q38" s="158">
        <f t="shared" si="6"/>
        <v>0.96004901960784372</v>
      </c>
      <c r="R38" s="489"/>
      <c r="S38" s="40">
        <v>0.26597222222222217</v>
      </c>
      <c r="T38" s="40">
        <v>0.33680555555555547</v>
      </c>
      <c r="U38" s="159">
        <f t="shared" si="26"/>
        <v>7.9999999999999716</v>
      </c>
      <c r="V38" s="169">
        <f t="shared" si="25"/>
        <v>101.99999999999996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-95.882352941175213</v>
      </c>
      <c r="AF38" s="158">
        <f t="shared" si="9"/>
        <v>0.96004901960784361</v>
      </c>
      <c r="AG38" s="489"/>
    </row>
    <row r="39" spans="1:33" ht="15.75" customHeight="1">
      <c r="A39" s="518" t="s">
        <v>787</v>
      </c>
      <c r="B39" s="42" t="s">
        <v>80</v>
      </c>
      <c r="C39" s="515" t="s">
        <v>84</v>
      </c>
      <c r="D39" s="515"/>
      <c r="E39" s="42">
        <v>20.52</v>
      </c>
      <c r="F39" s="170">
        <v>4072</v>
      </c>
      <c r="G39" s="159">
        <f t="shared" si="23"/>
        <v>83557.440000000002</v>
      </c>
      <c r="H39" s="125" t="s">
        <v>79</v>
      </c>
      <c r="I39" s="168">
        <v>18</v>
      </c>
      <c r="J39" s="37">
        <v>2400</v>
      </c>
      <c r="K39" s="17">
        <f t="shared" si="1"/>
        <v>133.33333333333334</v>
      </c>
      <c r="L39" s="168">
        <v>18</v>
      </c>
      <c r="M39" s="18">
        <f t="shared" si="24"/>
        <v>2283.3644859813085</v>
      </c>
      <c r="N39" s="17">
        <f t="shared" si="3"/>
        <v>126.85358255451713</v>
      </c>
      <c r="O39" s="19">
        <f t="shared" si="4"/>
        <v>0</v>
      </c>
      <c r="P39" s="20">
        <f t="shared" si="5"/>
        <v>-6.4797507788162108</v>
      </c>
      <c r="Q39" s="158">
        <f t="shared" si="6"/>
        <v>0.95140186915887848</v>
      </c>
      <c r="R39" s="489"/>
      <c r="S39" s="40">
        <v>0.34166666666666656</v>
      </c>
      <c r="T39" s="40">
        <v>0.41597222222222213</v>
      </c>
      <c r="U39" s="159">
        <f t="shared" si="26"/>
        <v>6.9999999999999751</v>
      </c>
      <c r="V39" s="169">
        <f t="shared" si="25"/>
        <v>107.00000000000001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-116.63551401869154</v>
      </c>
      <c r="AF39" s="158">
        <f t="shared" si="9"/>
        <v>0.95140186915887848</v>
      </c>
      <c r="AG39" s="489"/>
    </row>
    <row r="40" spans="1:33" ht="15.75" customHeight="1">
      <c r="A40" s="518" t="s">
        <v>787</v>
      </c>
      <c r="B40" s="42" t="s">
        <v>80</v>
      </c>
      <c r="C40" s="515" t="s">
        <v>85</v>
      </c>
      <c r="D40" s="515"/>
      <c r="E40" s="42">
        <v>25.98</v>
      </c>
      <c r="F40" s="170">
        <v>3212</v>
      </c>
      <c r="G40" s="159">
        <f t="shared" si="23"/>
        <v>83447.759999999995</v>
      </c>
      <c r="H40" s="125" t="s">
        <v>79</v>
      </c>
      <c r="I40" s="168">
        <v>21</v>
      </c>
      <c r="J40" s="37">
        <v>2400</v>
      </c>
      <c r="K40" s="17">
        <f t="shared" si="1"/>
        <v>114.28571428571429</v>
      </c>
      <c r="L40" s="168">
        <v>21</v>
      </c>
      <c r="M40" s="18">
        <f t="shared" si="24"/>
        <v>2294.2857142857138</v>
      </c>
      <c r="N40" s="17">
        <f t="shared" si="3"/>
        <v>109.25170068027208</v>
      </c>
      <c r="O40" s="19">
        <f t="shared" si="4"/>
        <v>0</v>
      </c>
      <c r="P40" s="20">
        <f t="shared" si="5"/>
        <v>-5.0340136054422118</v>
      </c>
      <c r="Q40" s="158">
        <f t="shared" si="6"/>
        <v>0.95595238095238066</v>
      </c>
      <c r="R40" s="489"/>
      <c r="S40" s="40">
        <v>0.42152777777777767</v>
      </c>
      <c r="T40" s="40">
        <v>0.47986111111111102</v>
      </c>
      <c r="U40" s="159">
        <f t="shared" si="26"/>
        <v>7.9999999999999716</v>
      </c>
      <c r="V40" s="169">
        <f t="shared" si="25"/>
        <v>84.000000000000028</v>
      </c>
      <c r="W40" s="23">
        <f>T40</f>
        <v>0.47986111111111102</v>
      </c>
      <c r="X40" s="23">
        <f>S41</f>
        <v>0.51944444444444438</v>
      </c>
      <c r="Y40" s="23"/>
      <c r="Z40" s="23"/>
      <c r="AA40" s="491"/>
      <c r="AB40" s="491"/>
      <c r="AC40" s="154"/>
      <c r="AD40" s="25"/>
      <c r="AE40" s="19">
        <f t="shared" si="8"/>
        <v>-105.71428571428623</v>
      </c>
      <c r="AF40" s="158">
        <f t="shared" si="9"/>
        <v>0.95595238095238078</v>
      </c>
      <c r="AG40" s="489"/>
    </row>
    <row r="41" spans="1:33" ht="15.75" customHeight="1">
      <c r="A41" s="518" t="s">
        <v>787</v>
      </c>
      <c r="B41" s="42" t="s">
        <v>80</v>
      </c>
      <c r="C41" s="515" t="s">
        <v>81</v>
      </c>
      <c r="D41" s="515"/>
      <c r="E41" s="42">
        <v>31.29</v>
      </c>
      <c r="F41" s="170">
        <v>3118</v>
      </c>
      <c r="G41" s="159">
        <f t="shared" si="23"/>
        <v>97562.22</v>
      </c>
      <c r="H41" s="125" t="s">
        <v>79</v>
      </c>
      <c r="I41" s="168">
        <v>18</v>
      </c>
      <c r="J41" s="37">
        <v>2400</v>
      </c>
      <c r="K41" s="17">
        <f t="shared" si="1"/>
        <v>133.33333333333334</v>
      </c>
      <c r="L41" s="168">
        <v>18</v>
      </c>
      <c r="M41" s="18">
        <f t="shared" si="24"/>
        <v>2309.6296296296291</v>
      </c>
      <c r="N41" s="17">
        <f t="shared" si="3"/>
        <v>128.31275720164606</v>
      </c>
      <c r="O41" s="19">
        <f t="shared" si="4"/>
        <v>0</v>
      </c>
      <c r="P41" s="20">
        <f t="shared" si="5"/>
        <v>-5.0205761316872781</v>
      </c>
      <c r="Q41" s="158">
        <f t="shared" si="6"/>
        <v>0.96234567901234547</v>
      </c>
      <c r="R41" s="489"/>
      <c r="S41" s="40">
        <v>0.51944444444444438</v>
      </c>
      <c r="T41" s="40">
        <v>0.5756944444444444</v>
      </c>
      <c r="U41" s="159">
        <f t="shared" si="26"/>
        <v>57.000000000000036</v>
      </c>
      <c r="V41" s="169">
        <f t="shared" si="25"/>
        <v>81.000000000000028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-90.370370370370892</v>
      </c>
      <c r="AF41" s="158">
        <f t="shared" si="9"/>
        <v>0.96234567901234547</v>
      </c>
      <c r="AG41" s="489"/>
    </row>
    <row r="42" spans="1:33" ht="15.75" customHeight="1">
      <c r="A42" s="518" t="s">
        <v>787</v>
      </c>
      <c r="B42" s="42" t="s">
        <v>785</v>
      </c>
      <c r="C42" s="494"/>
      <c r="D42" s="494"/>
      <c r="E42" s="161"/>
      <c r="F42" s="170"/>
      <c r="G42" s="159"/>
      <c r="H42" s="170"/>
      <c r="I42" s="30">
        <v>18.166666666666668</v>
      </c>
      <c r="J42" s="37">
        <v>2400</v>
      </c>
      <c r="K42" s="17">
        <f t="shared" si="1"/>
        <v>132.11009174311926</v>
      </c>
      <c r="L42" s="30">
        <v>18.166666666666668</v>
      </c>
      <c r="M42" s="18">
        <f>AVERAGE(M36:M41)</f>
        <v>2295.6448386581928</v>
      </c>
      <c r="N42" s="17">
        <f t="shared" si="3"/>
        <v>126.36577093531336</v>
      </c>
      <c r="O42" s="19">
        <f t="shared" si="4"/>
        <v>0</v>
      </c>
      <c r="P42" s="20">
        <f t="shared" si="5"/>
        <v>-5.7443208078058916</v>
      </c>
      <c r="Q42" s="158">
        <f t="shared" si="6"/>
        <v>0.95651868277424712</v>
      </c>
      <c r="R42" s="489"/>
      <c r="S42" s="40"/>
      <c r="T42" s="40"/>
      <c r="U42" s="159"/>
      <c r="V42" s="169"/>
      <c r="W42" s="159"/>
      <c r="X42" s="159"/>
      <c r="Y42" s="31">
        <f>SUM(Y36:Y41)</f>
        <v>0</v>
      </c>
      <c r="Z42" s="31">
        <f>SUM(Z36:Z41)</f>
        <v>0</v>
      </c>
      <c r="AA42" s="495"/>
      <c r="AB42" s="495"/>
      <c r="AC42" s="31">
        <v>7</v>
      </c>
      <c r="AD42" s="31">
        <f>SUM(AD36:AD41)</f>
        <v>0</v>
      </c>
      <c r="AE42" s="19">
        <f t="shared" si="8"/>
        <v>-104.35516134180716</v>
      </c>
      <c r="AF42" s="158">
        <f t="shared" si="9"/>
        <v>0.95651868277424701</v>
      </c>
      <c r="AG42" s="489"/>
    </row>
    <row r="43" spans="1:33" ht="15.75" customHeight="1">
      <c r="A43" s="516" t="s">
        <v>788</v>
      </c>
      <c r="B43" s="42" t="s">
        <v>80</v>
      </c>
      <c r="C43" s="490" t="s">
        <v>86</v>
      </c>
      <c r="D43" s="490"/>
      <c r="E43" s="42">
        <v>22.69</v>
      </c>
      <c r="F43" s="170">
        <v>717</v>
      </c>
      <c r="G43" s="159">
        <f t="shared" ref="G43:G49" si="27">E43*F43</f>
        <v>16268.730000000001</v>
      </c>
      <c r="H43" s="125" t="s">
        <v>79</v>
      </c>
      <c r="I43" s="168">
        <v>15</v>
      </c>
      <c r="J43" s="37">
        <v>2400</v>
      </c>
      <c r="K43" s="17">
        <f t="shared" si="1"/>
        <v>160</v>
      </c>
      <c r="L43" s="168">
        <v>15</v>
      </c>
      <c r="M43" s="18">
        <f t="shared" ref="M43:M49" si="28">F43/V43*60</f>
        <v>2390.0000000000005</v>
      </c>
      <c r="N43" s="17">
        <f t="shared" si="3"/>
        <v>159.33333333333337</v>
      </c>
      <c r="O43" s="19">
        <f t="shared" si="4"/>
        <v>0</v>
      </c>
      <c r="P43" s="20">
        <f t="shared" si="5"/>
        <v>-0.66666666666662877</v>
      </c>
      <c r="Q43" s="158">
        <f t="shared" si="6"/>
        <v>0.99583333333333357</v>
      </c>
      <c r="R43" s="489">
        <f>Q50</f>
        <v>0.9671478048886446</v>
      </c>
      <c r="S43" s="40">
        <v>8.3333333333333329E-2</v>
      </c>
      <c r="T43" s="40">
        <v>9.5833333333333326E-2</v>
      </c>
      <c r="U43" s="159"/>
      <c r="V43" s="169">
        <f t="shared" ref="V43:V49" si="29">(T43-S43)*24*60</f>
        <v>17.999999999999996</v>
      </c>
      <c r="W43" s="28">
        <f>T43</f>
        <v>9.5833333333333326E-2</v>
      </c>
      <c r="X43" s="28">
        <f>S44</f>
        <v>0.11527777777777777</v>
      </c>
      <c r="Y43" s="28"/>
      <c r="Z43" s="28"/>
      <c r="AA43" s="491"/>
      <c r="AB43" s="491"/>
      <c r="AC43" s="154">
        <v>6</v>
      </c>
      <c r="AD43" s="25"/>
      <c r="AE43" s="19">
        <f t="shared" si="8"/>
        <v>-9.9999999999995453</v>
      </c>
      <c r="AF43" s="158">
        <f t="shared" si="9"/>
        <v>0.99583333333333357</v>
      </c>
      <c r="AG43" s="489">
        <f>AF50</f>
        <v>0.96714780488864471</v>
      </c>
    </row>
    <row r="44" spans="1:33" ht="15.75" customHeight="1">
      <c r="A44" s="516" t="s">
        <v>788</v>
      </c>
      <c r="B44" s="42" t="s">
        <v>80</v>
      </c>
      <c r="C44" s="490" t="s">
        <v>87</v>
      </c>
      <c r="D44" s="490"/>
      <c r="E44" s="42">
        <v>26.2</v>
      </c>
      <c r="F44" s="170">
        <v>5379</v>
      </c>
      <c r="G44" s="159">
        <f t="shared" si="27"/>
        <v>140929.79999999999</v>
      </c>
      <c r="H44" s="125" t="s">
        <v>79</v>
      </c>
      <c r="I44" s="168">
        <v>18</v>
      </c>
      <c r="J44" s="37">
        <v>2400</v>
      </c>
      <c r="K44" s="17">
        <f t="shared" si="1"/>
        <v>133.33333333333334</v>
      </c>
      <c r="L44" s="168">
        <v>18</v>
      </c>
      <c r="M44" s="18">
        <f t="shared" si="28"/>
        <v>2288.9361702127658</v>
      </c>
      <c r="N44" s="17">
        <f t="shared" si="3"/>
        <v>127.16312056737587</v>
      </c>
      <c r="O44" s="19">
        <f t="shared" si="4"/>
        <v>0</v>
      </c>
      <c r="P44" s="20">
        <f t="shared" si="5"/>
        <v>-6.1702127659574728</v>
      </c>
      <c r="Q44" s="158">
        <f t="shared" si="6"/>
        <v>0.95372340425531899</v>
      </c>
      <c r="R44" s="489"/>
      <c r="S44" s="40">
        <v>0.11527777777777777</v>
      </c>
      <c r="T44" s="40">
        <v>0.21319444444444444</v>
      </c>
      <c r="U44" s="159">
        <f t="shared" ref="U44:U49" si="30">(S44-T43)*24*60</f>
        <v>28</v>
      </c>
      <c r="V44" s="169">
        <f t="shared" si="29"/>
        <v>141</v>
      </c>
      <c r="W44" s="159"/>
      <c r="X44" s="159"/>
      <c r="Y44" s="159"/>
      <c r="Z44" s="159"/>
      <c r="AA44" s="491"/>
      <c r="AB44" s="491"/>
      <c r="AC44" s="154"/>
      <c r="AD44" s="25"/>
      <c r="AE44" s="19">
        <f t="shared" si="8"/>
        <v>-111.06382978723423</v>
      </c>
      <c r="AF44" s="158">
        <f t="shared" si="9"/>
        <v>0.9537234042553191</v>
      </c>
      <c r="AG44" s="489"/>
    </row>
    <row r="45" spans="1:33">
      <c r="A45" s="517" t="s">
        <v>788</v>
      </c>
      <c r="B45" s="42" t="s">
        <v>80</v>
      </c>
      <c r="C45" s="490" t="s">
        <v>88</v>
      </c>
      <c r="D45" s="490"/>
      <c r="E45" s="42">
        <v>26.18</v>
      </c>
      <c r="F45" s="170">
        <v>2794</v>
      </c>
      <c r="G45" s="159">
        <f t="shared" si="27"/>
        <v>73146.92</v>
      </c>
      <c r="H45" s="125" t="s">
        <v>79</v>
      </c>
      <c r="I45" s="168">
        <v>19</v>
      </c>
      <c r="J45" s="37">
        <v>2400</v>
      </c>
      <c r="K45" s="17">
        <f t="shared" si="1"/>
        <v>126.31578947368421</v>
      </c>
      <c r="L45" s="168">
        <v>19</v>
      </c>
      <c r="M45" s="18">
        <f t="shared" si="28"/>
        <v>2296.438356164384</v>
      </c>
      <c r="N45" s="17">
        <f t="shared" si="3"/>
        <v>120.86517664023074</v>
      </c>
      <c r="O45" s="19">
        <f t="shared" si="4"/>
        <v>0</v>
      </c>
      <c r="P45" s="20">
        <f t="shared" si="5"/>
        <v>-5.4506128334534623</v>
      </c>
      <c r="Q45" s="158">
        <f t="shared" si="6"/>
        <v>0.95684931506849347</v>
      </c>
      <c r="R45" s="489"/>
      <c r="S45" s="40">
        <v>0.21736111111111112</v>
      </c>
      <c r="T45" s="40">
        <v>0.26805555555555555</v>
      </c>
      <c r="U45" s="159">
        <f t="shared" si="30"/>
        <v>6.0000000000000187</v>
      </c>
      <c r="V45" s="169">
        <f t="shared" si="29"/>
        <v>72.999999999999986</v>
      </c>
      <c r="W45" s="159"/>
      <c r="X45" s="159"/>
      <c r="Y45" s="159"/>
      <c r="Z45" s="159"/>
      <c r="AA45" s="491"/>
      <c r="AB45" s="491"/>
      <c r="AC45" s="154"/>
      <c r="AD45" s="25"/>
      <c r="AE45" s="19">
        <f t="shared" si="8"/>
        <v>-103.561643835616</v>
      </c>
      <c r="AF45" s="158">
        <f t="shared" si="9"/>
        <v>0.95684931506849336</v>
      </c>
      <c r="AG45" s="489"/>
    </row>
    <row r="46" spans="1:33">
      <c r="A46" s="517" t="s">
        <v>788</v>
      </c>
      <c r="B46" s="42" t="s">
        <v>80</v>
      </c>
      <c r="C46" s="490" t="s">
        <v>89</v>
      </c>
      <c r="D46" s="490"/>
      <c r="E46" s="42">
        <v>26.39</v>
      </c>
      <c r="F46" s="170">
        <v>5273</v>
      </c>
      <c r="G46" s="159">
        <f t="shared" si="27"/>
        <v>139154.47</v>
      </c>
      <c r="H46" s="125" t="s">
        <v>79</v>
      </c>
      <c r="I46" s="168">
        <v>19</v>
      </c>
      <c r="J46" s="37">
        <v>2400</v>
      </c>
      <c r="K46" s="17">
        <f t="shared" si="1"/>
        <v>126.31578947368421</v>
      </c>
      <c r="L46" s="168">
        <v>19</v>
      </c>
      <c r="M46" s="18">
        <f t="shared" si="28"/>
        <v>2292.608695652174</v>
      </c>
      <c r="N46" s="17">
        <f t="shared" si="3"/>
        <v>120.66361556064074</v>
      </c>
      <c r="O46" s="19">
        <f t="shared" si="4"/>
        <v>0</v>
      </c>
      <c r="P46" s="20">
        <f t="shared" si="5"/>
        <v>-5.6521739130434696</v>
      </c>
      <c r="Q46" s="158">
        <f t="shared" si="6"/>
        <v>0.9552536231884059</v>
      </c>
      <c r="R46" s="489"/>
      <c r="S46" s="40">
        <v>0.27152777777777776</v>
      </c>
      <c r="T46" s="40">
        <v>0.36736111111111108</v>
      </c>
      <c r="U46" s="159">
        <f t="shared" si="30"/>
        <v>4.9999999999999822</v>
      </c>
      <c r="V46" s="169">
        <f t="shared" si="29"/>
        <v>138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-107.39130434782601</v>
      </c>
      <c r="AF46" s="158">
        <f t="shared" si="9"/>
        <v>0.95525362318840579</v>
      </c>
      <c r="AG46" s="489"/>
    </row>
    <row r="47" spans="1:33">
      <c r="A47" s="517" t="s">
        <v>788</v>
      </c>
      <c r="B47" s="42" t="s">
        <v>80</v>
      </c>
      <c r="C47" s="490" t="s">
        <v>90</v>
      </c>
      <c r="D47" s="490"/>
      <c r="E47" s="42">
        <v>22.69</v>
      </c>
      <c r="F47" s="170">
        <v>2427</v>
      </c>
      <c r="G47" s="159">
        <f t="shared" si="27"/>
        <v>55068.630000000005</v>
      </c>
      <c r="H47" s="125" t="s">
        <v>79</v>
      </c>
      <c r="I47" s="168">
        <v>15</v>
      </c>
      <c r="J47" s="37">
        <v>2400</v>
      </c>
      <c r="K47" s="17">
        <f t="shared" si="1"/>
        <v>160</v>
      </c>
      <c r="L47" s="168">
        <v>15</v>
      </c>
      <c r="M47" s="18">
        <f t="shared" si="28"/>
        <v>2311.4285714285711</v>
      </c>
      <c r="N47" s="17">
        <f t="shared" si="3"/>
        <v>154.09523809523807</v>
      </c>
      <c r="O47" s="19">
        <f t="shared" si="4"/>
        <v>0</v>
      </c>
      <c r="P47" s="20">
        <f t="shared" si="5"/>
        <v>-5.9047619047619264</v>
      </c>
      <c r="Q47" s="158">
        <f t="shared" si="6"/>
        <v>0.963095238095238</v>
      </c>
      <c r="R47" s="489"/>
      <c r="S47" s="40">
        <v>0.37083333333333329</v>
      </c>
      <c r="T47" s="40">
        <v>0.4145833333333333</v>
      </c>
      <c r="U47" s="159">
        <f t="shared" si="30"/>
        <v>4.9999999999999822</v>
      </c>
      <c r="V47" s="169">
        <f t="shared" si="29"/>
        <v>63.000000000000014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-88.571428571428896</v>
      </c>
      <c r="AF47" s="158">
        <f t="shared" si="9"/>
        <v>0.963095238095238</v>
      </c>
      <c r="AG47" s="489"/>
    </row>
    <row r="48" spans="1:33">
      <c r="A48" s="517" t="s">
        <v>788</v>
      </c>
      <c r="B48" s="42" t="s">
        <v>80</v>
      </c>
      <c r="C48" s="490" t="s">
        <v>91</v>
      </c>
      <c r="D48" s="490"/>
      <c r="E48" s="42">
        <v>24.45</v>
      </c>
      <c r="F48" s="170">
        <v>2505</v>
      </c>
      <c r="G48" s="159">
        <f t="shared" si="27"/>
        <v>61247.25</v>
      </c>
      <c r="H48" s="125" t="s">
        <v>79</v>
      </c>
      <c r="I48" s="168">
        <v>20</v>
      </c>
      <c r="J48" s="37">
        <v>2400</v>
      </c>
      <c r="K48" s="17">
        <f t="shared" si="1"/>
        <v>120</v>
      </c>
      <c r="L48" s="168">
        <v>20</v>
      </c>
      <c r="M48" s="18">
        <f t="shared" si="28"/>
        <v>2312.3076923076919</v>
      </c>
      <c r="N48" s="17">
        <f t="shared" si="3"/>
        <v>115.6153846153846</v>
      </c>
      <c r="O48" s="19">
        <f t="shared" si="4"/>
        <v>0</v>
      </c>
      <c r="P48" s="20">
        <f t="shared" si="5"/>
        <v>-4.384615384615401</v>
      </c>
      <c r="Q48" s="158">
        <f t="shared" si="6"/>
        <v>0.96346153846153837</v>
      </c>
      <c r="R48" s="489"/>
      <c r="S48" s="40">
        <v>0.41805555555555551</v>
      </c>
      <c r="T48" s="40">
        <v>0.46319444444444441</v>
      </c>
      <c r="U48" s="159">
        <f t="shared" si="30"/>
        <v>4.9999999999999822</v>
      </c>
      <c r="V48" s="169">
        <f t="shared" si="29"/>
        <v>65.000000000000014</v>
      </c>
      <c r="W48" s="23"/>
      <c r="X48" s="23"/>
      <c r="Y48" s="23"/>
      <c r="Z48" s="23"/>
      <c r="AA48" s="491"/>
      <c r="AB48" s="491"/>
      <c r="AC48" s="154"/>
      <c r="AD48" s="25"/>
      <c r="AE48" s="19">
        <f t="shared" si="8"/>
        <v>-87.692307692308077</v>
      </c>
      <c r="AF48" s="158">
        <f t="shared" si="9"/>
        <v>0.96346153846153826</v>
      </c>
      <c r="AG48" s="489"/>
    </row>
    <row r="49" spans="1:33">
      <c r="A49" s="517" t="s">
        <v>788</v>
      </c>
      <c r="B49" s="42" t="s">
        <v>80</v>
      </c>
      <c r="C49" s="490" t="s">
        <v>92</v>
      </c>
      <c r="D49" s="490"/>
      <c r="E49" s="42">
        <v>28.51</v>
      </c>
      <c r="F49" s="170">
        <v>432</v>
      </c>
      <c r="G49" s="159">
        <f t="shared" si="27"/>
        <v>12316.320000000002</v>
      </c>
      <c r="H49" s="125" t="s">
        <v>79</v>
      </c>
      <c r="I49" s="168">
        <v>16</v>
      </c>
      <c r="J49" s="37">
        <v>2400</v>
      </c>
      <c r="K49" s="17">
        <f t="shared" si="1"/>
        <v>150</v>
      </c>
      <c r="L49" s="168">
        <v>16</v>
      </c>
      <c r="M49" s="18">
        <f t="shared" si="28"/>
        <v>2356.3636363636451</v>
      </c>
      <c r="N49" s="17">
        <f t="shared" si="3"/>
        <v>147.27272727272782</v>
      </c>
      <c r="O49" s="19">
        <f t="shared" si="4"/>
        <v>0</v>
      </c>
      <c r="P49" s="20">
        <f t="shared" si="5"/>
        <v>-2.7272727272721795</v>
      </c>
      <c r="Q49" s="158">
        <f t="shared" si="6"/>
        <v>0.98181818181818548</v>
      </c>
      <c r="R49" s="489"/>
      <c r="S49" s="40">
        <v>0.46666666666666662</v>
      </c>
      <c r="T49" s="40">
        <v>0.47430555555555548</v>
      </c>
      <c r="U49" s="159">
        <f t="shared" si="30"/>
        <v>4.9999999999999822</v>
      </c>
      <c r="V49" s="169">
        <f t="shared" si="29"/>
        <v>10.999999999999961</v>
      </c>
      <c r="W49" s="23"/>
      <c r="X49" s="23"/>
      <c r="Y49" s="26"/>
      <c r="Z49" s="26"/>
      <c r="AA49" s="503"/>
      <c r="AB49" s="504"/>
      <c r="AC49" s="154"/>
      <c r="AD49" s="25"/>
      <c r="AE49" s="19">
        <f t="shared" si="8"/>
        <v>-43.636363636354872</v>
      </c>
      <c r="AF49" s="158">
        <f t="shared" si="9"/>
        <v>0.98181818181818548</v>
      </c>
      <c r="AG49" s="489"/>
    </row>
    <row r="50" spans="1:33">
      <c r="A50" s="517" t="s">
        <v>788</v>
      </c>
      <c r="B50" s="44" t="s">
        <v>785</v>
      </c>
      <c r="C50" s="494"/>
      <c r="D50" s="494"/>
      <c r="E50" s="161"/>
      <c r="F50" s="44"/>
      <c r="G50" s="17"/>
      <c r="H50" s="170"/>
      <c r="I50" s="30">
        <v>17.428571428571427</v>
      </c>
      <c r="J50" s="37">
        <v>2400</v>
      </c>
      <c r="K50" s="17">
        <f t="shared" si="1"/>
        <v>137.70491803278691</v>
      </c>
      <c r="L50" s="30">
        <v>17.428571428571427</v>
      </c>
      <c r="M50" s="18">
        <f>AVERAGE(M43:M49)</f>
        <v>2321.1547317327472</v>
      </c>
      <c r="N50" s="17">
        <f t="shared" si="3"/>
        <v>133.18100919778058</v>
      </c>
      <c r="O50" s="19">
        <f t="shared" si="4"/>
        <v>0</v>
      </c>
      <c r="P50" s="20">
        <f t="shared" si="5"/>
        <v>-4.5239088350063241</v>
      </c>
      <c r="Q50" s="158">
        <f t="shared" si="6"/>
        <v>0.9671478048886446</v>
      </c>
      <c r="R50" s="489"/>
      <c r="S50" s="40"/>
      <c r="T50" s="40"/>
      <c r="U50" s="17"/>
      <c r="V50" s="169"/>
      <c r="W50" s="17"/>
      <c r="X50" s="17"/>
      <c r="Y50" s="31">
        <f>SUM(Y43:Y49)</f>
        <v>0</v>
      </c>
      <c r="Z50" s="31">
        <f>SUM(Z43:Z49)</f>
        <v>0</v>
      </c>
      <c r="AA50" s="495"/>
      <c r="AB50" s="495"/>
      <c r="AC50" s="31">
        <v>6</v>
      </c>
      <c r="AD50" s="31">
        <f>SUM(AD43:AD49)</f>
        <v>0</v>
      </c>
      <c r="AE50" s="19">
        <f t="shared" si="8"/>
        <v>-78.845268267252777</v>
      </c>
      <c r="AF50" s="158">
        <f t="shared" si="9"/>
        <v>0.96714780488864471</v>
      </c>
      <c r="AG50" s="489"/>
    </row>
    <row r="51" spans="1:33" ht="15.75" customHeight="1">
      <c r="A51" s="512" t="s">
        <v>789</v>
      </c>
      <c r="B51" s="42" t="s">
        <v>93</v>
      </c>
      <c r="C51" s="501" t="s">
        <v>94</v>
      </c>
      <c r="D51" s="502"/>
      <c r="E51" s="42">
        <v>21.13</v>
      </c>
      <c r="F51" s="170">
        <v>3100</v>
      </c>
      <c r="G51" s="159">
        <f t="shared" ref="G51:G61" si="31">E51*F51</f>
        <v>65503</v>
      </c>
      <c r="H51" s="125">
        <v>2</v>
      </c>
      <c r="I51" s="168">
        <v>10</v>
      </c>
      <c r="J51" s="37">
        <v>3000</v>
      </c>
      <c r="K51" s="17">
        <f t="shared" si="1"/>
        <v>300</v>
      </c>
      <c r="L51" s="168">
        <v>10</v>
      </c>
      <c r="M51" s="18">
        <f t="shared" ref="M51:M61" si="32">F51/V51*60</f>
        <v>2861.5384615384619</v>
      </c>
      <c r="N51" s="18">
        <f t="shared" si="3"/>
        <v>286.15384615384619</v>
      </c>
      <c r="O51" s="19">
        <f t="shared" si="4"/>
        <v>0</v>
      </c>
      <c r="P51" s="20">
        <f t="shared" si="5"/>
        <v>-13.846153846153811</v>
      </c>
      <c r="Q51" s="158">
        <f t="shared" si="6"/>
        <v>0.95384615384615401</v>
      </c>
      <c r="R51" s="509">
        <f>Q62</f>
        <v>0.9608346354525279</v>
      </c>
      <c r="S51" s="40">
        <v>8.3333333333333329E-2</v>
      </c>
      <c r="T51" s="40">
        <v>0.12847222222222221</v>
      </c>
      <c r="U51" s="28"/>
      <c r="V51" s="169">
        <f t="shared" ref="V51:V61" si="33">(T51-S51)*24*60</f>
        <v>64.999999999999986</v>
      </c>
      <c r="W51" s="23">
        <f>T51</f>
        <v>0.12847222222222221</v>
      </c>
      <c r="X51" s="23">
        <f>S52</f>
        <v>0.14583333333333329</v>
      </c>
      <c r="Y51" s="26"/>
      <c r="Z51" s="26"/>
      <c r="AA51" s="503"/>
      <c r="AB51" s="504"/>
      <c r="AC51" s="154" t="s">
        <v>79</v>
      </c>
      <c r="AD51" s="25"/>
      <c r="AE51" s="19">
        <f t="shared" si="8"/>
        <v>-138.46153846153811</v>
      </c>
      <c r="AF51" s="158">
        <f t="shared" si="9"/>
        <v>0.95384615384615401</v>
      </c>
      <c r="AG51" s="509">
        <f>AF62</f>
        <v>0.9608346354525279</v>
      </c>
    </row>
    <row r="52" spans="1:33" ht="15.75" customHeight="1">
      <c r="A52" s="513" t="s">
        <v>789</v>
      </c>
      <c r="B52" s="42" t="s">
        <v>93</v>
      </c>
      <c r="C52" s="501" t="s">
        <v>95</v>
      </c>
      <c r="D52" s="502"/>
      <c r="E52" s="42">
        <v>27.17</v>
      </c>
      <c r="F52" s="170">
        <v>3900</v>
      </c>
      <c r="G52" s="159">
        <f t="shared" si="31"/>
        <v>105963</v>
      </c>
      <c r="H52" s="125">
        <v>2</v>
      </c>
      <c r="I52" s="168">
        <v>10</v>
      </c>
      <c r="J52" s="37">
        <v>3000</v>
      </c>
      <c r="K52" s="17">
        <f t="shared" si="1"/>
        <v>300</v>
      </c>
      <c r="L52" s="168">
        <v>10</v>
      </c>
      <c r="M52" s="18">
        <f t="shared" si="32"/>
        <v>2888.8888888888896</v>
      </c>
      <c r="N52" s="18">
        <f t="shared" si="3"/>
        <v>288.88888888888897</v>
      </c>
      <c r="O52" s="19">
        <f t="shared" si="4"/>
        <v>0</v>
      </c>
      <c r="P52" s="20">
        <f t="shared" si="5"/>
        <v>-11.111111111111029</v>
      </c>
      <c r="Q52" s="158">
        <f t="shared" si="6"/>
        <v>0.96296296296296324</v>
      </c>
      <c r="R52" s="510"/>
      <c r="S52" s="40">
        <v>0.14583333333333329</v>
      </c>
      <c r="T52" s="40">
        <v>0.20208333333333328</v>
      </c>
      <c r="U52" s="159">
        <f t="shared" ref="U52:U61" si="34">(S52-T51)*24*60</f>
        <v>24.99999999999995</v>
      </c>
      <c r="V52" s="169">
        <f t="shared" si="33"/>
        <v>80.999999999999986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-111.1111111111104</v>
      </c>
      <c r="AF52" s="158">
        <f t="shared" si="9"/>
        <v>0.96296296296296324</v>
      </c>
      <c r="AG52" s="510"/>
    </row>
    <row r="53" spans="1:33" ht="15.75" customHeight="1">
      <c r="A53" s="513" t="s">
        <v>789</v>
      </c>
      <c r="B53" s="42" t="s">
        <v>93</v>
      </c>
      <c r="C53" s="501" t="s">
        <v>96</v>
      </c>
      <c r="D53" s="502"/>
      <c r="E53" s="42">
        <v>35.119999999999997</v>
      </c>
      <c r="F53" s="170">
        <v>4401</v>
      </c>
      <c r="G53" s="159">
        <f t="shared" si="31"/>
        <v>154563.12</v>
      </c>
      <c r="H53" s="125" t="s">
        <v>79</v>
      </c>
      <c r="I53" s="168">
        <v>10</v>
      </c>
      <c r="J53" s="37">
        <v>3000</v>
      </c>
      <c r="K53" s="17">
        <f t="shared" si="1"/>
        <v>300</v>
      </c>
      <c r="L53" s="168">
        <v>10</v>
      </c>
      <c r="M53" s="18">
        <f t="shared" si="32"/>
        <v>2870.2173913043471</v>
      </c>
      <c r="N53" s="18">
        <f t="shared" si="3"/>
        <v>287.0217391304347</v>
      </c>
      <c r="O53" s="19">
        <f t="shared" si="4"/>
        <v>0</v>
      </c>
      <c r="P53" s="20">
        <f t="shared" si="5"/>
        <v>-12.978260869565304</v>
      </c>
      <c r="Q53" s="158">
        <f t="shared" si="6"/>
        <v>0.95673913043478231</v>
      </c>
      <c r="R53" s="510"/>
      <c r="S53" s="40">
        <v>0.20763888888888885</v>
      </c>
      <c r="T53" s="40">
        <v>0.27152777777777776</v>
      </c>
      <c r="U53" s="159">
        <f t="shared" si="34"/>
        <v>8.0000000000000107</v>
      </c>
      <c r="V53" s="169">
        <f t="shared" si="33"/>
        <v>92.000000000000028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-129.78260869565293</v>
      </c>
      <c r="AF53" s="158">
        <f t="shared" si="9"/>
        <v>0.95673913043478231</v>
      </c>
      <c r="AG53" s="510"/>
    </row>
    <row r="54" spans="1:33" ht="15.75" customHeight="1">
      <c r="A54" s="513" t="s">
        <v>789</v>
      </c>
      <c r="B54" s="42" t="s">
        <v>93</v>
      </c>
      <c r="C54" s="501" t="s">
        <v>97</v>
      </c>
      <c r="D54" s="502"/>
      <c r="E54" s="42">
        <v>31</v>
      </c>
      <c r="F54" s="170">
        <v>1388</v>
      </c>
      <c r="G54" s="159">
        <f t="shared" si="31"/>
        <v>43028</v>
      </c>
      <c r="H54" s="125" t="s">
        <v>79</v>
      </c>
      <c r="I54" s="168">
        <v>13</v>
      </c>
      <c r="J54" s="37">
        <v>2000</v>
      </c>
      <c r="K54" s="17">
        <f t="shared" si="1"/>
        <v>153.84615384615384</v>
      </c>
      <c r="L54" s="168">
        <v>13</v>
      </c>
      <c r="M54" s="18">
        <f t="shared" si="32"/>
        <v>1936.7441860465112</v>
      </c>
      <c r="N54" s="18">
        <f t="shared" si="3"/>
        <v>148.98032200357778</v>
      </c>
      <c r="O54" s="19">
        <f t="shared" si="4"/>
        <v>0</v>
      </c>
      <c r="P54" s="20">
        <f t="shared" si="5"/>
        <v>-4.8658318425760569</v>
      </c>
      <c r="Q54" s="158">
        <f t="shared" si="6"/>
        <v>0.96837209302325566</v>
      </c>
      <c r="R54" s="510"/>
      <c r="S54" s="40">
        <v>0.27569444444444441</v>
      </c>
      <c r="T54" s="40">
        <v>0.30555555555555552</v>
      </c>
      <c r="U54" s="159">
        <f t="shared" si="34"/>
        <v>5.9999999999999787</v>
      </c>
      <c r="V54" s="169">
        <f t="shared" si="33"/>
        <v>43.000000000000007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-63.255813953488769</v>
      </c>
      <c r="AF54" s="158">
        <f t="shared" si="9"/>
        <v>0.96837209302325566</v>
      </c>
      <c r="AG54" s="510"/>
    </row>
    <row r="55" spans="1:33" ht="15.75" customHeight="1">
      <c r="A55" s="513" t="s">
        <v>789</v>
      </c>
      <c r="B55" s="42" t="s">
        <v>93</v>
      </c>
      <c r="C55" s="501" t="s">
        <v>98</v>
      </c>
      <c r="D55" s="502"/>
      <c r="E55" s="42">
        <v>37.880000000000003</v>
      </c>
      <c r="F55" s="170">
        <v>1818</v>
      </c>
      <c r="G55" s="159">
        <f t="shared" si="31"/>
        <v>68865.840000000011</v>
      </c>
      <c r="H55" s="125" t="s">
        <v>79</v>
      </c>
      <c r="I55" s="168">
        <v>14</v>
      </c>
      <c r="J55" s="37">
        <v>2000</v>
      </c>
      <c r="K55" s="17">
        <f t="shared" si="1"/>
        <v>142.85714285714286</v>
      </c>
      <c r="L55" s="168">
        <v>14</v>
      </c>
      <c r="M55" s="18">
        <f t="shared" si="32"/>
        <v>1913.6842105263145</v>
      </c>
      <c r="N55" s="18">
        <f t="shared" si="3"/>
        <v>136.69172932330818</v>
      </c>
      <c r="O55" s="19">
        <f t="shared" si="4"/>
        <v>0</v>
      </c>
      <c r="P55" s="20">
        <f t="shared" si="5"/>
        <v>-6.1654135338346805</v>
      </c>
      <c r="Q55" s="158">
        <f t="shared" si="6"/>
        <v>0.95684210526315727</v>
      </c>
      <c r="R55" s="510"/>
      <c r="S55" s="40">
        <v>0.31111111111111106</v>
      </c>
      <c r="T55" s="40">
        <v>0.35069444444444442</v>
      </c>
      <c r="U55" s="159">
        <f t="shared" si="34"/>
        <v>7.9999999999999716</v>
      </c>
      <c r="V55" s="169">
        <f t="shared" si="33"/>
        <v>57.000000000000036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-86.315789473685527</v>
      </c>
      <c r="AF55" s="158">
        <f t="shared" si="9"/>
        <v>0.95684210526315727</v>
      </c>
      <c r="AG55" s="510"/>
    </row>
    <row r="56" spans="1:33" ht="15.75" customHeight="1">
      <c r="A56" s="513" t="s">
        <v>789</v>
      </c>
      <c r="B56" s="42" t="s">
        <v>93</v>
      </c>
      <c r="C56" s="501" t="s">
        <v>99</v>
      </c>
      <c r="D56" s="502"/>
      <c r="E56" s="42">
        <v>32.020000000000003</v>
      </c>
      <c r="F56" s="170">
        <v>2826</v>
      </c>
      <c r="G56" s="159">
        <f t="shared" si="31"/>
        <v>90488.52</v>
      </c>
      <c r="H56" s="125" t="s">
        <v>79</v>
      </c>
      <c r="I56" s="168">
        <v>11</v>
      </c>
      <c r="J56" s="37">
        <v>3000</v>
      </c>
      <c r="K56" s="17">
        <f t="shared" si="1"/>
        <v>272.72727272727275</v>
      </c>
      <c r="L56" s="168">
        <v>11</v>
      </c>
      <c r="M56" s="18">
        <f t="shared" si="32"/>
        <v>2873.8983050847442</v>
      </c>
      <c r="N56" s="18">
        <f t="shared" si="3"/>
        <v>261.26348228043128</v>
      </c>
      <c r="O56" s="19">
        <f t="shared" si="4"/>
        <v>0</v>
      </c>
      <c r="P56" s="20">
        <f t="shared" si="5"/>
        <v>-11.463790446841472</v>
      </c>
      <c r="Q56" s="158">
        <f t="shared" si="6"/>
        <v>0.95796610169491458</v>
      </c>
      <c r="R56" s="510"/>
      <c r="S56" s="40">
        <v>0.35555555555555551</v>
      </c>
      <c r="T56" s="40">
        <v>0.39652777777777776</v>
      </c>
      <c r="U56" s="159">
        <f t="shared" si="34"/>
        <v>6.9999999999999751</v>
      </c>
      <c r="V56" s="169">
        <f t="shared" si="33"/>
        <v>59.000000000000028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-126.10169491525585</v>
      </c>
      <c r="AF56" s="158">
        <f t="shared" si="9"/>
        <v>0.9579661016949147</v>
      </c>
      <c r="AG56" s="510"/>
    </row>
    <row r="57" spans="1:33" ht="15.75" customHeight="1">
      <c r="A57" s="513" t="s">
        <v>789</v>
      </c>
      <c r="B57" s="42" t="s">
        <v>93</v>
      </c>
      <c r="C57" s="501" t="s">
        <v>114</v>
      </c>
      <c r="D57" s="502"/>
      <c r="E57" s="42">
        <v>36.14</v>
      </c>
      <c r="F57" s="170">
        <v>1274</v>
      </c>
      <c r="G57" s="159">
        <f t="shared" si="31"/>
        <v>46042.36</v>
      </c>
      <c r="H57" s="125" t="s">
        <v>79</v>
      </c>
      <c r="I57" s="168">
        <v>9</v>
      </c>
      <c r="J57" s="37">
        <v>3000</v>
      </c>
      <c r="K57" s="17">
        <f t="shared" si="1"/>
        <v>333.33333333333331</v>
      </c>
      <c r="L57" s="168">
        <v>9</v>
      </c>
      <c r="M57" s="18">
        <f t="shared" si="32"/>
        <v>2940.0000000000018</v>
      </c>
      <c r="N57" s="18">
        <f t="shared" si="3"/>
        <v>326.66666666666686</v>
      </c>
      <c r="O57" s="19">
        <f t="shared" si="4"/>
        <v>0</v>
      </c>
      <c r="P57" s="20">
        <f t="shared" si="5"/>
        <v>-6.6666666666664582</v>
      </c>
      <c r="Q57" s="158">
        <f t="shared" si="6"/>
        <v>0.98000000000000065</v>
      </c>
      <c r="R57" s="510"/>
      <c r="S57" s="40">
        <v>0.40208333333333329</v>
      </c>
      <c r="T57" s="40">
        <v>0.42013888888888884</v>
      </c>
      <c r="U57" s="159">
        <f t="shared" si="34"/>
        <v>7.9999999999999716</v>
      </c>
      <c r="V57" s="169">
        <f t="shared" si="33"/>
        <v>25.999999999999986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-59.999999999998181</v>
      </c>
      <c r="AF57" s="158">
        <f t="shared" si="9"/>
        <v>0.98000000000000065</v>
      </c>
      <c r="AG57" s="510"/>
    </row>
    <row r="58" spans="1:33" ht="15.75" customHeight="1">
      <c r="A58" s="513" t="s">
        <v>789</v>
      </c>
      <c r="B58" s="42" t="s">
        <v>93</v>
      </c>
      <c r="C58" s="501" t="s">
        <v>112</v>
      </c>
      <c r="D58" s="502"/>
      <c r="E58" s="42">
        <v>35.869999999999997</v>
      </c>
      <c r="F58" s="170">
        <v>3011</v>
      </c>
      <c r="G58" s="159">
        <f t="shared" si="31"/>
        <v>108004.56999999999</v>
      </c>
      <c r="H58" s="125" t="s">
        <v>79</v>
      </c>
      <c r="I58" s="168">
        <v>9</v>
      </c>
      <c r="J58" s="37">
        <v>3000</v>
      </c>
      <c r="K58" s="17">
        <f t="shared" si="1"/>
        <v>333.33333333333331</v>
      </c>
      <c r="L58" s="168">
        <v>9</v>
      </c>
      <c r="M58" s="18">
        <f t="shared" si="32"/>
        <v>2867.6190476190468</v>
      </c>
      <c r="N58" s="18">
        <f t="shared" si="3"/>
        <v>318.62433862433852</v>
      </c>
      <c r="O58" s="19">
        <f t="shared" si="4"/>
        <v>0</v>
      </c>
      <c r="P58" s="20">
        <f t="shared" si="5"/>
        <v>-14.708994708994794</v>
      </c>
      <c r="Q58" s="158">
        <f t="shared" si="6"/>
        <v>0.95587301587301565</v>
      </c>
      <c r="R58" s="510"/>
      <c r="S58" s="40">
        <v>0.42361111111111105</v>
      </c>
      <c r="T58" s="40">
        <v>0.46736111111111106</v>
      </c>
      <c r="U58" s="159">
        <f t="shared" si="34"/>
        <v>4.9999999999999822</v>
      </c>
      <c r="V58" s="169">
        <f t="shared" si="33"/>
        <v>63.000000000000014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-132.3809523809532</v>
      </c>
      <c r="AF58" s="158">
        <f t="shared" si="9"/>
        <v>0.95587301587301565</v>
      </c>
      <c r="AG58" s="510"/>
    </row>
    <row r="59" spans="1:33" ht="15.75" customHeight="1">
      <c r="A59" s="513" t="s">
        <v>789</v>
      </c>
      <c r="B59" s="42" t="s">
        <v>93</v>
      </c>
      <c r="C59" s="501" t="s">
        <v>113</v>
      </c>
      <c r="D59" s="502"/>
      <c r="E59" s="42">
        <v>34.36</v>
      </c>
      <c r="F59" s="170">
        <v>1811</v>
      </c>
      <c r="G59" s="159">
        <f t="shared" si="31"/>
        <v>62225.96</v>
      </c>
      <c r="H59" s="125" t="s">
        <v>79</v>
      </c>
      <c r="I59" s="168">
        <v>10</v>
      </c>
      <c r="J59" s="37">
        <v>3000</v>
      </c>
      <c r="K59" s="17">
        <f t="shared" si="1"/>
        <v>300</v>
      </c>
      <c r="L59" s="168">
        <v>10</v>
      </c>
      <c r="M59" s="18">
        <f t="shared" si="32"/>
        <v>2859.473684210524</v>
      </c>
      <c r="N59" s="18">
        <f t="shared" si="3"/>
        <v>285.94736842105237</v>
      </c>
      <c r="O59" s="19">
        <f t="shared" si="4"/>
        <v>0</v>
      </c>
      <c r="P59" s="20">
        <f t="shared" si="5"/>
        <v>-14.052631578947626</v>
      </c>
      <c r="Q59" s="158">
        <f t="shared" si="6"/>
        <v>0.9531578947368412</v>
      </c>
      <c r="R59" s="510"/>
      <c r="S59" s="40">
        <v>0.47152777777777771</v>
      </c>
      <c r="T59" s="40">
        <v>0.49791666666666662</v>
      </c>
      <c r="U59" s="159">
        <f t="shared" si="34"/>
        <v>5.9999999999999787</v>
      </c>
      <c r="V59" s="169">
        <f t="shared" si="33"/>
        <v>38.000000000000028</v>
      </c>
      <c r="W59" s="23">
        <f>T59</f>
        <v>0.49791666666666662</v>
      </c>
      <c r="X59" s="23">
        <f>S60</f>
        <v>0.5395833333333333</v>
      </c>
      <c r="Y59" s="26"/>
      <c r="Z59" s="26"/>
      <c r="AA59" s="503"/>
      <c r="AB59" s="504"/>
      <c r="AC59" s="154" t="s">
        <v>79</v>
      </c>
      <c r="AD59" s="25"/>
      <c r="AE59" s="19">
        <f t="shared" si="8"/>
        <v>-140.52631578947603</v>
      </c>
      <c r="AF59" s="158">
        <f t="shared" si="9"/>
        <v>0.95315789473684132</v>
      </c>
      <c r="AG59" s="510"/>
    </row>
    <row r="60" spans="1:33" ht="15.75" customHeight="1">
      <c r="A60" s="513" t="s">
        <v>789</v>
      </c>
      <c r="B60" s="42" t="s">
        <v>93</v>
      </c>
      <c r="C60" s="501" t="s">
        <v>95</v>
      </c>
      <c r="D60" s="502"/>
      <c r="E60" s="42">
        <v>27.17</v>
      </c>
      <c r="F60" s="170">
        <v>2580</v>
      </c>
      <c r="G60" s="159">
        <f t="shared" si="31"/>
        <v>70098.600000000006</v>
      </c>
      <c r="H60" s="125" t="s">
        <v>79</v>
      </c>
      <c r="I60" s="168">
        <v>10</v>
      </c>
      <c r="J60" s="37">
        <v>3000</v>
      </c>
      <c r="K60" s="17">
        <f t="shared" si="1"/>
        <v>300</v>
      </c>
      <c r="L60" s="168">
        <v>10</v>
      </c>
      <c r="M60" s="18">
        <f t="shared" si="32"/>
        <v>2866.6666666666679</v>
      </c>
      <c r="N60" s="18">
        <f t="shared" si="3"/>
        <v>286.6666666666668</v>
      </c>
      <c r="O60" s="19">
        <f t="shared" si="4"/>
        <v>0</v>
      </c>
      <c r="P60" s="20">
        <f t="shared" si="5"/>
        <v>-13.333333333333201</v>
      </c>
      <c r="Q60" s="158">
        <f t="shared" si="6"/>
        <v>0.95555555555555605</v>
      </c>
      <c r="R60" s="510"/>
      <c r="S60" s="40">
        <v>0.5395833333333333</v>
      </c>
      <c r="T60" s="40">
        <v>0.57708333333333328</v>
      </c>
      <c r="U60" s="159">
        <f t="shared" si="34"/>
        <v>60.000000000000028</v>
      </c>
      <c r="V60" s="169">
        <f t="shared" si="33"/>
        <v>53.999999999999972</v>
      </c>
      <c r="W60" s="23"/>
      <c r="X60" s="23"/>
      <c r="Y60" s="26"/>
      <c r="Z60" s="26"/>
      <c r="AA60" s="503"/>
      <c r="AB60" s="504"/>
      <c r="AC60" s="154" t="s">
        <v>79</v>
      </c>
      <c r="AD60" s="25"/>
      <c r="AE60" s="19">
        <f t="shared" si="8"/>
        <v>-133.33333333333212</v>
      </c>
      <c r="AF60" s="158">
        <f t="shared" si="9"/>
        <v>0.95555555555555594</v>
      </c>
      <c r="AG60" s="510"/>
    </row>
    <row r="61" spans="1:33" ht="15.75" customHeight="1">
      <c r="A61" s="513" t="s">
        <v>789</v>
      </c>
      <c r="B61" s="42" t="s">
        <v>93</v>
      </c>
      <c r="C61" s="501" t="s">
        <v>94</v>
      </c>
      <c r="D61" s="502"/>
      <c r="E61" s="42">
        <v>21.13</v>
      </c>
      <c r="F61" s="170">
        <v>2035</v>
      </c>
      <c r="G61" s="159">
        <f t="shared" si="31"/>
        <v>42999.549999999996</v>
      </c>
      <c r="H61" s="125" t="s">
        <v>79</v>
      </c>
      <c r="I61" s="168">
        <v>10</v>
      </c>
      <c r="J61" s="37">
        <v>3000</v>
      </c>
      <c r="K61" s="17">
        <f t="shared" si="1"/>
        <v>300</v>
      </c>
      <c r="L61" s="168">
        <v>10</v>
      </c>
      <c r="M61" s="18">
        <f t="shared" si="32"/>
        <v>2907.142857142856</v>
      </c>
      <c r="N61" s="18">
        <f t="shared" si="3"/>
        <v>290.71428571428561</v>
      </c>
      <c r="O61" s="19">
        <f t="shared" si="4"/>
        <v>0</v>
      </c>
      <c r="P61" s="20">
        <f t="shared" si="5"/>
        <v>-9.2857142857143913</v>
      </c>
      <c r="Q61" s="158">
        <f t="shared" si="6"/>
        <v>0.96904761904761871</v>
      </c>
      <c r="R61" s="510"/>
      <c r="S61" s="40">
        <v>0.58055555555555549</v>
      </c>
      <c r="T61" s="40">
        <v>0.60972222222222217</v>
      </c>
      <c r="U61" s="159">
        <f t="shared" si="34"/>
        <v>4.9999999999999822</v>
      </c>
      <c r="V61" s="169">
        <f t="shared" si="33"/>
        <v>42.000000000000014</v>
      </c>
      <c r="W61" s="23"/>
      <c r="X61" s="23"/>
      <c r="Y61" s="26"/>
      <c r="Z61" s="26"/>
      <c r="AA61" s="503"/>
      <c r="AB61" s="504"/>
      <c r="AC61" s="154" t="s">
        <v>79</v>
      </c>
      <c r="AD61" s="25"/>
      <c r="AE61" s="19">
        <f t="shared" si="8"/>
        <v>-92.857142857144026</v>
      </c>
      <c r="AF61" s="158">
        <f t="shared" si="9"/>
        <v>0.9690476190476186</v>
      </c>
      <c r="AG61" s="510"/>
    </row>
    <row r="62" spans="1:33" ht="15.75" customHeight="1">
      <c r="A62" s="514" t="s">
        <v>789</v>
      </c>
      <c r="B62" s="42" t="s">
        <v>71</v>
      </c>
      <c r="C62" s="492"/>
      <c r="D62" s="493"/>
      <c r="E62" s="160"/>
      <c r="F62" s="170"/>
      <c r="G62" s="159"/>
      <c r="H62" s="170"/>
      <c r="I62" s="30">
        <v>10.545454545454545</v>
      </c>
      <c r="J62" s="37">
        <v>2818.181818181818</v>
      </c>
      <c r="K62" s="17">
        <f t="shared" si="1"/>
        <v>267.24137931034483</v>
      </c>
      <c r="L62" s="30">
        <v>10.545454545454545</v>
      </c>
      <c r="M62" s="18">
        <f>AVERAGE(M51:M61)</f>
        <v>2707.8066999116695</v>
      </c>
      <c r="N62" s="17">
        <f t="shared" si="3"/>
        <v>256.7747732674859</v>
      </c>
      <c r="O62" s="19">
        <f t="shared" si="4"/>
        <v>0</v>
      </c>
      <c r="P62" s="20">
        <f t="shared" si="5"/>
        <v>-10.466606042858928</v>
      </c>
      <c r="Q62" s="158">
        <f t="shared" si="6"/>
        <v>0.9608346354525279</v>
      </c>
      <c r="R62" s="511"/>
      <c r="S62" s="40"/>
      <c r="T62" s="40"/>
      <c r="U62" s="159"/>
      <c r="V62" s="169"/>
      <c r="W62" s="23"/>
      <c r="X62" s="23"/>
      <c r="Y62" s="31">
        <f>SUM(Y51:Y61)</f>
        <v>0</v>
      </c>
      <c r="Z62" s="31">
        <f>SUM(Z51:Z61)</f>
        <v>0</v>
      </c>
      <c r="AA62" s="505"/>
      <c r="AB62" s="506"/>
      <c r="AC62" s="31">
        <v>0</v>
      </c>
      <c r="AD62" s="31">
        <f>SUM(AD51:AD61)</f>
        <v>0</v>
      </c>
      <c r="AE62" s="19">
        <f t="shared" si="8"/>
        <v>-110.3751182701485</v>
      </c>
      <c r="AF62" s="158">
        <f t="shared" si="9"/>
        <v>0.9608346354525279</v>
      </c>
      <c r="AG62" s="511"/>
    </row>
    <row r="63" spans="1:33" ht="15.75" customHeight="1">
      <c r="A63" s="507" t="s">
        <v>790</v>
      </c>
      <c r="B63" s="42" t="s">
        <v>100</v>
      </c>
      <c r="C63" s="490" t="s">
        <v>101</v>
      </c>
      <c r="D63" s="490"/>
      <c r="E63" s="42">
        <v>46</v>
      </c>
      <c r="F63" s="46">
        <v>1490</v>
      </c>
      <c r="G63" s="159">
        <f t="shared" ref="G63:G69" si="35">E63*F63</f>
        <v>68540</v>
      </c>
      <c r="H63" s="125" t="s">
        <v>79</v>
      </c>
      <c r="I63" s="168">
        <v>17</v>
      </c>
      <c r="J63" s="37">
        <v>2000</v>
      </c>
      <c r="K63" s="17">
        <f t="shared" si="1"/>
        <v>117.64705882352941</v>
      </c>
      <c r="L63" s="168">
        <v>17</v>
      </c>
      <c r="M63" s="18">
        <f t="shared" ref="M63:M69" si="36">F63/V63*60</f>
        <v>1943.4782608695652</v>
      </c>
      <c r="N63" s="18">
        <f t="shared" si="3"/>
        <v>114.3222506393862</v>
      </c>
      <c r="O63" s="19">
        <f t="shared" si="4"/>
        <v>0</v>
      </c>
      <c r="P63" s="20">
        <f t="shared" si="5"/>
        <v>-3.3248081841432082</v>
      </c>
      <c r="Q63" s="158">
        <f t="shared" si="6"/>
        <v>0.97173913043478277</v>
      </c>
      <c r="R63" s="489">
        <f>Q70</f>
        <v>0.92530264377455529</v>
      </c>
      <c r="S63" s="40">
        <v>0.20833333333333334</v>
      </c>
      <c r="T63" s="40">
        <v>0.24027777777777778</v>
      </c>
      <c r="U63" s="28"/>
      <c r="V63" s="169">
        <f t="shared" ref="V63:V69" si="37">(T63-S63)*24*60</f>
        <v>46</v>
      </c>
      <c r="W63" s="28"/>
      <c r="X63" s="28"/>
      <c r="Y63" s="28"/>
      <c r="Z63" s="28"/>
      <c r="AA63" s="491"/>
      <c r="AB63" s="491"/>
      <c r="AC63" s="154">
        <v>4</v>
      </c>
      <c r="AD63" s="25"/>
      <c r="AE63" s="19">
        <f t="shared" si="8"/>
        <v>-56.521739130434753</v>
      </c>
      <c r="AF63" s="158">
        <f t="shared" si="9"/>
        <v>0.97173913043478266</v>
      </c>
      <c r="AG63" s="489">
        <f>AF70</f>
        <v>0.9253026437745554</v>
      </c>
    </row>
    <row r="64" spans="1:33" ht="15.75" customHeight="1">
      <c r="A64" s="507" t="s">
        <v>790</v>
      </c>
      <c r="B64" s="42" t="s">
        <v>100</v>
      </c>
      <c r="C64" s="490" t="s">
        <v>102</v>
      </c>
      <c r="D64" s="490"/>
      <c r="E64" s="42">
        <v>46</v>
      </c>
      <c r="F64" s="46">
        <v>1613</v>
      </c>
      <c r="G64" s="159">
        <f t="shared" si="35"/>
        <v>74198</v>
      </c>
      <c r="H64" s="125" t="s">
        <v>79</v>
      </c>
      <c r="I64" s="168">
        <v>17</v>
      </c>
      <c r="J64" s="37">
        <v>2000</v>
      </c>
      <c r="K64" s="17">
        <f t="shared" si="1"/>
        <v>117.64705882352941</v>
      </c>
      <c r="L64" s="168">
        <v>17</v>
      </c>
      <c r="M64" s="18">
        <f t="shared" si="36"/>
        <v>1935.599999999999</v>
      </c>
      <c r="N64" s="18">
        <f t="shared" si="3"/>
        <v>113.85882352941171</v>
      </c>
      <c r="O64" s="19">
        <f t="shared" si="4"/>
        <v>0</v>
      </c>
      <c r="P64" s="20">
        <f t="shared" si="5"/>
        <v>-3.7882352941176975</v>
      </c>
      <c r="Q64" s="158">
        <f t="shared" si="6"/>
        <v>0.96779999999999955</v>
      </c>
      <c r="R64" s="489"/>
      <c r="S64" s="40">
        <v>0.24374999999999999</v>
      </c>
      <c r="T64" s="40">
        <v>0.27847222222222223</v>
      </c>
      <c r="U64" s="159">
        <f t="shared" ref="U64:U69" si="38">IF(S64=TIME(17,0,0),"",(S64-T63)*24*60)</f>
        <v>4.9999999999999822</v>
      </c>
      <c r="V64" s="169">
        <f t="shared" si="37"/>
        <v>50.000000000000021</v>
      </c>
      <c r="W64" s="23"/>
      <c r="X64" s="23"/>
      <c r="Y64" s="23"/>
      <c r="Z64" s="23"/>
      <c r="AA64" s="491"/>
      <c r="AB64" s="491"/>
      <c r="AC64" s="154"/>
      <c r="AD64" s="25"/>
      <c r="AE64" s="19">
        <f t="shared" si="8"/>
        <v>-64.400000000001</v>
      </c>
      <c r="AF64" s="158">
        <f t="shared" si="9"/>
        <v>0.96779999999999955</v>
      </c>
      <c r="AG64" s="489"/>
    </row>
    <row r="65" spans="1:33" ht="15.75" customHeight="1">
      <c r="A65" s="507" t="s">
        <v>790</v>
      </c>
      <c r="B65" s="42" t="s">
        <v>103</v>
      </c>
      <c r="C65" s="501" t="s">
        <v>105</v>
      </c>
      <c r="D65" s="502"/>
      <c r="E65" s="42">
        <v>56.43</v>
      </c>
      <c r="F65" s="46">
        <v>2163</v>
      </c>
      <c r="G65" s="159">
        <f t="shared" si="35"/>
        <v>122058.09</v>
      </c>
      <c r="H65" s="125" t="s">
        <v>79</v>
      </c>
      <c r="I65" s="168">
        <v>22</v>
      </c>
      <c r="J65" s="37">
        <v>2000</v>
      </c>
      <c r="K65" s="17">
        <f t="shared" si="1"/>
        <v>90.909090909090907</v>
      </c>
      <c r="L65" s="168">
        <v>22</v>
      </c>
      <c r="M65" s="18">
        <f t="shared" si="36"/>
        <v>1642.7848101265813</v>
      </c>
      <c r="N65" s="18">
        <f t="shared" si="3"/>
        <v>74.672036823935514</v>
      </c>
      <c r="O65" s="19">
        <f t="shared" si="4"/>
        <v>0</v>
      </c>
      <c r="P65" s="20">
        <f t="shared" si="5"/>
        <v>-16.237054085155393</v>
      </c>
      <c r="Q65" s="158">
        <f t="shared" si="6"/>
        <v>0.8213924050632907</v>
      </c>
      <c r="R65" s="489"/>
      <c r="S65" s="40">
        <v>0.28263888888888888</v>
      </c>
      <c r="T65" s="40">
        <v>0.33750000000000002</v>
      </c>
      <c r="U65" s="159">
        <f t="shared" si="38"/>
        <v>5.9999999999999787</v>
      </c>
      <c r="V65" s="169">
        <f t="shared" si="37"/>
        <v>79.000000000000043</v>
      </c>
      <c r="W65" s="23"/>
      <c r="X65" s="23"/>
      <c r="Y65" s="26"/>
      <c r="Z65" s="26"/>
      <c r="AA65" s="491"/>
      <c r="AB65" s="491"/>
      <c r="AC65" s="154"/>
      <c r="AD65" s="25"/>
      <c r="AE65" s="19">
        <f t="shared" si="8"/>
        <v>-357.21518987341869</v>
      </c>
      <c r="AF65" s="158">
        <f t="shared" si="9"/>
        <v>0.8213924050632907</v>
      </c>
      <c r="AG65" s="489"/>
    </row>
    <row r="66" spans="1:33" ht="15.75" customHeight="1">
      <c r="A66" s="507" t="s">
        <v>790</v>
      </c>
      <c r="B66" s="42" t="s">
        <v>103</v>
      </c>
      <c r="C66" s="163" t="s">
        <v>518</v>
      </c>
      <c r="D66" s="164"/>
      <c r="E66" s="42">
        <v>49.44</v>
      </c>
      <c r="F66" s="46">
        <v>2520</v>
      </c>
      <c r="G66" s="159">
        <f t="shared" si="35"/>
        <v>124588.79999999999</v>
      </c>
      <c r="H66" s="125" t="s">
        <v>79</v>
      </c>
      <c r="I66" s="168">
        <v>25</v>
      </c>
      <c r="J66" s="37">
        <v>2000</v>
      </c>
      <c r="K66" s="17">
        <f t="shared" si="1"/>
        <v>80</v>
      </c>
      <c r="L66" s="168">
        <v>25</v>
      </c>
      <c r="M66" s="18">
        <f t="shared" si="36"/>
        <v>1680</v>
      </c>
      <c r="N66" s="18">
        <f t="shared" si="3"/>
        <v>67.2</v>
      </c>
      <c r="O66" s="19">
        <f t="shared" si="4"/>
        <v>0</v>
      </c>
      <c r="P66" s="20">
        <f t="shared" si="5"/>
        <v>-12.799999999999997</v>
      </c>
      <c r="Q66" s="158">
        <f t="shared" si="6"/>
        <v>0.84000000000000008</v>
      </c>
      <c r="R66" s="489"/>
      <c r="S66" s="40">
        <v>0.34166666666666667</v>
      </c>
      <c r="T66" s="40">
        <v>0.40416666666666667</v>
      </c>
      <c r="U66" s="159">
        <f t="shared" si="38"/>
        <v>5.9999999999999787</v>
      </c>
      <c r="V66" s="169">
        <f t="shared" si="37"/>
        <v>90</v>
      </c>
      <c r="W66" s="23"/>
      <c r="X66" s="23"/>
      <c r="Y66" s="26"/>
      <c r="Z66" s="26"/>
      <c r="AA66" s="491"/>
      <c r="AB66" s="491"/>
      <c r="AC66" s="154"/>
      <c r="AD66" s="25"/>
      <c r="AE66" s="19">
        <f t="shared" si="8"/>
        <v>-320</v>
      </c>
      <c r="AF66" s="158">
        <f t="shared" si="9"/>
        <v>0.84</v>
      </c>
      <c r="AG66" s="489"/>
    </row>
    <row r="67" spans="1:33" ht="15.75" customHeight="1">
      <c r="A67" s="507" t="s">
        <v>790</v>
      </c>
      <c r="B67" s="42" t="s">
        <v>103</v>
      </c>
      <c r="C67" s="163" t="s">
        <v>106</v>
      </c>
      <c r="D67" s="164"/>
      <c r="E67" s="42">
        <v>55.56</v>
      </c>
      <c r="F67" s="46">
        <v>1652</v>
      </c>
      <c r="G67" s="159">
        <f t="shared" si="35"/>
        <v>91785.12000000001</v>
      </c>
      <c r="H67" s="125" t="s">
        <v>79</v>
      </c>
      <c r="I67" s="168">
        <v>17</v>
      </c>
      <c r="J67" s="37">
        <v>2000</v>
      </c>
      <c r="K67" s="17">
        <f t="shared" si="1"/>
        <v>117.64705882352941</v>
      </c>
      <c r="L67" s="168">
        <v>17</v>
      </c>
      <c r="M67" s="18">
        <f t="shared" si="36"/>
        <v>1906.1538461538473</v>
      </c>
      <c r="N67" s="18">
        <f t="shared" si="3"/>
        <v>112.12669683257926</v>
      </c>
      <c r="O67" s="19">
        <f t="shared" si="4"/>
        <v>0</v>
      </c>
      <c r="P67" s="20">
        <f t="shared" si="5"/>
        <v>-5.5203619909501498</v>
      </c>
      <c r="Q67" s="158">
        <f t="shared" si="6"/>
        <v>0.95307692307692371</v>
      </c>
      <c r="R67" s="489"/>
      <c r="S67" s="40">
        <v>0.70833333333333337</v>
      </c>
      <c r="T67" s="40">
        <v>0.74444444444444446</v>
      </c>
      <c r="U67" s="159" t="str">
        <f t="shared" si="38"/>
        <v/>
      </c>
      <c r="V67" s="169">
        <f t="shared" si="37"/>
        <v>51.999999999999972</v>
      </c>
      <c r="W67" s="23"/>
      <c r="X67" s="23"/>
      <c r="Y67" s="26"/>
      <c r="Z67" s="26"/>
      <c r="AA67" s="491"/>
      <c r="AB67" s="491"/>
      <c r="AC67" s="154"/>
      <c r="AD67" s="25"/>
      <c r="AE67" s="19">
        <f t="shared" si="8"/>
        <v>-93.846153846152674</v>
      </c>
      <c r="AF67" s="158">
        <f t="shared" si="9"/>
        <v>0.95307692307692371</v>
      </c>
      <c r="AG67" s="489"/>
    </row>
    <row r="68" spans="1:33" ht="15.75" customHeight="1">
      <c r="A68" s="507" t="s">
        <v>790</v>
      </c>
      <c r="B68" s="42" t="s">
        <v>103</v>
      </c>
      <c r="C68" s="501" t="s">
        <v>107</v>
      </c>
      <c r="D68" s="502"/>
      <c r="E68" s="42">
        <v>55.32</v>
      </c>
      <c r="F68" s="46">
        <v>1228</v>
      </c>
      <c r="G68" s="159">
        <f t="shared" si="35"/>
        <v>67932.960000000006</v>
      </c>
      <c r="H68" s="125" t="s">
        <v>79</v>
      </c>
      <c r="I68" s="168">
        <v>15</v>
      </c>
      <c r="J68" s="37">
        <v>2000</v>
      </c>
      <c r="K68" s="17">
        <f t="shared" si="1"/>
        <v>133.33333333333334</v>
      </c>
      <c r="L68" s="168">
        <v>15</v>
      </c>
      <c r="M68" s="18">
        <f t="shared" si="36"/>
        <v>1938.9473684210511</v>
      </c>
      <c r="N68" s="18">
        <f t="shared" si="3"/>
        <v>129.26315789473674</v>
      </c>
      <c r="O68" s="19">
        <f t="shared" si="4"/>
        <v>0</v>
      </c>
      <c r="P68" s="20">
        <f t="shared" si="5"/>
        <v>-4.0701754385966069</v>
      </c>
      <c r="Q68" s="158">
        <f t="shared" si="6"/>
        <v>0.96947368421052549</v>
      </c>
      <c r="R68" s="489"/>
      <c r="S68" s="40">
        <v>0.74930555555555556</v>
      </c>
      <c r="T68" s="40">
        <v>0.77569444444444446</v>
      </c>
      <c r="U68" s="159">
        <f t="shared" si="38"/>
        <v>6.9999999999999751</v>
      </c>
      <c r="V68" s="169">
        <f t="shared" si="37"/>
        <v>38.000000000000028</v>
      </c>
      <c r="W68" s="23"/>
      <c r="X68" s="23"/>
      <c r="Y68" s="26"/>
      <c r="Z68" s="26"/>
      <c r="AA68" s="503"/>
      <c r="AB68" s="504"/>
      <c r="AC68" s="154"/>
      <c r="AD68" s="25"/>
      <c r="AE68" s="19">
        <f t="shared" si="8"/>
        <v>-61.052631578948876</v>
      </c>
      <c r="AF68" s="158">
        <f t="shared" si="9"/>
        <v>0.9694736842105256</v>
      </c>
      <c r="AG68" s="489"/>
    </row>
    <row r="69" spans="1:33" ht="15.75" customHeight="1">
      <c r="A69" s="507" t="s">
        <v>790</v>
      </c>
      <c r="B69" s="42" t="s">
        <v>103</v>
      </c>
      <c r="C69" s="501" t="s">
        <v>516</v>
      </c>
      <c r="D69" s="502"/>
      <c r="E69" s="42">
        <v>50.67</v>
      </c>
      <c r="F69" s="46">
        <v>2098</v>
      </c>
      <c r="G69" s="159">
        <f t="shared" si="35"/>
        <v>106305.66</v>
      </c>
      <c r="H69" s="125" t="s">
        <v>79</v>
      </c>
      <c r="I69" s="168">
        <v>16</v>
      </c>
      <c r="J69" s="37">
        <v>2000</v>
      </c>
      <c r="K69" s="17">
        <f t="shared" ref="K69:K81" si="39">J69/I69</f>
        <v>125</v>
      </c>
      <c r="L69" s="168">
        <v>16</v>
      </c>
      <c r="M69" s="18">
        <f t="shared" si="36"/>
        <v>1907.2727272727293</v>
      </c>
      <c r="N69" s="18">
        <f t="shared" ref="N69:N81" si="40">M69/L69</f>
        <v>119.20454545454558</v>
      </c>
      <c r="O69" s="19">
        <f t="shared" ref="O69:O81" si="41">L69-I69</f>
        <v>0</v>
      </c>
      <c r="P69" s="20">
        <f t="shared" ref="P69:P81" si="42">N69-K69</f>
        <v>-5.7954545454544188</v>
      </c>
      <c r="Q69" s="158">
        <f t="shared" ref="Q69:Q81" si="43">N69/K69</f>
        <v>0.95363636363636461</v>
      </c>
      <c r="R69" s="489"/>
      <c r="S69" s="40">
        <v>0.77916666666666667</v>
      </c>
      <c r="T69" s="40">
        <v>0.82499999999999996</v>
      </c>
      <c r="U69" s="159">
        <f t="shared" si="38"/>
        <v>4.9999999999999822</v>
      </c>
      <c r="V69" s="169">
        <f t="shared" si="37"/>
        <v>65.999999999999929</v>
      </c>
      <c r="W69" s="23"/>
      <c r="X69" s="23"/>
      <c r="Y69" s="26"/>
      <c r="Z69" s="26"/>
      <c r="AA69" s="503"/>
      <c r="AB69" s="504"/>
      <c r="AC69" s="154"/>
      <c r="AD69" s="25"/>
      <c r="AE69" s="19">
        <f t="shared" ref="AE69:AE81" si="44">M69-J69</f>
        <v>-92.727272727270702</v>
      </c>
      <c r="AF69" s="158">
        <f t="shared" ref="AF69:AF81" si="45">M69/J69</f>
        <v>0.95363636363636461</v>
      </c>
      <c r="AG69" s="489"/>
    </row>
    <row r="70" spans="1:33">
      <c r="A70" s="508" t="s">
        <v>790</v>
      </c>
      <c r="B70" s="42" t="s">
        <v>785</v>
      </c>
      <c r="C70" s="494"/>
      <c r="D70" s="494"/>
      <c r="E70" s="161"/>
      <c r="F70" s="44"/>
      <c r="G70" s="17"/>
      <c r="H70" s="170"/>
      <c r="I70" s="30">
        <v>18.571428571428573</v>
      </c>
      <c r="J70" s="37">
        <v>2000</v>
      </c>
      <c r="K70" s="17">
        <f t="shared" si="39"/>
        <v>107.69230769230768</v>
      </c>
      <c r="L70" s="30">
        <v>18.571428571428573</v>
      </c>
      <c r="M70" s="18">
        <f>AVERAGE(M63:M69)</f>
        <v>1850.6052875491107</v>
      </c>
      <c r="N70" s="17">
        <f t="shared" si="40"/>
        <v>99.647977021875178</v>
      </c>
      <c r="O70" s="19">
        <f t="shared" si="41"/>
        <v>0</v>
      </c>
      <c r="P70" s="20">
        <f t="shared" si="42"/>
        <v>-8.0443306704325011</v>
      </c>
      <c r="Q70" s="158">
        <f t="shared" si="43"/>
        <v>0.92530264377455529</v>
      </c>
      <c r="R70" s="489"/>
      <c r="S70" s="41"/>
      <c r="T70" s="40"/>
      <c r="U70" s="17"/>
      <c r="V70" s="169"/>
      <c r="W70" s="17"/>
      <c r="X70" s="17"/>
      <c r="Y70" s="31">
        <f>SUM(Y63:Y69)</f>
        <v>0</v>
      </c>
      <c r="Z70" s="31">
        <f>SUM(Z63:Z69)</f>
        <v>0</v>
      </c>
      <c r="AA70" s="495"/>
      <c r="AB70" s="495"/>
      <c r="AC70" s="31">
        <v>4</v>
      </c>
      <c r="AD70" s="31">
        <f>SUM(AD63:AD69)</f>
        <v>0</v>
      </c>
      <c r="AE70" s="19">
        <f t="shared" si="44"/>
        <v>-149.3947124508893</v>
      </c>
      <c r="AF70" s="158">
        <f t="shared" si="45"/>
        <v>0.9253026437745554</v>
      </c>
      <c r="AG70" s="489"/>
    </row>
    <row r="71" spans="1:33" ht="15.75" customHeight="1">
      <c r="A71" s="499" t="s">
        <v>791</v>
      </c>
      <c r="B71" s="170" t="s">
        <v>100</v>
      </c>
      <c r="C71" s="490" t="s">
        <v>109</v>
      </c>
      <c r="D71" s="490"/>
      <c r="E71" s="42">
        <v>26.97</v>
      </c>
      <c r="F71" s="46">
        <v>2209</v>
      </c>
      <c r="G71" s="159">
        <f t="shared" ref="G71:G74" si="46">E71*F71</f>
        <v>59576.729999999996</v>
      </c>
      <c r="H71" s="125" t="s">
        <v>79</v>
      </c>
      <c r="I71" s="168">
        <v>8</v>
      </c>
      <c r="J71" s="37">
        <v>1500</v>
      </c>
      <c r="K71" s="17">
        <f t="shared" si="39"/>
        <v>187.5</v>
      </c>
      <c r="L71" s="168">
        <v>8</v>
      </c>
      <c r="M71" s="18">
        <f t="shared" ref="M71:M74" si="47">F71/V71*60</f>
        <v>1440.652173913043</v>
      </c>
      <c r="N71" s="17">
        <f t="shared" si="40"/>
        <v>180.08152173913038</v>
      </c>
      <c r="O71" s="19">
        <f t="shared" si="41"/>
        <v>0</v>
      </c>
      <c r="P71" s="20">
        <f t="shared" si="42"/>
        <v>-7.4184782608696196</v>
      </c>
      <c r="Q71" s="158">
        <f t="shared" si="43"/>
        <v>0.96043478260869541</v>
      </c>
      <c r="R71" s="489">
        <f>Q75</f>
        <v>0.96232227738284359</v>
      </c>
      <c r="S71" s="40">
        <v>0.20833333333333334</v>
      </c>
      <c r="T71" s="40">
        <v>0.27222222222222225</v>
      </c>
      <c r="U71" s="159"/>
      <c r="V71" s="169">
        <f t="shared" ref="V71:V74" si="48">(T71-S71)*24*60</f>
        <v>92.000000000000028</v>
      </c>
      <c r="W71" s="28"/>
      <c r="X71" s="28"/>
      <c r="Y71" s="28"/>
      <c r="Z71" s="28"/>
      <c r="AA71" s="491"/>
      <c r="AB71" s="491"/>
      <c r="AC71" s="154" t="s">
        <v>79</v>
      </c>
      <c r="AD71" s="25"/>
      <c r="AE71" s="19">
        <f t="shared" si="44"/>
        <v>-59.347826086956957</v>
      </c>
      <c r="AF71" s="158">
        <f t="shared" si="45"/>
        <v>0.96043478260869541</v>
      </c>
      <c r="AG71" s="489">
        <f>AF75</f>
        <v>0.96232227738284359</v>
      </c>
    </row>
    <row r="72" spans="1:33" ht="15.75" customHeight="1">
      <c r="A72" s="499" t="s">
        <v>791</v>
      </c>
      <c r="B72" s="170" t="s">
        <v>93</v>
      </c>
      <c r="C72" s="490" t="s">
        <v>110</v>
      </c>
      <c r="D72" s="490"/>
      <c r="E72" s="42">
        <v>26.78</v>
      </c>
      <c r="F72" s="46">
        <v>2694</v>
      </c>
      <c r="G72" s="159">
        <f t="shared" si="46"/>
        <v>72145.320000000007</v>
      </c>
      <c r="H72" s="125" t="s">
        <v>79</v>
      </c>
      <c r="I72" s="168">
        <v>10</v>
      </c>
      <c r="J72" s="37">
        <v>3000</v>
      </c>
      <c r="K72" s="17">
        <f t="shared" si="39"/>
        <v>300</v>
      </c>
      <c r="L72" s="168">
        <v>10</v>
      </c>
      <c r="M72" s="18">
        <f t="shared" si="47"/>
        <v>2886.4285714285738</v>
      </c>
      <c r="N72" s="17">
        <f t="shared" si="40"/>
        <v>288.64285714285739</v>
      </c>
      <c r="O72" s="19">
        <f t="shared" si="41"/>
        <v>0</v>
      </c>
      <c r="P72" s="20">
        <f t="shared" si="42"/>
        <v>-11.357142857142605</v>
      </c>
      <c r="Q72" s="158">
        <f t="shared" si="43"/>
        <v>0.96214285714285797</v>
      </c>
      <c r="R72" s="489"/>
      <c r="S72" s="40">
        <v>0.27708333333333335</v>
      </c>
      <c r="T72" s="40">
        <v>0.31597222222222221</v>
      </c>
      <c r="U72" s="159">
        <f t="shared" ref="U72:U74" si="49">(S72-T71)*24*60</f>
        <v>6.9999999999999751</v>
      </c>
      <c r="V72" s="169">
        <f t="shared" si="48"/>
        <v>55.999999999999957</v>
      </c>
      <c r="W72" s="159"/>
      <c r="X72" s="159"/>
      <c r="Y72" s="159"/>
      <c r="Z72" s="159"/>
      <c r="AA72" s="491"/>
      <c r="AB72" s="491"/>
      <c r="AC72" s="154" t="s">
        <v>79</v>
      </c>
      <c r="AD72" s="25"/>
      <c r="AE72" s="19">
        <f t="shared" si="44"/>
        <v>-113.57142857142617</v>
      </c>
      <c r="AF72" s="158">
        <f t="shared" si="45"/>
        <v>0.96214285714285797</v>
      </c>
      <c r="AG72" s="489"/>
    </row>
    <row r="73" spans="1:33" ht="15.75" customHeight="1">
      <c r="A73" s="499" t="s">
        <v>791</v>
      </c>
      <c r="B73" s="170" t="s">
        <v>93</v>
      </c>
      <c r="C73" s="490" t="s">
        <v>111</v>
      </c>
      <c r="D73" s="490"/>
      <c r="E73" s="42">
        <v>37.880000000000003</v>
      </c>
      <c r="F73" s="46">
        <v>2561</v>
      </c>
      <c r="G73" s="159">
        <f t="shared" si="46"/>
        <v>97010.680000000008</v>
      </c>
      <c r="H73" s="125" t="s">
        <v>79</v>
      </c>
      <c r="I73" s="168">
        <v>10</v>
      </c>
      <c r="J73" s="37">
        <v>3000</v>
      </c>
      <c r="K73" s="17">
        <f t="shared" si="39"/>
        <v>300</v>
      </c>
      <c r="L73" s="168">
        <v>10</v>
      </c>
      <c r="M73" s="18">
        <f t="shared" si="47"/>
        <v>2899.2452830188695</v>
      </c>
      <c r="N73" s="17">
        <f t="shared" si="40"/>
        <v>289.92452830188694</v>
      </c>
      <c r="O73" s="19">
        <f t="shared" si="41"/>
        <v>0</v>
      </c>
      <c r="P73" s="20">
        <f t="shared" si="42"/>
        <v>-10.075471698113063</v>
      </c>
      <c r="Q73" s="158">
        <f t="shared" si="43"/>
        <v>0.96641509433962314</v>
      </c>
      <c r="R73" s="489"/>
      <c r="S73" s="40">
        <v>0.3208333333333333</v>
      </c>
      <c r="T73" s="40">
        <v>0.35763888888888884</v>
      </c>
      <c r="U73" s="159">
        <f t="shared" si="49"/>
        <v>6.9999999999999751</v>
      </c>
      <c r="V73" s="169">
        <f t="shared" si="48"/>
        <v>52.999999999999972</v>
      </c>
      <c r="W73" s="159"/>
      <c r="X73" s="159"/>
      <c r="Y73" s="159"/>
      <c r="Z73" s="159"/>
      <c r="AA73" s="491"/>
      <c r="AB73" s="491"/>
      <c r="AC73" s="154" t="s">
        <v>79</v>
      </c>
      <c r="AD73" s="25"/>
      <c r="AE73" s="19">
        <f t="shared" si="44"/>
        <v>-100.75471698113051</v>
      </c>
      <c r="AF73" s="158">
        <f t="shared" si="45"/>
        <v>0.96641509433962314</v>
      </c>
      <c r="AG73" s="489"/>
    </row>
    <row r="74" spans="1:33" ht="15.75" customHeight="1">
      <c r="A74" s="499" t="s">
        <v>791</v>
      </c>
      <c r="B74" s="170" t="s">
        <v>100</v>
      </c>
      <c r="C74" s="490" t="s">
        <v>519</v>
      </c>
      <c r="D74" s="490"/>
      <c r="E74" s="42">
        <v>26.13</v>
      </c>
      <c r="F74" s="46">
        <v>4495</v>
      </c>
      <c r="G74" s="159">
        <f t="shared" si="46"/>
        <v>117454.34999999999</v>
      </c>
      <c r="H74" s="125" t="s">
        <v>79</v>
      </c>
      <c r="I74" s="168">
        <v>10</v>
      </c>
      <c r="J74" s="37">
        <v>1500</v>
      </c>
      <c r="K74" s="17">
        <f t="shared" si="39"/>
        <v>150</v>
      </c>
      <c r="L74" s="168">
        <v>10</v>
      </c>
      <c r="M74" s="18">
        <f t="shared" si="47"/>
        <v>1434.5744680851067</v>
      </c>
      <c r="N74" s="17">
        <f t="shared" si="40"/>
        <v>143.45744680851067</v>
      </c>
      <c r="O74" s="19">
        <f t="shared" si="41"/>
        <v>0</v>
      </c>
      <c r="P74" s="20">
        <f t="shared" si="42"/>
        <v>-6.5425531914893327</v>
      </c>
      <c r="Q74" s="158">
        <f t="shared" si="43"/>
        <v>0.9563829787234045</v>
      </c>
      <c r="R74" s="489"/>
      <c r="S74" s="40">
        <v>0.36111111111111105</v>
      </c>
      <c r="T74" s="40">
        <v>0.49166666666666659</v>
      </c>
      <c r="U74" s="159">
        <f t="shared" si="49"/>
        <v>4.9999999999999822</v>
      </c>
      <c r="V74" s="169">
        <f t="shared" si="48"/>
        <v>187.99999999999997</v>
      </c>
      <c r="W74" s="159"/>
      <c r="X74" s="159"/>
      <c r="Y74" s="159"/>
      <c r="Z74" s="159"/>
      <c r="AA74" s="491"/>
      <c r="AB74" s="491"/>
      <c r="AC74" s="154">
        <v>1</v>
      </c>
      <c r="AD74" s="25"/>
      <c r="AE74" s="19">
        <f t="shared" si="44"/>
        <v>-65.425531914893327</v>
      </c>
      <c r="AF74" s="158">
        <f t="shared" si="45"/>
        <v>0.9563829787234045</v>
      </c>
      <c r="AG74" s="489"/>
    </row>
    <row r="75" spans="1:33">
      <c r="A75" s="500" t="s">
        <v>791</v>
      </c>
      <c r="B75" s="42" t="s">
        <v>785</v>
      </c>
      <c r="C75" s="494"/>
      <c r="D75" s="494"/>
      <c r="E75" s="161"/>
      <c r="F75" s="44"/>
      <c r="G75" s="17"/>
      <c r="H75" s="170"/>
      <c r="I75" s="30">
        <v>9</v>
      </c>
      <c r="J75" s="37">
        <v>2250</v>
      </c>
      <c r="K75" s="17">
        <f t="shared" si="39"/>
        <v>250</v>
      </c>
      <c r="L75" s="30">
        <v>9</v>
      </c>
      <c r="M75" s="18">
        <f>AVERAGE(M71:M74)</f>
        <v>2165.2251241113981</v>
      </c>
      <c r="N75" s="17">
        <f t="shared" si="40"/>
        <v>240.5805693457109</v>
      </c>
      <c r="O75" s="19">
        <f t="shared" si="41"/>
        <v>0</v>
      </c>
      <c r="P75" s="20">
        <f t="shared" si="42"/>
        <v>-9.4194306542891013</v>
      </c>
      <c r="Q75" s="158">
        <f t="shared" si="43"/>
        <v>0.96232227738284359</v>
      </c>
      <c r="R75" s="489"/>
      <c r="S75" s="40"/>
      <c r="T75" s="40"/>
      <c r="U75" s="17"/>
      <c r="V75" s="169"/>
      <c r="W75" s="17"/>
      <c r="X75" s="17"/>
      <c r="Y75" s="31">
        <f>SUM(Y71:Y74)</f>
        <v>0</v>
      </c>
      <c r="Z75" s="31">
        <f>SUM(Z71:Z74)</f>
        <v>0</v>
      </c>
      <c r="AA75" s="495"/>
      <c r="AB75" s="495"/>
      <c r="AC75" s="31">
        <v>1</v>
      </c>
      <c r="AD75" s="31">
        <f>SUM(AD71:AD74)</f>
        <v>0</v>
      </c>
      <c r="AE75" s="19">
        <f t="shared" si="44"/>
        <v>-84.774875888601855</v>
      </c>
      <c r="AF75" s="158">
        <f t="shared" si="45"/>
        <v>0.96232227738284359</v>
      </c>
      <c r="AG75" s="489"/>
    </row>
    <row r="76" spans="1:33" ht="15.75" customHeight="1">
      <c r="A76" s="496" t="s">
        <v>792</v>
      </c>
      <c r="B76" s="170" t="s">
        <v>80</v>
      </c>
      <c r="C76" s="490" t="s">
        <v>115</v>
      </c>
      <c r="D76" s="490"/>
      <c r="E76" s="42">
        <v>20.2</v>
      </c>
      <c r="F76" s="170">
        <v>2292</v>
      </c>
      <c r="G76" s="159">
        <f t="shared" ref="G76:G80" si="50">E76*F76</f>
        <v>46298.400000000001</v>
      </c>
      <c r="H76" s="125" t="s">
        <v>79</v>
      </c>
      <c r="I76" s="168">
        <v>19</v>
      </c>
      <c r="J76" s="37">
        <v>2400</v>
      </c>
      <c r="K76" s="17">
        <f t="shared" si="39"/>
        <v>126.31578947368421</v>
      </c>
      <c r="L76" s="168">
        <v>19</v>
      </c>
      <c r="M76" s="18">
        <f t="shared" ref="M76:M80" si="51">F76/V76*60</f>
        <v>2292</v>
      </c>
      <c r="N76" s="17">
        <f t="shared" si="40"/>
        <v>120.63157894736842</v>
      </c>
      <c r="O76" s="19">
        <f t="shared" si="41"/>
        <v>0</v>
      </c>
      <c r="P76" s="20">
        <f t="shared" si="42"/>
        <v>-5.6842105263157805</v>
      </c>
      <c r="Q76" s="158">
        <f t="shared" si="43"/>
        <v>0.95500000000000007</v>
      </c>
      <c r="R76" s="489">
        <f>Q81</f>
        <v>0.95577225265156329</v>
      </c>
      <c r="S76" s="40">
        <v>8.3333333333333329E-2</v>
      </c>
      <c r="T76" s="40">
        <v>0.125</v>
      </c>
      <c r="U76" s="28"/>
      <c r="V76" s="169">
        <f t="shared" ref="V76:V80" si="52">(T76-S76)*24*60</f>
        <v>60</v>
      </c>
      <c r="W76" s="23">
        <f>T76</f>
        <v>0.125</v>
      </c>
      <c r="X76" s="23">
        <f>S77</f>
        <v>0.14444444444444443</v>
      </c>
      <c r="Y76" s="23"/>
      <c r="Z76" s="23"/>
      <c r="AA76" s="491"/>
      <c r="AB76" s="491"/>
      <c r="AC76" s="154">
        <v>7</v>
      </c>
      <c r="AD76" s="25"/>
      <c r="AE76" s="19">
        <f t="shared" si="44"/>
        <v>-108</v>
      </c>
      <c r="AF76" s="158">
        <f t="shared" si="45"/>
        <v>0.95499999999999996</v>
      </c>
      <c r="AG76" s="489">
        <f>AF81</f>
        <v>0.95577225265156318</v>
      </c>
    </row>
    <row r="77" spans="1:33" ht="15.75" customHeight="1">
      <c r="A77" s="497" t="s">
        <v>792</v>
      </c>
      <c r="B77" s="170" t="s">
        <v>80</v>
      </c>
      <c r="C77" s="490" t="s">
        <v>116</v>
      </c>
      <c r="D77" s="490"/>
      <c r="E77" s="42">
        <v>20.52</v>
      </c>
      <c r="F77" s="170">
        <v>3001</v>
      </c>
      <c r="G77" s="159">
        <f t="shared" si="50"/>
        <v>61580.52</v>
      </c>
      <c r="H77" s="125" t="s">
        <v>79</v>
      </c>
      <c r="I77" s="168">
        <v>18</v>
      </c>
      <c r="J77" s="37">
        <v>2400</v>
      </c>
      <c r="K77" s="17">
        <f t="shared" si="39"/>
        <v>133.33333333333334</v>
      </c>
      <c r="L77" s="168">
        <v>18</v>
      </c>
      <c r="M77" s="18">
        <f t="shared" si="51"/>
        <v>2308.4615384615381</v>
      </c>
      <c r="N77" s="17">
        <f t="shared" si="40"/>
        <v>128.24786324786322</v>
      </c>
      <c r="O77" s="19">
        <f t="shared" si="41"/>
        <v>0</v>
      </c>
      <c r="P77" s="20">
        <f t="shared" si="42"/>
        <v>-5.0854700854701207</v>
      </c>
      <c r="Q77" s="158">
        <f t="shared" si="43"/>
        <v>0.96185897435897405</v>
      </c>
      <c r="R77" s="489"/>
      <c r="S77" s="40">
        <v>0.14444444444444443</v>
      </c>
      <c r="T77" s="40">
        <v>0.1986111111111111</v>
      </c>
      <c r="U77" s="159">
        <f t="shared" ref="U77:U80" si="53">(S77-T76)*24*60</f>
        <v>27.999999999999979</v>
      </c>
      <c r="V77" s="169">
        <f t="shared" si="52"/>
        <v>78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4"/>
        <v>-91.538461538461888</v>
      </c>
      <c r="AF77" s="158">
        <f t="shared" si="45"/>
        <v>0.96185897435897416</v>
      </c>
      <c r="AG77" s="489"/>
    </row>
    <row r="78" spans="1:33" ht="15.75" customHeight="1">
      <c r="A78" s="497" t="s">
        <v>792</v>
      </c>
      <c r="B78" s="170" t="s">
        <v>80</v>
      </c>
      <c r="C78" s="490" t="s">
        <v>117</v>
      </c>
      <c r="D78" s="490"/>
      <c r="E78" s="42">
        <v>24.43</v>
      </c>
      <c r="F78" s="170">
        <v>5524</v>
      </c>
      <c r="G78" s="159">
        <f t="shared" si="50"/>
        <v>134951.32</v>
      </c>
      <c r="H78" s="125" t="s">
        <v>79</v>
      </c>
      <c r="I78" s="168">
        <v>14</v>
      </c>
      <c r="J78" s="37">
        <v>2400</v>
      </c>
      <c r="K78" s="17">
        <f t="shared" si="39"/>
        <v>171.42857142857142</v>
      </c>
      <c r="L78" s="168">
        <v>14</v>
      </c>
      <c r="M78" s="18">
        <f t="shared" si="51"/>
        <v>2285.7931034482763</v>
      </c>
      <c r="N78" s="17">
        <f t="shared" si="40"/>
        <v>163.27093596059117</v>
      </c>
      <c r="O78" s="19">
        <f t="shared" si="41"/>
        <v>0</v>
      </c>
      <c r="P78" s="20">
        <f t="shared" si="42"/>
        <v>-8.1576354679802421</v>
      </c>
      <c r="Q78" s="158">
        <f t="shared" si="43"/>
        <v>0.95241379310344854</v>
      </c>
      <c r="R78" s="489"/>
      <c r="S78" s="40">
        <v>0.20347222222222222</v>
      </c>
      <c r="T78" s="40">
        <v>0.30416666666666664</v>
      </c>
      <c r="U78" s="159">
        <f t="shared" si="53"/>
        <v>7.0000000000000151</v>
      </c>
      <c r="V78" s="169">
        <f t="shared" si="52"/>
        <v>144.99999999999997</v>
      </c>
      <c r="W78" s="23"/>
      <c r="X78" s="23"/>
      <c r="Y78" s="23"/>
      <c r="Z78" s="23"/>
      <c r="AA78" s="491"/>
      <c r="AB78" s="491"/>
      <c r="AC78" s="154"/>
      <c r="AD78" s="25"/>
      <c r="AE78" s="19">
        <f t="shared" si="44"/>
        <v>-114.20689655172373</v>
      </c>
      <c r="AF78" s="158">
        <f t="shared" si="45"/>
        <v>0.95241379310344843</v>
      </c>
      <c r="AG78" s="489"/>
    </row>
    <row r="79" spans="1:33" ht="15.75" customHeight="1">
      <c r="A79" s="497" t="s">
        <v>792</v>
      </c>
      <c r="B79" s="170" t="s">
        <v>80</v>
      </c>
      <c r="C79" s="490" t="s">
        <v>118</v>
      </c>
      <c r="D79" s="490"/>
      <c r="E79" s="42">
        <v>20.21</v>
      </c>
      <c r="F79" s="170">
        <v>3779</v>
      </c>
      <c r="G79" s="159">
        <f t="shared" si="50"/>
        <v>76373.59</v>
      </c>
      <c r="H79" s="125" t="s">
        <v>79</v>
      </c>
      <c r="I79" s="168">
        <v>16</v>
      </c>
      <c r="J79" s="37">
        <v>2400</v>
      </c>
      <c r="K79" s="17">
        <f t="shared" si="39"/>
        <v>150</v>
      </c>
      <c r="L79" s="168">
        <v>16</v>
      </c>
      <c r="M79" s="18">
        <f t="shared" si="51"/>
        <v>2290.3030303030309</v>
      </c>
      <c r="N79" s="17">
        <f t="shared" si="40"/>
        <v>143.14393939393943</v>
      </c>
      <c r="O79" s="19">
        <f t="shared" si="41"/>
        <v>0</v>
      </c>
      <c r="P79" s="20">
        <f t="shared" si="42"/>
        <v>-6.8560606060605664</v>
      </c>
      <c r="Q79" s="158">
        <f t="shared" si="43"/>
        <v>0.95429292929292953</v>
      </c>
      <c r="R79" s="489"/>
      <c r="S79" s="40">
        <v>0.30902777777777773</v>
      </c>
      <c r="T79" s="40">
        <v>0.37777777777777771</v>
      </c>
      <c r="U79" s="159">
        <f t="shared" si="53"/>
        <v>6.9999999999999751</v>
      </c>
      <c r="V79" s="169">
        <f t="shared" si="52"/>
        <v>98.999999999999972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-109.69696969696906</v>
      </c>
      <c r="AF79" s="158">
        <f t="shared" si="45"/>
        <v>0.95429292929292953</v>
      </c>
      <c r="AG79" s="489"/>
    </row>
    <row r="80" spans="1:33" ht="15.75" customHeight="1">
      <c r="A80" s="497" t="s">
        <v>792</v>
      </c>
      <c r="B80" s="170" t="s">
        <v>80</v>
      </c>
      <c r="C80" s="490" t="s">
        <v>119</v>
      </c>
      <c r="D80" s="490"/>
      <c r="E80" s="42">
        <v>19.02</v>
      </c>
      <c r="F80" s="170">
        <v>7757</v>
      </c>
      <c r="G80" s="159">
        <f t="shared" si="50"/>
        <v>147538.13999999998</v>
      </c>
      <c r="H80" s="125" t="s">
        <v>79</v>
      </c>
      <c r="I80" s="168">
        <v>15</v>
      </c>
      <c r="J80" s="37">
        <v>2400</v>
      </c>
      <c r="K80" s="17">
        <f t="shared" si="39"/>
        <v>160</v>
      </c>
      <c r="L80" s="168">
        <v>15</v>
      </c>
      <c r="M80" s="18">
        <f t="shared" si="51"/>
        <v>2292.7093596059112</v>
      </c>
      <c r="N80" s="17">
        <f t="shared" si="40"/>
        <v>152.84729064039408</v>
      </c>
      <c r="O80" s="19">
        <f t="shared" si="41"/>
        <v>0</v>
      </c>
      <c r="P80" s="20">
        <f t="shared" si="42"/>
        <v>-7.1527093596059217</v>
      </c>
      <c r="Q80" s="158">
        <f t="shared" si="43"/>
        <v>0.95529556650246295</v>
      </c>
      <c r="R80" s="489"/>
      <c r="S80" s="40">
        <v>0.38124999999999992</v>
      </c>
      <c r="T80" s="40">
        <v>0.52222222222222214</v>
      </c>
      <c r="U80" s="159">
        <f t="shared" si="53"/>
        <v>4.9999999999999822</v>
      </c>
      <c r="V80" s="169">
        <f t="shared" si="52"/>
        <v>203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-107.29064039408877</v>
      </c>
      <c r="AF80" s="158">
        <f t="shared" si="45"/>
        <v>0.95529556650246306</v>
      </c>
      <c r="AG80" s="489"/>
    </row>
    <row r="81" spans="1:33" ht="16.5" customHeight="1">
      <c r="A81" s="498" t="s">
        <v>792</v>
      </c>
      <c r="B81" s="42" t="s">
        <v>785</v>
      </c>
      <c r="C81" s="492"/>
      <c r="D81" s="493"/>
      <c r="E81" s="161"/>
      <c r="F81" s="44"/>
      <c r="G81" s="17"/>
      <c r="H81" s="170"/>
      <c r="I81" s="30">
        <v>16.399999999999999</v>
      </c>
      <c r="J81" s="37">
        <v>2400</v>
      </c>
      <c r="K81" s="17">
        <f t="shared" si="39"/>
        <v>146.34146341463415</v>
      </c>
      <c r="L81" s="30">
        <v>16.399999999999999</v>
      </c>
      <c r="M81" s="18">
        <f>AVERAGE(M76:M80)</f>
        <v>2293.8534063637517</v>
      </c>
      <c r="N81" s="17">
        <f t="shared" si="40"/>
        <v>139.86911014413121</v>
      </c>
      <c r="O81" s="19">
        <f t="shared" si="41"/>
        <v>0</v>
      </c>
      <c r="P81" s="20">
        <f t="shared" si="42"/>
        <v>-6.4723532705029356</v>
      </c>
      <c r="Q81" s="158">
        <f t="shared" si="43"/>
        <v>0.95577225265156329</v>
      </c>
      <c r="R81" s="489"/>
      <c r="S81" s="40"/>
      <c r="T81" s="40"/>
      <c r="U81" s="17"/>
      <c r="V81" s="169"/>
      <c r="W81" s="17"/>
      <c r="X81" s="17"/>
      <c r="Y81" s="31">
        <f>SUM(Y76:Y80)</f>
        <v>0</v>
      </c>
      <c r="Z81" s="31">
        <f>SUM(Z76:Z80)</f>
        <v>0</v>
      </c>
      <c r="AA81" s="495"/>
      <c r="AB81" s="495"/>
      <c r="AC81" s="31">
        <v>7</v>
      </c>
      <c r="AD81" s="31">
        <f>SUM(AD76:AD80)</f>
        <v>0</v>
      </c>
      <c r="AE81" s="19">
        <f t="shared" si="44"/>
        <v>-106.14659363624833</v>
      </c>
      <c r="AF81" s="158">
        <f t="shared" si="45"/>
        <v>0.95577225265156318</v>
      </c>
      <c r="AG81" s="489"/>
    </row>
    <row r="82" spans="1:33">
      <c r="D82" s="33"/>
      <c r="E82" s="33"/>
      <c r="H82" s="38"/>
    </row>
  </sheetData>
  <mergeCells count="213">
    <mergeCell ref="A76:A81"/>
    <mergeCell ref="C76:D76"/>
    <mergeCell ref="R76:R81"/>
    <mergeCell ref="AA76:AB76"/>
    <mergeCell ref="AA81:AB81"/>
    <mergeCell ref="AG76:AG81"/>
    <mergeCell ref="C77:D77"/>
    <mergeCell ref="AA77:AB77"/>
    <mergeCell ref="C78:D78"/>
    <mergeCell ref="AA78:AB78"/>
    <mergeCell ref="C79:D79"/>
    <mergeCell ref="AA79:AB79"/>
    <mergeCell ref="C80:D80"/>
    <mergeCell ref="AA80:AB80"/>
    <mergeCell ref="C81:D81"/>
    <mergeCell ref="AG71:AG75"/>
    <mergeCell ref="C72:D72"/>
    <mergeCell ref="AA72:AB72"/>
    <mergeCell ref="C73:D73"/>
    <mergeCell ref="AA73:AB73"/>
    <mergeCell ref="AG63:AG70"/>
    <mergeCell ref="C64:D64"/>
    <mergeCell ref="AA64:AB64"/>
    <mergeCell ref="C65:D65"/>
    <mergeCell ref="AA65:AB65"/>
    <mergeCell ref="AA66:AB66"/>
    <mergeCell ref="AA67:AB67"/>
    <mergeCell ref="C68:D68"/>
    <mergeCell ref="AA68:AB68"/>
    <mergeCell ref="C69:D69"/>
    <mergeCell ref="C74:D74"/>
    <mergeCell ref="AA74:AB74"/>
    <mergeCell ref="C75:D75"/>
    <mergeCell ref="AA75:AB75"/>
    <mergeCell ref="A63:A70"/>
    <mergeCell ref="C63:D63"/>
    <mergeCell ref="R63:R70"/>
    <mergeCell ref="AA63:AB63"/>
    <mergeCell ref="AA69:AB69"/>
    <mergeCell ref="C70:D70"/>
    <mergeCell ref="AA70:AB70"/>
    <mergeCell ref="A71:A75"/>
    <mergeCell ref="C71:D71"/>
    <mergeCell ref="R71:R75"/>
    <mergeCell ref="AA71:AB71"/>
    <mergeCell ref="AG51:AG62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C61:D61"/>
    <mergeCell ref="AA61:AB61"/>
    <mergeCell ref="C62:D62"/>
    <mergeCell ref="AA62:AB62"/>
    <mergeCell ref="A51:A62"/>
    <mergeCell ref="C51:D51"/>
    <mergeCell ref="R51:R62"/>
    <mergeCell ref="AA51:AB51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43:A50"/>
    <mergeCell ref="C43:D43"/>
    <mergeCell ref="R43:R50"/>
    <mergeCell ref="AA43:AB43"/>
    <mergeCell ref="C49:D49"/>
    <mergeCell ref="AA49:AB49"/>
    <mergeCell ref="C50:D50"/>
    <mergeCell ref="AA50:AB50"/>
    <mergeCell ref="A36:A42"/>
    <mergeCell ref="C36:D36"/>
    <mergeCell ref="R36:R42"/>
    <mergeCell ref="AA36:AB36"/>
    <mergeCell ref="AA41:AB41"/>
    <mergeCell ref="C42:D42"/>
    <mergeCell ref="AG43:AG50"/>
    <mergeCell ref="C44:D44"/>
    <mergeCell ref="AA44:AB44"/>
    <mergeCell ref="C45:D45"/>
    <mergeCell ref="AA45:AB45"/>
    <mergeCell ref="AG36:AG42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C46:D46"/>
    <mergeCell ref="AA46:AB46"/>
    <mergeCell ref="C47:D47"/>
    <mergeCell ref="AA47:AB47"/>
    <mergeCell ref="C48:D48"/>
    <mergeCell ref="AA48:AB48"/>
    <mergeCell ref="AA42:AB42"/>
    <mergeCell ref="AG24:AG35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4:D34"/>
    <mergeCell ref="AA34:AB34"/>
    <mergeCell ref="C35:D35"/>
    <mergeCell ref="AA35:AB35"/>
    <mergeCell ref="C23:D23"/>
    <mergeCell ref="AA23:AB23"/>
    <mergeCell ref="A24:A35"/>
    <mergeCell ref="C24:D24"/>
    <mergeCell ref="R24:R35"/>
    <mergeCell ref="AA24:AB24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AG11:AG13"/>
    <mergeCell ref="C12:D12"/>
    <mergeCell ref="AA12:AB12"/>
    <mergeCell ref="C13:D13"/>
    <mergeCell ref="AA13:AB13"/>
    <mergeCell ref="A14:A23"/>
    <mergeCell ref="C14:D14"/>
    <mergeCell ref="R14:R23"/>
    <mergeCell ref="AA14:AB14"/>
    <mergeCell ref="AG14:AG23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70:O71 O74:O81 O5:O11 O13:O15 O62:O68 O23:O56">
    <cfRule type="cellIs" dxfId="697" priority="88" operator="greaterThan">
      <formula>0</formula>
    </cfRule>
  </conditionalFormatting>
  <conditionalFormatting sqref="P5:P9 P74 AE74 P76:P80 P36:P41 P71 P11 P13:P15 P24:P34 P63:P68 P43:P56 AE5:AE71 AE76:AE81">
    <cfRule type="cellIs" dxfId="696" priority="92" operator="lessThan">
      <formula>0</formula>
    </cfRule>
  </conditionalFormatting>
  <conditionalFormatting sqref="AF74 Q70:Q71 Q74:Q81 Q5:Q11 Q13:Q15 Q62:Q68 Q23:Q56 AF5:AF71 AF76:AF81">
    <cfRule type="cellIs" dxfId="695" priority="89" operator="greaterThan">
      <formula>1</formula>
    </cfRule>
    <cfRule type="cellIs" dxfId="694" priority="90" operator="lessThan">
      <formula>0.8</formula>
    </cfRule>
  </conditionalFormatting>
  <conditionalFormatting sqref="AG14:AG15 R14:R15 AG74 R23:R29 AG23:AG29 AG70:AG71 R70:R71 R74:R81 AG5:AG11 R5:R11 R35:R56 AG35:AG56 AG62:AG68 R62:R68">
    <cfRule type="cellIs" dxfId="693" priority="94" operator="lessThan">
      <formula>0.8</formula>
    </cfRule>
  </conditionalFormatting>
  <conditionalFormatting sqref="AG51">
    <cfRule type="cellIs" dxfId="692" priority="96" operator="lessThan">
      <formula>0.8</formula>
    </cfRule>
  </conditionalFormatting>
  <conditionalFormatting sqref="AG24:AG29">
    <cfRule type="cellIs" dxfId="691" priority="93" operator="lessThan">
      <formula>0.8</formula>
    </cfRule>
  </conditionalFormatting>
  <conditionalFormatting sqref="AG36">
    <cfRule type="cellIs" dxfId="690" priority="95" operator="lessThan">
      <formula>0.8</formula>
    </cfRule>
  </conditionalFormatting>
  <conditionalFormatting sqref="AG43:AG49">
    <cfRule type="cellIs" dxfId="689" priority="91" operator="lessThan">
      <formula>0.8</formula>
    </cfRule>
  </conditionalFormatting>
  <conditionalFormatting sqref="AE75">
    <cfRule type="cellIs" dxfId="688" priority="87" operator="lessThan">
      <formula>0</formula>
    </cfRule>
  </conditionalFormatting>
  <conditionalFormatting sqref="AF75">
    <cfRule type="cellIs" dxfId="687" priority="85" operator="greaterThan">
      <formula>1</formula>
    </cfRule>
    <cfRule type="cellIs" dxfId="686" priority="86" operator="lessThan">
      <formula>0.8</formula>
    </cfRule>
  </conditionalFormatting>
  <conditionalFormatting sqref="O16:O17">
    <cfRule type="cellIs" dxfId="685" priority="80" operator="greaterThan">
      <formula>0</formula>
    </cfRule>
  </conditionalFormatting>
  <conditionalFormatting sqref="P16:P17">
    <cfRule type="cellIs" dxfId="684" priority="83" operator="lessThan">
      <formula>0</formula>
    </cfRule>
  </conditionalFormatting>
  <conditionalFormatting sqref="Q16:Q17">
    <cfRule type="cellIs" dxfId="683" priority="81" operator="greaterThan">
      <formula>1</formula>
    </cfRule>
    <cfRule type="cellIs" dxfId="682" priority="82" operator="lessThan">
      <formula>0.8</formula>
    </cfRule>
  </conditionalFormatting>
  <conditionalFormatting sqref="R16:R17 AG16:AG17">
    <cfRule type="cellIs" dxfId="681" priority="84" operator="lessThan">
      <formula>0.8</formula>
    </cfRule>
  </conditionalFormatting>
  <conditionalFormatting sqref="O12">
    <cfRule type="cellIs" dxfId="680" priority="76" operator="greaterThan">
      <formula>0</formula>
    </cfRule>
  </conditionalFormatting>
  <conditionalFormatting sqref="P12">
    <cfRule type="cellIs" dxfId="679" priority="79" operator="lessThan">
      <formula>0</formula>
    </cfRule>
  </conditionalFormatting>
  <conditionalFormatting sqref="Q12">
    <cfRule type="cellIs" dxfId="678" priority="77" operator="greaterThan">
      <formula>1</formula>
    </cfRule>
    <cfRule type="cellIs" dxfId="677" priority="78" operator="lessThan">
      <formula>0.8</formula>
    </cfRule>
  </conditionalFormatting>
  <conditionalFormatting sqref="O69">
    <cfRule type="cellIs" dxfId="676" priority="71" operator="greaterThan">
      <formula>0</formula>
    </cfRule>
  </conditionalFormatting>
  <conditionalFormatting sqref="P69">
    <cfRule type="cellIs" dxfId="675" priority="74" operator="lessThan">
      <formula>0</formula>
    </cfRule>
  </conditionalFormatting>
  <conditionalFormatting sqref="Q69">
    <cfRule type="cellIs" dxfId="674" priority="72" operator="greaterThan">
      <formula>1</formula>
    </cfRule>
    <cfRule type="cellIs" dxfId="673" priority="73" operator="lessThan">
      <formula>0.8</formula>
    </cfRule>
  </conditionalFormatting>
  <conditionalFormatting sqref="R69 AG69">
    <cfRule type="cellIs" dxfId="672" priority="75" operator="lessThan">
      <formula>0.8</formula>
    </cfRule>
  </conditionalFormatting>
  <conditionalFormatting sqref="AG31 R31">
    <cfRule type="cellIs" dxfId="671" priority="70" operator="lessThan">
      <formula>0.8</formula>
    </cfRule>
  </conditionalFormatting>
  <conditionalFormatting sqref="O73">
    <cfRule type="cellIs" dxfId="670" priority="65" operator="greaterThan">
      <formula>0</formula>
    </cfRule>
  </conditionalFormatting>
  <conditionalFormatting sqref="P73 AE73">
    <cfRule type="cellIs" dxfId="669" priority="68" operator="lessThan">
      <formula>0</formula>
    </cfRule>
  </conditionalFormatting>
  <conditionalFormatting sqref="Q73 AF73">
    <cfRule type="cellIs" dxfId="668" priority="66" operator="greaterThan">
      <formula>1</formula>
    </cfRule>
    <cfRule type="cellIs" dxfId="667" priority="67" operator="lessThan">
      <formula>0.8</formula>
    </cfRule>
  </conditionalFormatting>
  <conditionalFormatting sqref="R73 AG73">
    <cfRule type="cellIs" dxfId="666" priority="69" operator="lessThan">
      <formula>0.8</formula>
    </cfRule>
  </conditionalFormatting>
  <conditionalFormatting sqref="O18:O19">
    <cfRule type="cellIs" dxfId="665" priority="60" operator="greaterThan">
      <formula>0</formula>
    </cfRule>
  </conditionalFormatting>
  <conditionalFormatting sqref="P18:P19">
    <cfRule type="cellIs" dxfId="664" priority="63" operator="lessThan">
      <formula>0</formula>
    </cfRule>
  </conditionalFormatting>
  <conditionalFormatting sqref="Q18:Q19">
    <cfRule type="cellIs" dxfId="663" priority="61" operator="greaterThan">
      <formula>1</formula>
    </cfRule>
    <cfRule type="cellIs" dxfId="662" priority="62" operator="lessThan">
      <formula>0.8</formula>
    </cfRule>
  </conditionalFormatting>
  <conditionalFormatting sqref="R18:R19 AG18:AG19">
    <cfRule type="cellIs" dxfId="661" priority="64" operator="lessThan">
      <formula>0.8</formula>
    </cfRule>
  </conditionalFormatting>
  <conditionalFormatting sqref="O57">
    <cfRule type="cellIs" dxfId="660" priority="54" operator="greaterThan">
      <formula>0</formula>
    </cfRule>
  </conditionalFormatting>
  <conditionalFormatting sqref="P57">
    <cfRule type="cellIs" dxfId="659" priority="58" operator="lessThan">
      <formula>0</formula>
    </cfRule>
  </conditionalFormatting>
  <conditionalFormatting sqref="Q57">
    <cfRule type="cellIs" dxfId="658" priority="55" operator="greaterThan">
      <formula>1</formula>
    </cfRule>
    <cfRule type="cellIs" dxfId="657" priority="56" operator="lessThan">
      <formula>0.8</formula>
    </cfRule>
  </conditionalFormatting>
  <conditionalFormatting sqref="R57 AG57">
    <cfRule type="cellIs" dxfId="656" priority="59" operator="lessThan">
      <formula>0.8</formula>
    </cfRule>
  </conditionalFormatting>
  <conditionalFormatting sqref="AG57">
    <cfRule type="cellIs" dxfId="655" priority="57" operator="lessThan">
      <formula>0.8</formula>
    </cfRule>
  </conditionalFormatting>
  <conditionalFormatting sqref="O58">
    <cfRule type="cellIs" dxfId="654" priority="48" operator="greaterThan">
      <formula>0</formula>
    </cfRule>
  </conditionalFormatting>
  <conditionalFormatting sqref="P58">
    <cfRule type="cellIs" dxfId="653" priority="52" operator="lessThan">
      <formula>0</formula>
    </cfRule>
  </conditionalFormatting>
  <conditionalFormatting sqref="Q58">
    <cfRule type="cellIs" dxfId="652" priority="49" operator="greaterThan">
      <formula>1</formula>
    </cfRule>
    <cfRule type="cellIs" dxfId="651" priority="50" operator="lessThan">
      <formula>0.8</formula>
    </cfRule>
  </conditionalFormatting>
  <conditionalFormatting sqref="R58 AG58">
    <cfRule type="cellIs" dxfId="650" priority="53" operator="lessThan">
      <formula>0.8</formula>
    </cfRule>
  </conditionalFormatting>
  <conditionalFormatting sqref="AG58">
    <cfRule type="cellIs" dxfId="649" priority="51" operator="lessThan">
      <formula>0.8</formula>
    </cfRule>
  </conditionalFormatting>
  <conditionalFormatting sqref="AG32 R32">
    <cfRule type="cellIs" dxfId="648" priority="47" operator="lessThan">
      <formula>0.8</formula>
    </cfRule>
  </conditionalFormatting>
  <conditionalFormatting sqref="AG34 R34">
    <cfRule type="cellIs" dxfId="647" priority="46" operator="lessThan">
      <formula>0.8</formula>
    </cfRule>
  </conditionalFormatting>
  <conditionalFormatting sqref="R30 AG30">
    <cfRule type="cellIs" dxfId="646" priority="45" operator="lessThan">
      <formula>0.8</formula>
    </cfRule>
  </conditionalFormatting>
  <conditionalFormatting sqref="AG30">
    <cfRule type="cellIs" dxfId="645" priority="44" operator="lessThan">
      <formula>0.8</formula>
    </cfRule>
  </conditionalFormatting>
  <conditionalFormatting sqref="O59">
    <cfRule type="cellIs" dxfId="644" priority="38" operator="greaterThan">
      <formula>0</formula>
    </cfRule>
  </conditionalFormatting>
  <conditionalFormatting sqref="P59">
    <cfRule type="cellIs" dxfId="643" priority="42" operator="lessThan">
      <formula>0</formula>
    </cfRule>
  </conditionalFormatting>
  <conditionalFormatting sqref="Q59">
    <cfRule type="cellIs" dxfId="642" priority="39" operator="greaterThan">
      <formula>1</formula>
    </cfRule>
    <cfRule type="cellIs" dxfId="641" priority="40" operator="lessThan">
      <formula>0.8</formula>
    </cfRule>
  </conditionalFormatting>
  <conditionalFormatting sqref="R59 AG59">
    <cfRule type="cellIs" dxfId="640" priority="43" operator="lessThan">
      <formula>0.8</formula>
    </cfRule>
  </conditionalFormatting>
  <conditionalFormatting sqref="AG59">
    <cfRule type="cellIs" dxfId="639" priority="41" operator="lessThan">
      <formula>0.8</formula>
    </cfRule>
  </conditionalFormatting>
  <conditionalFormatting sqref="O60">
    <cfRule type="cellIs" dxfId="638" priority="32" operator="greaterThan">
      <formula>0</formula>
    </cfRule>
  </conditionalFormatting>
  <conditionalFormatting sqref="P60">
    <cfRule type="cellIs" dxfId="637" priority="36" operator="lessThan">
      <formula>0</formula>
    </cfRule>
  </conditionalFormatting>
  <conditionalFormatting sqref="Q60">
    <cfRule type="cellIs" dxfId="636" priority="33" operator="greaterThan">
      <formula>1</formula>
    </cfRule>
    <cfRule type="cellIs" dxfId="635" priority="34" operator="lessThan">
      <formula>0.8</formula>
    </cfRule>
  </conditionalFormatting>
  <conditionalFormatting sqref="R60 AG60">
    <cfRule type="cellIs" dxfId="634" priority="37" operator="lessThan">
      <formula>0.8</formula>
    </cfRule>
  </conditionalFormatting>
  <conditionalFormatting sqref="AG60">
    <cfRule type="cellIs" dxfId="633" priority="35" operator="lessThan">
      <formula>0.8</formula>
    </cfRule>
  </conditionalFormatting>
  <conditionalFormatting sqref="O61">
    <cfRule type="cellIs" dxfId="632" priority="26" operator="greaterThan">
      <formula>0</formula>
    </cfRule>
  </conditionalFormatting>
  <conditionalFormatting sqref="P61">
    <cfRule type="cellIs" dxfId="631" priority="30" operator="lessThan">
      <formula>0</formula>
    </cfRule>
  </conditionalFormatting>
  <conditionalFormatting sqref="Q61">
    <cfRule type="cellIs" dxfId="630" priority="27" operator="greaterThan">
      <formula>1</formula>
    </cfRule>
    <cfRule type="cellIs" dxfId="629" priority="28" operator="lessThan">
      <formula>0.8</formula>
    </cfRule>
  </conditionalFormatting>
  <conditionalFormatting sqref="R61 AG61">
    <cfRule type="cellIs" dxfId="628" priority="31" operator="lessThan">
      <formula>0.8</formula>
    </cfRule>
  </conditionalFormatting>
  <conditionalFormatting sqref="AG61">
    <cfRule type="cellIs" dxfId="627" priority="29" operator="lessThan">
      <formula>0.8</formula>
    </cfRule>
  </conditionalFormatting>
  <conditionalFormatting sqref="O72">
    <cfRule type="cellIs" dxfId="626" priority="21" operator="greaterThan">
      <formula>0</formula>
    </cfRule>
  </conditionalFormatting>
  <conditionalFormatting sqref="P72 AE72">
    <cfRule type="cellIs" dxfId="625" priority="24" operator="lessThan">
      <formula>0</formula>
    </cfRule>
  </conditionalFormatting>
  <conditionalFormatting sqref="Q72 AF72">
    <cfRule type="cellIs" dxfId="624" priority="22" operator="greaterThan">
      <formula>1</formula>
    </cfRule>
    <cfRule type="cellIs" dxfId="623" priority="23" operator="lessThan">
      <formula>0.8</formula>
    </cfRule>
  </conditionalFormatting>
  <conditionalFormatting sqref="R72 AG72">
    <cfRule type="cellIs" dxfId="622" priority="25" operator="lessThan">
      <formula>0.8</formula>
    </cfRule>
  </conditionalFormatting>
  <conditionalFormatting sqref="O20">
    <cfRule type="cellIs" dxfId="621" priority="16" operator="greaterThan">
      <formula>0</formula>
    </cfRule>
  </conditionalFormatting>
  <conditionalFormatting sqref="P20">
    <cfRule type="cellIs" dxfId="620" priority="19" operator="lessThan">
      <formula>0</formula>
    </cfRule>
  </conditionalFormatting>
  <conditionalFormatting sqref="Q20">
    <cfRule type="cellIs" dxfId="619" priority="17" operator="greaterThan">
      <formula>1</formula>
    </cfRule>
    <cfRule type="cellIs" dxfId="618" priority="18" operator="lessThan">
      <formula>0.8</formula>
    </cfRule>
  </conditionalFormatting>
  <conditionalFormatting sqref="AG20 R20">
    <cfRule type="cellIs" dxfId="617" priority="20" operator="lessThan">
      <formula>0.8</formula>
    </cfRule>
  </conditionalFormatting>
  <conditionalFormatting sqref="O21:O22">
    <cfRule type="cellIs" dxfId="616" priority="11" operator="greaterThan">
      <formula>0</formula>
    </cfRule>
  </conditionalFormatting>
  <conditionalFormatting sqref="P21:P22">
    <cfRule type="cellIs" dxfId="615" priority="14" operator="lessThan">
      <formula>0</formula>
    </cfRule>
  </conditionalFormatting>
  <conditionalFormatting sqref="Q21:Q22">
    <cfRule type="cellIs" dxfId="614" priority="12" operator="greaterThan">
      <formula>1</formula>
    </cfRule>
    <cfRule type="cellIs" dxfId="613" priority="13" operator="lessThan">
      <formula>0.8</formula>
    </cfRule>
  </conditionalFormatting>
  <conditionalFormatting sqref="AG21 R21">
    <cfRule type="cellIs" dxfId="612" priority="15" operator="lessThan">
      <formula>0.8</formula>
    </cfRule>
  </conditionalFormatting>
  <conditionalFormatting sqref="P10">
    <cfRule type="cellIs" dxfId="611" priority="10" operator="lessThan">
      <formula>0</formula>
    </cfRule>
  </conditionalFormatting>
  <conditionalFormatting sqref="P23">
    <cfRule type="cellIs" dxfId="610" priority="9" operator="lessThan">
      <formula>0</formula>
    </cfRule>
  </conditionalFormatting>
  <conditionalFormatting sqref="P35">
    <cfRule type="cellIs" dxfId="609" priority="8" operator="lessThan">
      <formula>0</formula>
    </cfRule>
  </conditionalFormatting>
  <conditionalFormatting sqref="P42">
    <cfRule type="cellIs" dxfId="608" priority="7" operator="lessThan">
      <formula>0</formula>
    </cfRule>
  </conditionalFormatting>
  <conditionalFormatting sqref="P62">
    <cfRule type="cellIs" dxfId="607" priority="6" operator="lessThan">
      <formula>0</formula>
    </cfRule>
  </conditionalFormatting>
  <conditionalFormatting sqref="P70">
    <cfRule type="cellIs" dxfId="606" priority="5" operator="lessThan">
      <formula>0</formula>
    </cfRule>
  </conditionalFormatting>
  <conditionalFormatting sqref="P75">
    <cfRule type="cellIs" dxfId="605" priority="4" operator="lessThan">
      <formula>0</formula>
    </cfRule>
  </conditionalFormatting>
  <conditionalFormatting sqref="P81">
    <cfRule type="cellIs" dxfId="604" priority="3" operator="lessThan">
      <formula>0</formula>
    </cfRule>
  </conditionalFormatting>
  <conditionalFormatting sqref="AG22 R22">
    <cfRule type="cellIs" dxfId="603" priority="2" operator="lessThan">
      <formula>0.8</formula>
    </cfRule>
  </conditionalFormatting>
  <conditionalFormatting sqref="AG33 R33">
    <cfRule type="cellIs" dxfId="602" priority="1" operator="lessThan">
      <formula>0.8</formula>
    </cfRule>
  </conditionalFormatting>
  <dataValidations count="1">
    <dataValidation type="list" allowBlank="1" showInputMessage="1" showErrorMessage="1" sqref="AB10 AA5:AB9 AA10:AA74 AB12:AB71 AA75:AB8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6" zoomScale="85" zoomScaleNormal="85" workbookViewId="0">
      <selection activeCell="A6" sqref="A6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712</v>
      </c>
      <c r="C3" s="478" t="str">
        <f>TEXT('0107 4度C'!A2,"yyyy.mm.ddaaaa")</f>
        <v>2026.01.07星期三</v>
      </c>
      <c r="D3" s="479"/>
      <c r="E3" s="56" t="s">
        <v>713</v>
      </c>
      <c r="F3" s="480">
        <f>'0107 4度C'!D1</f>
        <v>171781</v>
      </c>
      <c r="G3" s="481"/>
      <c r="H3" s="56" t="s">
        <v>714</v>
      </c>
      <c r="I3" s="482">
        <f>'0107 4度C'!F1</f>
        <v>5851248.620000002</v>
      </c>
      <c r="J3" s="483"/>
      <c r="K3" s="57"/>
      <c r="L3" s="58"/>
      <c r="M3" s="59"/>
      <c r="N3" s="59"/>
    </row>
    <row r="4" spans="2:17" ht="28.5" customHeight="1">
      <c r="B4" s="484" t="s">
        <v>715</v>
      </c>
      <c r="C4" s="470" t="s">
        <v>716</v>
      </c>
      <c r="D4" s="471"/>
      <c r="E4" s="487" t="s">
        <v>717</v>
      </c>
      <c r="F4" s="488"/>
      <c r="G4" s="487" t="s">
        <v>718</v>
      </c>
      <c r="H4" s="488"/>
      <c r="I4" s="487" t="s">
        <v>719</v>
      </c>
      <c r="J4" s="488"/>
      <c r="K4" s="468" t="s">
        <v>528</v>
      </c>
      <c r="L4" s="469"/>
      <c r="M4" s="469" t="s">
        <v>529</v>
      </c>
      <c r="N4" s="469"/>
    </row>
    <row r="5" spans="2:17" ht="28.5" customHeight="1">
      <c r="B5" s="485"/>
      <c r="C5" s="470" t="s">
        <v>720</v>
      </c>
      <c r="D5" s="471"/>
      <c r="E5" s="470" t="s">
        <v>721</v>
      </c>
      <c r="F5" s="471"/>
      <c r="G5" s="472" t="s">
        <v>722</v>
      </c>
      <c r="H5" s="473"/>
      <c r="I5" s="474" t="s">
        <v>723</v>
      </c>
      <c r="J5" s="475"/>
      <c r="K5" s="60" t="s">
        <v>536</v>
      </c>
      <c r="L5" s="61" t="s">
        <v>724</v>
      </c>
      <c r="M5" s="60" t="s">
        <v>536</v>
      </c>
      <c r="N5" s="61" t="s">
        <v>537</v>
      </c>
    </row>
    <row r="6" spans="2:17" ht="28.5" customHeight="1">
      <c r="B6" s="485"/>
      <c r="C6" s="470" t="s">
        <v>144</v>
      </c>
      <c r="D6" s="471"/>
      <c r="E6" s="462">
        <f>AVERAGE(D13:M13)</f>
        <v>146.13752068054404</v>
      </c>
      <c r="F6" s="463">
        <f>AVERAGE(D31:O31,D13:J13)</f>
        <v>149.01522696887309</v>
      </c>
      <c r="G6" s="464">
        <f>AVERAGE(D13:J13)</f>
        <v>149.01522696887309</v>
      </c>
      <c r="H6" s="465"/>
      <c r="I6" s="464">
        <f>AVERAGE(K13:M13)</f>
        <v>139.42287267444294</v>
      </c>
      <c r="J6" s="465"/>
      <c r="K6" s="466">
        <f>'0107 4度C'!Y2</f>
        <v>0</v>
      </c>
      <c r="L6" s="451">
        <f>'0107 4度C'!Z2</f>
        <v>0</v>
      </c>
      <c r="M6" s="467">
        <f>'0107 4度C'!AC2</f>
        <v>40</v>
      </c>
      <c r="N6" s="451">
        <f>'0107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139.88265758094249</v>
      </c>
      <c r="F7" s="455">
        <f>AVERAGE(D32:O32,D14:J14)</f>
        <v>142.59143766495421</v>
      </c>
      <c r="G7" s="456">
        <f>AVERAGE(D14:J14)</f>
        <v>142.59143766495421</v>
      </c>
      <c r="H7" s="457"/>
      <c r="I7" s="456">
        <f>AVERAGE(K14:M14)</f>
        <v>133.56217071824844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0.95583297246139343</v>
      </c>
      <c r="F8" s="459">
        <f>AVERAGE(D15:J15,D33:O33)</f>
        <v>0.95490743224001073</v>
      </c>
      <c r="G8" s="460">
        <f>AVERAGE(D15:J15)</f>
        <v>0.95490743224001073</v>
      </c>
      <c r="H8" s="461"/>
      <c r="I8" s="460">
        <f>AVERAGE(K15:M15)</f>
        <v>0.95799256631128582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625</v>
      </c>
      <c r="N9" s="59"/>
      <c r="O9" s="59"/>
      <c r="P9" s="59"/>
      <c r="Q9" s="59"/>
    </row>
    <row r="10" spans="2:17" ht="30" customHeight="1">
      <c r="B10" s="434" t="s">
        <v>626</v>
      </c>
      <c r="C10" s="435"/>
      <c r="D10" s="436" t="s">
        <v>627</v>
      </c>
      <c r="E10" s="437"/>
      <c r="F10" s="437"/>
      <c r="G10" s="437"/>
      <c r="H10" s="437"/>
      <c r="I10" s="437"/>
      <c r="J10" s="438"/>
      <c r="K10" s="439" t="s">
        <v>628</v>
      </c>
      <c r="L10" s="440"/>
      <c r="M10" s="441"/>
      <c r="P10" s="65"/>
      <c r="Q10" s="65"/>
    </row>
    <row r="11" spans="2:17" ht="17.25" customHeight="1">
      <c r="B11" s="442" t="s">
        <v>629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630</v>
      </c>
      <c r="C13" s="72" t="s">
        <v>725</v>
      </c>
      <c r="D13" s="73">
        <f>SUMIFS('0107 4度C'!$K:$K,'0107 4度C'!$A:$A,"新豐6線",'0107 4度C'!$B:$B,"平均")</f>
        <v>111.11111111111111</v>
      </c>
      <c r="E13" s="74">
        <f>SUMIFS('0107 4度C'!$K:$K,'0107 4度C'!$A:$A,"新豐2線",'0107 4度C'!$B:$B,"平均")</f>
        <v>83.333333333333329</v>
      </c>
      <c r="F13" s="75">
        <f>SUMIFS('0107 4度C'!$K:$K,'0107 4度C'!$A:$A,"新豐5線",'0107 4度C'!$B:$B,"平均")</f>
        <v>109.99999999999999</v>
      </c>
      <c r="G13" s="75">
        <f>SUMIFS('0107 4度C'!$K:$K,'0107 4度C'!$A:$A,"新豐7線",'0107 4度C'!$B:$B,"平均")</f>
        <v>114.75409836065573</v>
      </c>
      <c r="H13" s="75">
        <f>SUMIFS('0107 4度C'!$K:$K,'0107 4度C'!$A:$A,"新豐3線",'0107 4度C'!$B:$B,"平均")</f>
        <v>267.24137931034483</v>
      </c>
      <c r="I13" s="75">
        <f>SUMIFS('0107 4度C'!$K:$K,'0107 4度C'!$A:$A,"新豐1線",'0107 4度C'!$B:$B,"平均")</f>
        <v>106.66666666666667</v>
      </c>
      <c r="J13" s="76">
        <f>SUMIFS('0107 4度C'!$K:$K,'0107 4度C'!$A:$A,"新豐10線",'0107 4度C'!$B:$B,"平均")</f>
        <v>250</v>
      </c>
      <c r="K13" s="77">
        <f>SUMIFS('0107 4度C'!$K:$K,'0107 4度C'!$A:$A,"新豐8線",'0107 4度C'!$B:$B,"平均")</f>
        <v>132.11009174311926</v>
      </c>
      <c r="L13" s="78">
        <f>SUMIFS('0107 4度C'!$K:$K,'0107 4度C'!$A:$A,"新豐9線",'0107 4度C'!$B:$B,"平均")</f>
        <v>137.70491803278691</v>
      </c>
      <c r="M13" s="76">
        <f>SUMIFS('0107 4度C'!$K:$K,'0107 4度C'!$A:$A,"新豐4線",'0107 4度C'!$B:$B,"平均")</f>
        <v>148.45360824742266</v>
      </c>
    </row>
    <row r="14" spans="2:17" ht="39.6" customHeight="1">
      <c r="B14" s="447"/>
      <c r="C14" s="79" t="s">
        <v>632</v>
      </c>
      <c r="D14" s="80">
        <f>SUMIFS('0107 4度C'!$N:$N,'0107 4度C'!$A:$A,"新豐6線",'0107 4度C'!$B:$B,"平均")</f>
        <v>106.77257386953654</v>
      </c>
      <c r="E14" s="81">
        <f>SUMIFS('0107 4度C'!$N:$N,'0107 4度C'!$A:$A,"新豐2線",'0107 4度C'!$B:$B,"平均")</f>
        <v>79.506328522721958</v>
      </c>
      <c r="F14" s="81">
        <f>SUMIFS('0107 4度C'!$N:$N,'0107 4度C'!$A:$A,"新豐5線",'0107 4度C'!$B:$B,"平均")</f>
        <v>105.25190837174915</v>
      </c>
      <c r="G14" s="81">
        <f>SUMIFS('0107 4度C'!$N:$N,'0107 4度C'!$A:$A,"新豐7線",'0107 4度C'!$B:$B,"平均")</f>
        <v>110.68148672695243</v>
      </c>
      <c r="H14" s="81">
        <f>SUMIFS('0107 4度C'!$N:$N,'0107 4度C'!$A:$A,"新豐3線",'0107 4度C'!$B:$B,"平均")</f>
        <v>256.81896406994071</v>
      </c>
      <c r="I14" s="81">
        <f>SUMIFS('0107 4度C'!$N:$N,'0107 4度C'!$A:$A,"新豐1線",'0107 4度C'!$B:$B,"平均")</f>
        <v>98.705504437083391</v>
      </c>
      <c r="J14" s="82">
        <f>SUMIFS('0107 4度C'!$N:$N,'0107 4度C'!$A:$A,"新豐10線",'0107 4度C'!$B:$B,"平均")</f>
        <v>240.40329765669534</v>
      </c>
      <c r="K14" s="83">
        <f>SUMIFS('0107 4度C'!$N:$N,'0107 4度C'!$A:$A,"新豐8線",'0107 4度C'!$B:$B,"平均")</f>
        <v>126.2860925639541</v>
      </c>
      <c r="L14" s="84">
        <f>SUMIFS('0107 4度C'!$N:$N,'0107 4度C'!$A:$A,"新豐9線",'0107 4度C'!$B:$B,"平均")</f>
        <v>132.50525517148364</v>
      </c>
      <c r="M14" s="82">
        <f>SUMIFS('0107 4度C'!$N:$N,'0107 4度C'!$A:$A,"新豐4線",'0107 4度C'!$B:$B,"平均")</f>
        <v>141.89516441930758</v>
      </c>
    </row>
    <row r="15" spans="2:17" ht="40.15" customHeight="1">
      <c r="B15" s="448"/>
      <c r="C15" s="85" t="s">
        <v>633</v>
      </c>
      <c r="D15" s="86">
        <f t="shared" ref="D15:M15" si="0">D14/D13</f>
        <v>0.96095316482582882</v>
      </c>
      <c r="E15" s="87">
        <f t="shared" si="0"/>
        <v>0.95407594227266357</v>
      </c>
      <c r="F15" s="87">
        <f t="shared" si="0"/>
        <v>0.95683553065226512</v>
      </c>
      <c r="G15" s="87">
        <f t="shared" si="0"/>
        <v>0.96451009862058545</v>
      </c>
      <c r="H15" s="87">
        <f t="shared" si="0"/>
        <v>0.9609999945842943</v>
      </c>
      <c r="I15" s="87">
        <f t="shared" si="0"/>
        <v>0.92536410409765679</v>
      </c>
      <c r="J15" s="88">
        <f t="shared" si="0"/>
        <v>0.96161319062678141</v>
      </c>
      <c r="K15" s="86">
        <f t="shared" si="0"/>
        <v>0.95591556176881931</v>
      </c>
      <c r="L15" s="87">
        <f t="shared" si="0"/>
        <v>0.96224054350720245</v>
      </c>
      <c r="M15" s="88">
        <f t="shared" si="0"/>
        <v>0.95582159365783581</v>
      </c>
    </row>
    <row r="16" spans="2:17" ht="17.25" customHeight="1">
      <c r="B16" s="449" t="s">
        <v>634</v>
      </c>
      <c r="C16" s="89" t="s">
        <v>726</v>
      </c>
      <c r="D16" s="90">
        <f>VLOOKUP("新豐6線",'0107 4度C'!$A:$T,19,0)</f>
        <v>0.70833333333333337</v>
      </c>
      <c r="E16" s="91">
        <f>VLOOKUP("新豐2線",'0107 4度C'!$A:$T,19,0)</f>
        <v>0.16666666666666666</v>
      </c>
      <c r="F16" s="91">
        <f>VLOOKUP("新豐5線",'0107 4度C'!$A:$T,19,0)</f>
        <v>0.20833333333333334</v>
      </c>
      <c r="G16" s="91">
        <f>VLOOKUP("新豐7線",'0107 4度C'!$A:$T,19,0)</f>
        <v>0.20833333333333334</v>
      </c>
      <c r="H16" s="91">
        <f>VLOOKUP("新豐3線",'0107 4度C'!$A:$T,19,0)</f>
        <v>8.3333333333333329E-2</v>
      </c>
      <c r="I16" s="91">
        <f>VLOOKUP("新豐1線",'0107 4度C'!$A:$T,19,0)</f>
        <v>0.20833333333333334</v>
      </c>
      <c r="J16" s="92">
        <f>VLOOKUP("新豐10線",'0107 4度C'!$A:$T,19,0)</f>
        <v>0.20833333333333334</v>
      </c>
      <c r="K16" s="93">
        <f>VLOOKUP("新豐8線",'0107 4度C'!$A:$T,19,0)</f>
        <v>8.3333333333333329E-2</v>
      </c>
      <c r="L16" s="94">
        <f>VLOOKUP("新豐9線",'0107 4度C'!$A:$T,19,0)</f>
        <v>8.3333333333333329E-2</v>
      </c>
      <c r="M16" s="95">
        <f>VLOOKUP("新豐4線",'0107 4度C'!$A:$T,19,0)</f>
        <v>8.3333333333333329E-2</v>
      </c>
    </row>
    <row r="17" spans="2:13" ht="17.25" customHeight="1">
      <c r="B17" s="450"/>
      <c r="C17" s="89" t="s">
        <v>727</v>
      </c>
      <c r="D17" s="93">
        <f>LOOKUP(2,1/(('0107 4度C'!$A:$A="新豐6線")*('0107 4度C'!$T:$T&lt;&gt;"")),'0107 4度C'!$T:$T)</f>
        <v>0.97291666666666654</v>
      </c>
      <c r="E17" s="91">
        <f>LOOKUP(2,1/(('0107 4度C'!$A:$A="新豐2線")*('0107 4度C'!$T:$T&lt;&gt;"")),'0107 4度C'!$T:$T)</f>
        <v>0.39513888888888887</v>
      </c>
      <c r="F17" s="91">
        <f>LOOKUP(2,1/(('0107 4度C'!$A:$A="新豐5線")*('0107 4度C'!$T:$T&lt;&gt;"")),'0107 4度C'!$T:$T)</f>
        <v>0.95694444444444438</v>
      </c>
      <c r="G17" s="91">
        <f>LOOKUP(2,1/(('0107 4度C'!$A:$A="新豐7線")*('0107 4度C'!$T:$T&lt;&gt;"")),'0107 4度C'!$T:$T)</f>
        <v>0.97499999999999987</v>
      </c>
      <c r="H17" s="91">
        <f>LOOKUP(2,1/(('0107 4度C'!$A:$A="新豐3線")*('0107 4度C'!$T:$T&lt;&gt;"")),'0107 4度C'!$T:$T)</f>
        <v>0.63749999999999973</v>
      </c>
      <c r="I17" s="91">
        <f>LOOKUP(2,1/(('0107 4度C'!$A:$A="新豐1線")*('0107 4度C'!$T:$T&lt;&gt;"")),'0107 4度C'!$T:$T)</f>
        <v>0.91666666666666663</v>
      </c>
      <c r="J17" s="92">
        <f>LOOKUP(2,1/(('0107 4度C'!$A:$A="新豐10線")*('0107 4度C'!$T:$T&lt;&gt;"")),'0107 4度C'!$T:$T)</f>
        <v>0.51250000000000007</v>
      </c>
      <c r="K17" s="90">
        <f>LOOKUP(2,1/(('0107 4度C'!$A:$A="新豐8線")*('0107 4度C'!$T:$T&lt;&gt;"")),'0107 4度C'!$T:$T)</f>
        <v>0.62430555555555556</v>
      </c>
      <c r="L17" s="91">
        <f>LOOKUP(2,1/(('0107 4度C'!$A:$A="新豐9線")*('0107 4度C'!$T:$T&lt;&gt;"")),'0107 4度C'!$T:$T)</f>
        <v>0.51597222222222217</v>
      </c>
      <c r="M17" s="92">
        <f>LOOKUP(2,1/(('0107 4度C'!$A:$A="新豐4線")*('0107 4度C'!$T:$T&lt;&gt;"")),'0107 4度C'!$T:$T)</f>
        <v>0.61666666666666647</v>
      </c>
    </row>
    <row r="18" spans="2:13" ht="17.25" customHeight="1">
      <c r="B18" s="428" t="s">
        <v>728</v>
      </c>
      <c r="C18" s="96" t="s">
        <v>638</v>
      </c>
      <c r="D18" s="97">
        <f>SUMIFS('0107 4度C'!$Y:$Y,'0107 4度C'!$A:$A,"新豐6線",'0107 4度C'!$B:$B,"平均")</f>
        <v>0</v>
      </c>
      <c r="E18" s="98">
        <f>SUMIFS('0107 4度C'!$Y:$Y,'0107 4度C'!$A:$A,"新豐2線",'0107 4度C'!$B:$B,"平均")</f>
        <v>0</v>
      </c>
      <c r="F18" s="98">
        <f>SUMIFS('0107 4度C'!$Y:$Y,'0107 4度C'!$A:$A,"新豐5線",'0107 4度C'!$B:$B,"平均")</f>
        <v>0</v>
      </c>
      <c r="G18" s="98">
        <f>SUMIFS('0107 4度C'!$Y:$Y,'0107 4度C'!$A:$A,"新豐7線",'0107 4度C'!$B:$B,"平均")</f>
        <v>0</v>
      </c>
      <c r="H18" s="98">
        <f>SUMIFS('0107 4度C'!$Y:$Y,'0107 4度C'!$A:$A,"新豐3線",'0107 4度C'!$B:$B,"平均")</f>
        <v>0</v>
      </c>
      <c r="I18" s="98">
        <f>SUMIFS('0107 4度C'!$Y:$Y,'0107 4度C'!$A:$A,"新豐1線",'0107 4度C'!$B:$B,"平均")</f>
        <v>0</v>
      </c>
      <c r="J18" s="99">
        <f>SUMIFS('0107 4度C'!$Y:$Y,'0107 4度C'!$A:$A,"新豐10線",'0107 4度C'!$B:$B,"平均")</f>
        <v>0</v>
      </c>
      <c r="K18" s="100">
        <f>SUMIFS('0107 4度C'!$Y:$Y,'0107 4度C'!$A:$A,"新豐8線",'0107 4度C'!$B:$B,"平均")</f>
        <v>0</v>
      </c>
      <c r="L18" s="98">
        <f>SUMIFS('0107 4度C'!$Y:$Y,'0107 4度C'!$A:$A,"新豐9線",'0107 4度C'!$B:$B,"平均")</f>
        <v>0</v>
      </c>
      <c r="M18" s="99">
        <f>SUMIFS('0107 4度C'!$Y:$Y,'0107 4度C'!$A:$A,"新豐4線",'0107 4度C'!$B:$B,"平均")</f>
        <v>0</v>
      </c>
    </row>
    <row r="19" spans="2:13" ht="17.25" customHeight="1">
      <c r="B19" s="429"/>
      <c r="C19" s="96" t="s">
        <v>729</v>
      </c>
      <c r="D19" s="97">
        <f>SUMIFS('0107 4度C'!$Z:$Z,'0107 4度C'!$A:$A,"新豐6線",'0107 4度C'!$B:$B,"平均")</f>
        <v>0</v>
      </c>
      <c r="E19" s="98">
        <f>SUMIFS('0107 4度C'!$Z:$Z,'0107 4度C'!$A:$A,"新豐2線",'0107 4度C'!$B:$B,"平均")</f>
        <v>0</v>
      </c>
      <c r="F19" s="98">
        <f>SUMIFS('0107 4度C'!$Z:$Z,'0107 4度C'!$A:$A,"新豐5線",'0107 4度C'!$B:$B,"平均")</f>
        <v>0</v>
      </c>
      <c r="G19" s="98">
        <f>SUMIFS('0107 4度C'!$Z:$Z,'0107 4度C'!$A:$A,"新豐7線",'0107 4度C'!$B:$B,"平均")</f>
        <v>0</v>
      </c>
      <c r="H19" s="98">
        <f>SUMIFS('0107 4度C'!$Z:$Z,'0107 4度C'!$A:$A,"新豐3線",'0107 4度C'!$B:$B,"平均")</f>
        <v>0</v>
      </c>
      <c r="I19" s="98">
        <f>SUMIFS('0107 4度C'!$Z:$Z,'0107 4度C'!$A:$A,"新豐1線",'0107 4度C'!$B:$B,"平均")</f>
        <v>0</v>
      </c>
      <c r="J19" s="99">
        <f>SUMIFS('0107 4度C'!$Z:$Z,'0107 4度C'!$A:$A,"新豐10線",'0107 4度C'!$B:$B,"平均")</f>
        <v>0</v>
      </c>
      <c r="K19" s="100">
        <f>SUMIFS('0107 4度C'!$Z:$Z,'0107 4度C'!$A:$A,"新豐8線",'0107 4度C'!$B:$B,"平均")</f>
        <v>0</v>
      </c>
      <c r="L19" s="98">
        <f>SUMIFS('0107 4度C'!$Z:$Z,'0107 4度C'!$A:$A,"新豐9線",'0107 4度C'!$B:$B,"平均")</f>
        <v>0</v>
      </c>
      <c r="M19" s="99">
        <f>SUMIFS('0107 4度C'!$Z:$Z,'0107 4度C'!$A:$A,"新豐4線",'0107 4度C'!$B:$B,"平均")</f>
        <v>0</v>
      </c>
    </row>
    <row r="20" spans="2:13" ht="17.25" customHeight="1">
      <c r="B20" s="428" t="s">
        <v>640</v>
      </c>
      <c r="C20" s="96" t="s">
        <v>638</v>
      </c>
      <c r="D20" s="97">
        <f>SUMIFS('0107 4度C'!$AC:$AC,'0107 4度C'!$A:$A,"新豐6線",'0107 4度C'!$B:$B,"平均")</f>
        <v>3</v>
      </c>
      <c r="E20" s="98">
        <f>SUMIFS('0107 4度C'!$AC:$AC,'0107 4度C'!$A:$A,"新豐2線",'0107 4度C'!$B:$B,"平均")</f>
        <v>2</v>
      </c>
      <c r="F20" s="98">
        <f>SUMIFS('0107 4度C'!$AC:$AC,'0107 4度C'!$A:$A,"新豐5線",'0107 4度C'!$B:$B,"平均")</f>
        <v>4</v>
      </c>
      <c r="G20" s="98">
        <f>SUMIFS('0107 4度C'!$AC:$AC,'0107 4度C'!$A:$A,"新豐7線",'0107 4度C'!$B:$B,"平均")</f>
        <v>3</v>
      </c>
      <c r="H20" s="98">
        <f>SUMIFS('0107 4度C'!$AC:$AC,'0107 4度C'!$A:$A,"新豐3線",'0107 4度C'!$B:$B,"平均")</f>
        <v>0</v>
      </c>
      <c r="I20" s="98">
        <f>SUMIFS('0107 4度C'!$AC:$AC,'0107 4度C'!$A:$A,"新豐1線",'0107 4度C'!$B:$B,"平均")</f>
        <v>4</v>
      </c>
      <c r="J20" s="99">
        <f>SUMIFS('0107 4度C'!$AC:$AC,'0107 4度C'!$A:$A,"新豐10線",'0107 4度C'!$B:$B,"平均")</f>
        <v>1</v>
      </c>
      <c r="K20" s="100">
        <f>SUMIFS('0107 4度C'!$AC:$AC,'0107 4度C'!$A:$A,"新豐8線",'0107 4度C'!$B:$B,"平均")</f>
        <v>8</v>
      </c>
      <c r="L20" s="98">
        <f>SUMIFS('0107 4度C'!$AC:$AC,'0107 4度C'!$A:$A,"新豐9線",'0107 4度C'!$B:$B,"平均")</f>
        <v>7</v>
      </c>
      <c r="M20" s="99">
        <f>SUMIFS('0107 4度C'!$AC:$AC,'0107 4度C'!$A:$A,"新豐4線",'0107 4度C'!$B:$B,"平均")</f>
        <v>8</v>
      </c>
    </row>
    <row r="21" spans="2:13" ht="17.25" customHeight="1">
      <c r="B21" s="429"/>
      <c r="C21" s="96" t="s">
        <v>642</v>
      </c>
      <c r="D21" s="97">
        <f>SUMIFS('0107 4度C'!$AD:$AD,'0107 4度C'!$A:$A,"新豐6線",'0107 4度C'!$B:$B,"平均")</f>
        <v>0</v>
      </c>
      <c r="E21" s="98">
        <f>SUMIFS('0107 4度C'!$AD:$AD,'0107 4度C'!$A:$A,"新豐2線",'0107 4度C'!$B:$B,"平均")</f>
        <v>0</v>
      </c>
      <c r="F21" s="98">
        <f>SUMIFS('0107 4度C'!$AD:$AD,'0107 4度C'!$A:$A,"新豐5線",'0107 4度C'!$B:$B,"平均")</f>
        <v>0</v>
      </c>
      <c r="G21" s="98">
        <f>SUMIFS('0107 4度C'!$AD:$AD,'0107 4度C'!$A:$A,"新豐7線",'0107 4度C'!$B:$B,"平均")</f>
        <v>0</v>
      </c>
      <c r="H21" s="98">
        <f>SUMIFS('0107 4度C'!$AD:$AD,'0107 4度C'!$A:$A,"新豐3線",'0107 4度C'!$B:$B,"平均")</f>
        <v>0</v>
      </c>
      <c r="I21" s="98">
        <f>SUMIFS('0107 4度C'!$AD:$AD,'0107 4度C'!$A:$A,"新豐1線",'0107 4度C'!$B:$B,"平均")</f>
        <v>0</v>
      </c>
      <c r="J21" s="99">
        <f>SUMIFS('0107 4度C'!$AD:$AD,'0107 4度C'!$A:$A,"新豐10線",'0107 4度C'!$B:$B,"平均")</f>
        <v>0</v>
      </c>
      <c r="K21" s="100">
        <f>SUMIFS('0107 4度C'!$AD:$AD,'0107 4度C'!$A:$A,"新豐8線",'0107 4度C'!$B:$B,"平均")</f>
        <v>0</v>
      </c>
      <c r="L21" s="98">
        <f>SUMIFS('0107 4度C'!$AD:$AD,'0107 4度C'!$A:$A,"新豐9線",'0107 4度C'!$B:$B,"平均")</f>
        <v>0</v>
      </c>
      <c r="M21" s="99">
        <f>SUMIFS('0107 4度C'!$AD:$AD,'0107 4度C'!$A:$A,"新豐4線",'0107 4度C'!$B:$B,"平均")</f>
        <v>0</v>
      </c>
    </row>
    <row r="22" spans="2:13" ht="17.25" customHeight="1">
      <c r="B22" s="430" t="s">
        <v>643</v>
      </c>
      <c r="C22" s="431"/>
      <c r="D22" s="101">
        <f>SUMIFS('0107 4度C'!$I:$I,'0107 4度C'!$A:$A,"新豐6線",'0107 4度C'!$B:$B,"平均")</f>
        <v>18</v>
      </c>
      <c r="E22" s="102">
        <f>SUMIFS('0107 4度C'!$I:$I,'0107 4度C'!$A:$A,"新豐2線",'0107 4度C'!$B:$B,"平均")</f>
        <v>18</v>
      </c>
      <c r="F22" s="102">
        <f>SUMIFS('0107 4度C'!$I:$I,'0107 4度C'!$A:$A,"新豐5線",'0107 4度C'!$B:$B,"平均")</f>
        <v>16.666666666666668</v>
      </c>
      <c r="G22" s="102">
        <f>SUMIFS('0107 4度C'!$I:$I,'0107 4度C'!$A:$A,"新豐7線",'0107 4度C'!$B:$B,"平均")</f>
        <v>16.636363636363637</v>
      </c>
      <c r="H22" s="102">
        <f>SUMIFS('0107 4度C'!$I:$I,'0107 4度C'!$A:$A,"新豐3線",'0107 4度C'!$B:$B,"平均")</f>
        <v>10.545454545454545</v>
      </c>
      <c r="I22" s="102">
        <f>SUMIFS('0107 4度C'!$I:$I,'0107 4度C'!$A:$A,"新豐1線",'0107 4度C'!$B:$B,"平均")</f>
        <v>18.75</v>
      </c>
      <c r="J22" s="103">
        <f>SUMIFS('0107 4度C'!$I:$I,'0107 4度C'!$A:$A,"新豐10線",'0107 4度C'!$B:$B,"平均")</f>
        <v>9</v>
      </c>
      <c r="K22" s="101">
        <f>SUMIFS('0107 4度C'!$I:$I,'0107 4度C'!$A:$A,"新豐8線",'0107 4度C'!$B:$B,"平均")</f>
        <v>18.166666666666668</v>
      </c>
      <c r="L22" s="102">
        <f>SUMIFS('0107 4度C'!$I:$I,'0107 4度C'!$A:$A,"新豐9線",'0107 4度C'!$B:$B,"平均")</f>
        <v>17.428571428571427</v>
      </c>
      <c r="M22" s="103">
        <f>SUMIFS('0107 4度C'!$I:$I,'0107 4度C'!$A:$A,"新豐4線",'0107 4度C'!$B:$B,"平均")</f>
        <v>16.166666666666668</v>
      </c>
    </row>
    <row r="23" spans="2:13" ht="17.25" customHeight="1">
      <c r="B23" s="430" t="s">
        <v>644</v>
      </c>
      <c r="C23" s="431"/>
      <c r="D23" s="104" t="s">
        <v>157</v>
      </c>
      <c r="E23" s="105" t="s">
        <v>158</v>
      </c>
      <c r="F23" s="105" t="s">
        <v>645</v>
      </c>
      <c r="G23" s="105" t="s">
        <v>645</v>
      </c>
      <c r="H23" s="105" t="s">
        <v>159</v>
      </c>
      <c r="I23" s="105" t="s">
        <v>157</v>
      </c>
      <c r="J23" s="106" t="s">
        <v>159</v>
      </c>
      <c r="K23" s="104" t="s">
        <v>646</v>
      </c>
      <c r="L23" s="105" t="s">
        <v>646</v>
      </c>
      <c r="M23" s="106" t="s">
        <v>646</v>
      </c>
    </row>
    <row r="24" spans="2:13" ht="17.25" customHeight="1">
      <c r="B24" s="430" t="s">
        <v>648</v>
      </c>
      <c r="C24" s="431"/>
      <c r="D24" s="104"/>
      <c r="E24" s="105"/>
      <c r="F24" s="105" t="s">
        <v>649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730</v>
      </c>
      <c r="C25" s="433"/>
      <c r="D25" s="107"/>
      <c r="E25" s="108" t="s">
        <v>651</v>
      </c>
      <c r="F25" s="426" t="s">
        <v>652</v>
      </c>
      <c r="G25" s="427"/>
      <c r="H25" s="108" t="s">
        <v>653</v>
      </c>
      <c r="I25" s="108" t="s">
        <v>731</v>
      </c>
      <c r="J25" s="109" t="s">
        <v>653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5"/>
  <sheetViews>
    <sheetView zoomScale="80" zoomScaleNormal="80" workbookViewId="0">
      <pane ySplit="4" topLeftCell="A55" activePane="bottomLeft" state="frozen"/>
      <selection activeCell="A6" sqref="A6"/>
      <selection pane="bottomLeft" activeCell="A6" sqref="A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SUM(F5:F84)</f>
        <v>171781</v>
      </c>
      <c r="E1" s="159" t="s">
        <v>258</v>
      </c>
      <c r="F1" s="1">
        <f>SUM(G5:G84)</f>
        <v>5851248.620000002</v>
      </c>
      <c r="G1" s="1" t="s">
        <v>3</v>
      </c>
      <c r="H1" s="5">
        <f>L11+L14+L63+L72+L24+L77+L43+L51+L36+L84</f>
        <v>159.3603896103896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156" t="s">
        <v>8</v>
      </c>
      <c r="AD1" s="7" t="s">
        <v>11</v>
      </c>
      <c r="AE1" s="542" t="s">
        <v>268</v>
      </c>
      <c r="AF1" s="544"/>
      <c r="AG1" s="544"/>
    </row>
    <row r="2" spans="1:33" ht="26.25" customHeight="1">
      <c r="A2" s="49">
        <v>46029</v>
      </c>
      <c r="B2" s="50" t="s">
        <v>520</v>
      </c>
      <c r="C2" s="2" t="s">
        <v>13</v>
      </c>
      <c r="D2" s="10">
        <f>AVERAGE(N11,N14,N63,N72,N24,N77,N36,N43,N51,N84)</f>
        <v>139.88265758094249</v>
      </c>
      <c r="E2" s="11" t="s">
        <v>14</v>
      </c>
      <c r="F2" s="12">
        <f>F1/D1</f>
        <v>34.062257292715735</v>
      </c>
      <c r="G2" s="1" t="s">
        <v>15</v>
      </c>
      <c r="H2" s="171">
        <f>COUNT(H5:H84)</f>
        <v>11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SUM(Y11+Y14+Y24+Y36+Y43+Y51+Y63+Y72+Y77+Y84)</f>
        <v>0</v>
      </c>
      <c r="Z2" s="14">
        <f>SUM(Z11+Z14+Z24+Z36+Z43+Z51+Z63+Z72+Z77+Z84)</f>
        <v>0</v>
      </c>
      <c r="AA2" s="543"/>
      <c r="AB2" s="543"/>
      <c r="AC2" s="157">
        <v>40</v>
      </c>
      <c r="AD2" s="14">
        <f>SUM(AD11+AD14+AD24+AD36+AD43+AD51+AD63+AD72+AD77+AD84)</f>
        <v>0</v>
      </c>
      <c r="AE2" s="544"/>
      <c r="AF2" s="544"/>
      <c r="AG2" s="544"/>
    </row>
    <row r="3" spans="1:33" ht="40.5" customHeight="1">
      <c r="A3" s="491" t="s">
        <v>669</v>
      </c>
      <c r="B3" s="491" t="s">
        <v>272</v>
      </c>
      <c r="C3" s="491" t="s">
        <v>18</v>
      </c>
      <c r="D3" s="491"/>
      <c r="E3" s="540" t="s">
        <v>19</v>
      </c>
      <c r="F3" s="491" t="s">
        <v>275</v>
      </c>
      <c r="G3" s="540" t="s">
        <v>276</v>
      </c>
      <c r="H3" s="533" t="s">
        <v>22</v>
      </c>
      <c r="I3" s="531" t="s">
        <v>278</v>
      </c>
      <c r="J3" s="528" t="s">
        <v>24</v>
      </c>
      <c r="K3" s="538" t="s">
        <v>13</v>
      </c>
      <c r="L3" s="531" t="s">
        <v>278</v>
      </c>
      <c r="M3" s="528" t="s">
        <v>24</v>
      </c>
      <c r="N3" s="538" t="s">
        <v>13</v>
      </c>
      <c r="O3" s="531" t="s">
        <v>278</v>
      </c>
      <c r="P3" s="538" t="s">
        <v>13</v>
      </c>
      <c r="Q3" s="529" t="s">
        <v>25</v>
      </c>
      <c r="R3" s="507" t="s">
        <v>26</v>
      </c>
      <c r="S3" s="539" t="s">
        <v>27</v>
      </c>
      <c r="T3" s="539"/>
      <c r="U3" s="533" t="s">
        <v>28</v>
      </c>
      <c r="V3" s="533" t="s">
        <v>732</v>
      </c>
      <c r="W3" s="491" t="s">
        <v>30</v>
      </c>
      <c r="X3" s="491"/>
      <c r="Y3" s="534" t="s">
        <v>733</v>
      </c>
      <c r="Z3" s="495"/>
      <c r="AA3" s="535" t="s">
        <v>734</v>
      </c>
      <c r="AB3" s="536"/>
      <c r="AC3" s="534" t="s">
        <v>287</v>
      </c>
      <c r="AD3" s="495"/>
      <c r="AE3" s="528" t="s">
        <v>24</v>
      </c>
      <c r="AF3" s="529" t="s">
        <v>25</v>
      </c>
      <c r="AG3" s="507" t="s">
        <v>735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70" t="s">
        <v>37</v>
      </c>
      <c r="T4" s="170" t="s">
        <v>38</v>
      </c>
      <c r="U4" s="533"/>
      <c r="V4" s="533"/>
      <c r="W4" s="159" t="s">
        <v>39</v>
      </c>
      <c r="X4" s="159" t="s">
        <v>292</v>
      </c>
      <c r="Y4" s="162" t="s">
        <v>638</v>
      </c>
      <c r="Z4" s="162" t="s">
        <v>192</v>
      </c>
      <c r="AA4" s="537"/>
      <c r="AB4" s="536"/>
      <c r="AC4" s="162" t="s">
        <v>736</v>
      </c>
      <c r="AD4" s="162" t="s">
        <v>690</v>
      </c>
      <c r="AE4" s="528"/>
      <c r="AF4" s="529"/>
      <c r="AG4" s="507"/>
    </row>
    <row r="5" spans="1:33">
      <c r="A5" s="530" t="s">
        <v>45</v>
      </c>
      <c r="B5" s="42" t="s">
        <v>103</v>
      </c>
      <c r="C5" s="532" t="s">
        <v>120</v>
      </c>
      <c r="D5" s="532"/>
      <c r="E5" s="42">
        <v>50.67</v>
      </c>
      <c r="F5" s="170">
        <v>1415</v>
      </c>
      <c r="G5" s="159">
        <f t="shared" ref="G5:G10" si="0">E5*F5</f>
        <v>71698.05</v>
      </c>
      <c r="H5" s="125" t="s">
        <v>79</v>
      </c>
      <c r="I5" s="168">
        <v>17</v>
      </c>
      <c r="J5" s="37">
        <v>2000</v>
      </c>
      <c r="K5" s="17">
        <f t="shared" ref="K5:K68" si="1">J5/I5</f>
        <v>117.64705882352941</v>
      </c>
      <c r="L5" s="168">
        <v>17</v>
      </c>
      <c r="M5" s="18">
        <f t="shared" ref="M5:M10" si="2">F5/V5*60</f>
        <v>1929.5454545454545</v>
      </c>
      <c r="N5" s="17">
        <f t="shared" ref="N5:N68" si="3">M5/L5</f>
        <v>113.50267379679144</v>
      </c>
      <c r="O5" s="19">
        <f t="shared" ref="O5:O68" si="4">L5-I5</f>
        <v>0</v>
      </c>
      <c r="P5" s="20">
        <f t="shared" ref="P5:P68" si="5">N5-K5</f>
        <v>-4.1443850267379645</v>
      </c>
      <c r="Q5" s="158">
        <f t="shared" ref="Q5:Q68" si="6">N5/K5</f>
        <v>0.96477272727272734</v>
      </c>
      <c r="R5" s="489">
        <f>Q11</f>
        <v>0.96095316482582882</v>
      </c>
      <c r="S5" s="40">
        <v>0.70833333333333337</v>
      </c>
      <c r="T5" s="40">
        <v>0.73888888888888893</v>
      </c>
      <c r="U5" s="159"/>
      <c r="V5" s="169">
        <f t="shared" ref="V5:V10" si="7">(T5-S5)*24*60</f>
        <v>44</v>
      </c>
      <c r="W5" s="23"/>
      <c r="X5" s="24"/>
      <c r="Y5" s="24"/>
      <c r="Z5" s="24"/>
      <c r="AA5" s="491"/>
      <c r="AB5" s="491"/>
      <c r="AC5" s="154">
        <v>3</v>
      </c>
      <c r="AD5" s="25"/>
      <c r="AE5" s="19">
        <f t="shared" ref="AE5:AE68" si="8">M5-J5</f>
        <v>-70.454545454545496</v>
      </c>
      <c r="AF5" s="158">
        <f t="shared" ref="AF5:AF68" si="9">M5/J5</f>
        <v>0.96477272727272723</v>
      </c>
      <c r="AG5" s="489">
        <f>AF11</f>
        <v>0.96095316482582893</v>
      </c>
    </row>
    <row r="6" spans="1:33">
      <c r="A6" s="531" t="s">
        <v>692</v>
      </c>
      <c r="B6" s="42" t="s">
        <v>103</v>
      </c>
      <c r="C6" s="532" t="s">
        <v>121</v>
      </c>
      <c r="D6" s="532"/>
      <c r="E6" s="42">
        <v>54.09</v>
      </c>
      <c r="F6" s="170">
        <v>1413</v>
      </c>
      <c r="G6" s="159">
        <f t="shared" si="0"/>
        <v>76429.17</v>
      </c>
      <c r="H6" s="125" t="s">
        <v>79</v>
      </c>
      <c r="I6" s="168">
        <v>19</v>
      </c>
      <c r="J6" s="37">
        <v>2000</v>
      </c>
      <c r="K6" s="17">
        <f t="shared" si="1"/>
        <v>105.26315789473684</v>
      </c>
      <c r="L6" s="168">
        <v>19</v>
      </c>
      <c r="M6" s="18">
        <f t="shared" si="2"/>
        <v>1926.818181818182</v>
      </c>
      <c r="N6" s="17">
        <f t="shared" si="3"/>
        <v>101.41148325358853</v>
      </c>
      <c r="O6" s="19">
        <f t="shared" si="4"/>
        <v>0</v>
      </c>
      <c r="P6" s="20">
        <f t="shared" si="5"/>
        <v>-3.8516746411483069</v>
      </c>
      <c r="Q6" s="158">
        <f t="shared" si="6"/>
        <v>0.9634090909090911</v>
      </c>
      <c r="R6" s="489"/>
      <c r="S6" s="40">
        <v>0.74444444444444446</v>
      </c>
      <c r="T6" s="40">
        <v>0.77500000000000002</v>
      </c>
      <c r="U6" s="159">
        <f t="shared" ref="U6:U10" si="10">IF(S6=TIME(17,0,0),"",(S6-T5)*24*60)</f>
        <v>7.9999999999999716</v>
      </c>
      <c r="V6" s="169">
        <f t="shared" si="7"/>
        <v>44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-73.181818181818016</v>
      </c>
      <c r="AF6" s="158">
        <f t="shared" si="9"/>
        <v>0.96340909090909099</v>
      </c>
      <c r="AG6" s="489"/>
    </row>
    <row r="7" spans="1:33">
      <c r="A7" s="531" t="s">
        <v>691</v>
      </c>
      <c r="B7" s="42" t="s">
        <v>103</v>
      </c>
      <c r="C7" s="523" t="s">
        <v>515</v>
      </c>
      <c r="D7" s="524"/>
      <c r="E7" s="42">
        <v>48.36</v>
      </c>
      <c r="F7" s="170">
        <v>1400</v>
      </c>
      <c r="G7" s="159">
        <f t="shared" si="0"/>
        <v>67704</v>
      </c>
      <c r="H7" s="125">
        <v>2</v>
      </c>
      <c r="I7" s="168">
        <v>21</v>
      </c>
      <c r="J7" s="37">
        <v>2000</v>
      </c>
      <c r="K7" s="17">
        <f t="shared" si="1"/>
        <v>95.238095238095241</v>
      </c>
      <c r="L7" s="168">
        <v>21</v>
      </c>
      <c r="M7" s="18">
        <f t="shared" si="2"/>
        <v>1909.090909090909</v>
      </c>
      <c r="N7" s="17">
        <f t="shared" si="3"/>
        <v>90.909090909090907</v>
      </c>
      <c r="O7" s="19">
        <f t="shared" si="4"/>
        <v>0</v>
      </c>
      <c r="P7" s="20">
        <f t="shared" si="5"/>
        <v>-4.3290043290043343</v>
      </c>
      <c r="Q7" s="158">
        <f t="shared" si="6"/>
        <v>0.95454545454545447</v>
      </c>
      <c r="R7" s="489"/>
      <c r="S7" s="40">
        <v>0.77916666666666667</v>
      </c>
      <c r="T7" s="40">
        <v>0.80972222222222223</v>
      </c>
      <c r="U7" s="159">
        <f t="shared" si="10"/>
        <v>5.9999999999999787</v>
      </c>
      <c r="V7" s="169">
        <f t="shared" si="7"/>
        <v>44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-90.909090909090992</v>
      </c>
      <c r="AF7" s="158">
        <f t="shared" si="9"/>
        <v>0.95454545454545447</v>
      </c>
      <c r="AG7" s="489"/>
    </row>
    <row r="8" spans="1:33">
      <c r="A8" s="531" t="s">
        <v>45</v>
      </c>
      <c r="B8" s="42" t="s">
        <v>103</v>
      </c>
      <c r="C8" s="523" t="s">
        <v>122</v>
      </c>
      <c r="D8" s="524"/>
      <c r="E8" s="42">
        <v>50.29</v>
      </c>
      <c r="F8" s="170">
        <v>700</v>
      </c>
      <c r="G8" s="159">
        <f t="shared" si="0"/>
        <v>35203</v>
      </c>
      <c r="H8" s="125">
        <v>2</v>
      </c>
      <c r="I8" s="168">
        <v>16</v>
      </c>
      <c r="J8" s="37">
        <v>2000</v>
      </c>
      <c r="K8" s="17">
        <f t="shared" si="1"/>
        <v>125</v>
      </c>
      <c r="L8" s="168">
        <v>16</v>
      </c>
      <c r="M8" s="18">
        <f t="shared" si="2"/>
        <v>1909.0909090909158</v>
      </c>
      <c r="N8" s="17">
        <f t="shared" si="3"/>
        <v>119.31818181818224</v>
      </c>
      <c r="O8" s="19">
        <f t="shared" si="4"/>
        <v>0</v>
      </c>
      <c r="P8" s="20">
        <f t="shared" si="5"/>
        <v>-5.6818181818177607</v>
      </c>
      <c r="Q8" s="158">
        <f t="shared" si="6"/>
        <v>0.95454545454545792</v>
      </c>
      <c r="R8" s="489"/>
      <c r="S8" s="40">
        <v>0.81527777777777777</v>
      </c>
      <c r="T8" s="40">
        <v>0.83055555555555549</v>
      </c>
      <c r="U8" s="159">
        <f t="shared" si="10"/>
        <v>7.9999999999999716</v>
      </c>
      <c r="V8" s="169">
        <f t="shared" si="7"/>
        <v>21.999999999999922</v>
      </c>
      <c r="W8" s="23">
        <f>T8</f>
        <v>0.83055555555555549</v>
      </c>
      <c r="X8" s="23">
        <f>S9</f>
        <v>0.87222222222222212</v>
      </c>
      <c r="Y8" s="29"/>
      <c r="Z8" s="29"/>
      <c r="AA8" s="503"/>
      <c r="AB8" s="504"/>
      <c r="AC8" s="155"/>
      <c r="AD8" s="27"/>
      <c r="AE8" s="19">
        <f t="shared" si="8"/>
        <v>-90.909090909084171</v>
      </c>
      <c r="AF8" s="158">
        <f t="shared" si="9"/>
        <v>0.95454545454545792</v>
      </c>
      <c r="AG8" s="489"/>
    </row>
    <row r="9" spans="1:33">
      <c r="A9" s="531" t="s">
        <v>691</v>
      </c>
      <c r="B9" s="42" t="s">
        <v>103</v>
      </c>
      <c r="C9" s="523" t="s">
        <v>515</v>
      </c>
      <c r="D9" s="524"/>
      <c r="E9" s="42">
        <v>48.36</v>
      </c>
      <c r="F9" s="170">
        <v>3414</v>
      </c>
      <c r="G9" s="159">
        <f t="shared" si="0"/>
        <v>165101.04</v>
      </c>
      <c r="H9" s="125" t="s">
        <v>79</v>
      </c>
      <c r="I9" s="168">
        <v>21</v>
      </c>
      <c r="J9" s="37">
        <v>2000</v>
      </c>
      <c r="K9" s="17">
        <f t="shared" si="1"/>
        <v>95.238095238095241</v>
      </c>
      <c r="L9" s="168">
        <v>21</v>
      </c>
      <c r="M9" s="18">
        <f t="shared" si="2"/>
        <v>1914.392523364487</v>
      </c>
      <c r="N9" s="17">
        <f t="shared" si="3"/>
        <v>91.161548731642242</v>
      </c>
      <c r="O9" s="19">
        <f t="shared" si="4"/>
        <v>0</v>
      </c>
      <c r="P9" s="20">
        <f t="shared" si="5"/>
        <v>-4.0765465064529991</v>
      </c>
      <c r="Q9" s="158">
        <f t="shared" si="6"/>
        <v>0.95719626168224348</v>
      </c>
      <c r="R9" s="489"/>
      <c r="S9" s="40">
        <v>0.87222222222222212</v>
      </c>
      <c r="T9" s="40">
        <v>0.94652777777777763</v>
      </c>
      <c r="U9" s="159">
        <f t="shared" si="10"/>
        <v>59.999999999999943</v>
      </c>
      <c r="V9" s="169">
        <f t="shared" si="7"/>
        <v>106.99999999999994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-85.607476635512967</v>
      </c>
      <c r="AF9" s="158">
        <f t="shared" si="9"/>
        <v>0.95719626168224348</v>
      </c>
      <c r="AG9" s="489"/>
    </row>
    <row r="10" spans="1:33">
      <c r="A10" s="531" t="s">
        <v>45</v>
      </c>
      <c r="B10" s="42" t="s">
        <v>103</v>
      </c>
      <c r="C10" s="523" t="s">
        <v>122</v>
      </c>
      <c r="D10" s="524"/>
      <c r="E10" s="42">
        <v>50.29</v>
      </c>
      <c r="F10" s="170">
        <v>1036</v>
      </c>
      <c r="G10" s="159">
        <f t="shared" si="0"/>
        <v>52100.44</v>
      </c>
      <c r="H10" s="125" t="s">
        <v>79</v>
      </c>
      <c r="I10" s="168">
        <v>16</v>
      </c>
      <c r="J10" s="37">
        <v>2000</v>
      </c>
      <c r="K10" s="17">
        <f t="shared" si="1"/>
        <v>125</v>
      </c>
      <c r="L10" s="168">
        <v>16</v>
      </c>
      <c r="M10" s="18">
        <f t="shared" si="2"/>
        <v>1942.4999999999975</v>
      </c>
      <c r="N10" s="17">
        <f t="shared" si="3"/>
        <v>121.40624999999984</v>
      </c>
      <c r="O10" s="19">
        <f t="shared" si="4"/>
        <v>0</v>
      </c>
      <c r="P10" s="20">
        <f t="shared" si="5"/>
        <v>-3.5937500000001563</v>
      </c>
      <c r="Q10" s="158">
        <f t="shared" si="6"/>
        <v>0.97124999999999873</v>
      </c>
      <c r="R10" s="489"/>
      <c r="S10" s="40">
        <v>0.95069444444444429</v>
      </c>
      <c r="T10" s="40">
        <v>0.97291666666666654</v>
      </c>
      <c r="U10" s="159">
        <f t="shared" si="10"/>
        <v>5.9999999999999787</v>
      </c>
      <c r="V10" s="169">
        <f t="shared" si="7"/>
        <v>32.000000000000043</v>
      </c>
      <c r="W10" s="23"/>
      <c r="X10" s="23"/>
      <c r="Y10" s="26"/>
      <c r="Z10" s="26"/>
      <c r="AA10" s="503"/>
      <c r="AB10" s="504"/>
      <c r="AC10" s="155"/>
      <c r="AD10" s="27"/>
      <c r="AE10" s="19">
        <f t="shared" si="8"/>
        <v>-57.500000000002501</v>
      </c>
      <c r="AF10" s="158">
        <f t="shared" si="9"/>
        <v>0.97124999999999873</v>
      </c>
      <c r="AG10" s="489"/>
    </row>
    <row r="11" spans="1:33">
      <c r="A11" s="531" t="s">
        <v>691</v>
      </c>
      <c r="B11" s="42" t="s">
        <v>737</v>
      </c>
      <c r="C11" s="494"/>
      <c r="D11" s="494"/>
      <c r="E11" s="161"/>
      <c r="F11" s="44"/>
      <c r="G11" s="17"/>
      <c r="H11" s="170"/>
      <c r="I11" s="30">
        <v>18</v>
      </c>
      <c r="J11" s="37">
        <v>2000</v>
      </c>
      <c r="K11" s="17">
        <f t="shared" si="1"/>
        <v>111.11111111111111</v>
      </c>
      <c r="L11" s="30">
        <v>18</v>
      </c>
      <c r="M11" s="18">
        <f>AVERAGE(M5:M10)</f>
        <v>1921.9063296516579</v>
      </c>
      <c r="N11" s="17">
        <f t="shared" si="3"/>
        <v>106.77257386953654</v>
      </c>
      <c r="O11" s="19">
        <f t="shared" si="4"/>
        <v>0</v>
      </c>
      <c r="P11" s="20">
        <f t="shared" si="5"/>
        <v>-4.3385372415745707</v>
      </c>
      <c r="Q11" s="158">
        <f t="shared" si="6"/>
        <v>0.96095316482582882</v>
      </c>
      <c r="R11" s="489"/>
      <c r="S11" s="40"/>
      <c r="T11" s="40"/>
      <c r="U11" s="159"/>
      <c r="V11" s="169"/>
      <c r="W11" s="17"/>
      <c r="X11" s="17"/>
      <c r="Y11" s="31">
        <f>SUM(Y5:Y10)</f>
        <v>0</v>
      </c>
      <c r="Z11" s="31">
        <f>SUM(Z5:Z10)</f>
        <v>0</v>
      </c>
      <c r="AA11" s="495"/>
      <c r="AB11" s="495"/>
      <c r="AC11" s="31">
        <v>3</v>
      </c>
      <c r="AD11" s="31">
        <f>SUM(AD5:AD10)</f>
        <v>0</v>
      </c>
      <c r="AE11" s="19">
        <f t="shared" si="8"/>
        <v>-78.09367034834213</v>
      </c>
      <c r="AF11" s="158">
        <f t="shared" si="9"/>
        <v>0.96095316482582893</v>
      </c>
      <c r="AG11" s="489"/>
    </row>
    <row r="12" spans="1:33" ht="15.75" customHeight="1">
      <c r="A12" s="527" t="s">
        <v>50</v>
      </c>
      <c r="B12" s="42" t="s">
        <v>100</v>
      </c>
      <c r="C12" s="523" t="s">
        <v>124</v>
      </c>
      <c r="D12" s="524"/>
      <c r="E12" s="42">
        <v>39.619999999999997</v>
      </c>
      <c r="F12" s="170">
        <v>2797</v>
      </c>
      <c r="G12" s="159">
        <f t="shared" ref="G12:G13" si="11">E12*F12</f>
        <v>110817.14</v>
      </c>
      <c r="H12" s="125" t="s">
        <v>79</v>
      </c>
      <c r="I12" s="168">
        <v>19</v>
      </c>
      <c r="J12" s="37">
        <v>1500</v>
      </c>
      <c r="K12" s="17">
        <f t="shared" si="1"/>
        <v>78.94736842105263</v>
      </c>
      <c r="L12" s="168">
        <v>19</v>
      </c>
      <c r="M12" s="18">
        <f t="shared" ref="M12:M13" si="12">F12/V12*60</f>
        <v>1434.3589743589739</v>
      </c>
      <c r="N12" s="17">
        <f t="shared" si="3"/>
        <v>75.492577597840736</v>
      </c>
      <c r="O12" s="19">
        <f t="shared" si="4"/>
        <v>0</v>
      </c>
      <c r="P12" s="20">
        <f t="shared" si="5"/>
        <v>-3.4547908232118942</v>
      </c>
      <c r="Q12" s="158">
        <f t="shared" si="6"/>
        <v>0.95623931623931602</v>
      </c>
      <c r="R12" s="489">
        <f>Q14</f>
        <v>0.95407594227266357</v>
      </c>
      <c r="S12" s="40">
        <v>0.16666666666666666</v>
      </c>
      <c r="T12" s="40">
        <v>0.24791666666666667</v>
      </c>
      <c r="U12" s="159"/>
      <c r="V12" s="169">
        <f t="shared" ref="V12:V13" si="13">(T12-S12)*24*60</f>
        <v>117.00000000000003</v>
      </c>
      <c r="W12" s="23">
        <f>T12</f>
        <v>0.24791666666666667</v>
      </c>
      <c r="X12" s="23">
        <f>S13</f>
        <v>0.26805555555555555</v>
      </c>
      <c r="Y12" s="23"/>
      <c r="Z12" s="23"/>
      <c r="AA12" s="491"/>
      <c r="AB12" s="491"/>
      <c r="AC12" s="154">
        <v>2</v>
      </c>
      <c r="AD12" s="25"/>
      <c r="AE12" s="19">
        <f t="shared" si="8"/>
        <v>-65.64102564102609</v>
      </c>
      <c r="AF12" s="158">
        <f t="shared" si="9"/>
        <v>0.95623931623931591</v>
      </c>
      <c r="AG12" s="489">
        <f>AF14</f>
        <v>0.95407594227266346</v>
      </c>
    </row>
    <row r="13" spans="1:33" ht="15.75" customHeight="1">
      <c r="A13" s="527" t="s">
        <v>50</v>
      </c>
      <c r="B13" s="42" t="s">
        <v>100</v>
      </c>
      <c r="C13" s="523" t="s">
        <v>125</v>
      </c>
      <c r="D13" s="524"/>
      <c r="E13" s="42">
        <v>39.799999999999997</v>
      </c>
      <c r="F13" s="170">
        <v>4355</v>
      </c>
      <c r="G13" s="159">
        <f t="shared" si="11"/>
        <v>173329</v>
      </c>
      <c r="H13" s="125" t="s">
        <v>79</v>
      </c>
      <c r="I13" s="168">
        <v>17</v>
      </c>
      <c r="J13" s="37">
        <v>1500</v>
      </c>
      <c r="K13" s="17">
        <f t="shared" si="1"/>
        <v>88.235294117647058</v>
      </c>
      <c r="L13" s="168">
        <v>17</v>
      </c>
      <c r="M13" s="18">
        <f t="shared" si="12"/>
        <v>1427.8688524590164</v>
      </c>
      <c r="N13" s="17">
        <f t="shared" si="3"/>
        <v>83.992285438765663</v>
      </c>
      <c r="O13" s="19">
        <f t="shared" si="4"/>
        <v>0</v>
      </c>
      <c r="P13" s="20">
        <f t="shared" si="5"/>
        <v>-4.2430086788813952</v>
      </c>
      <c r="Q13" s="158">
        <f t="shared" si="6"/>
        <v>0.9519125683060109</v>
      </c>
      <c r="R13" s="489"/>
      <c r="S13" s="40">
        <v>0.26805555555555555</v>
      </c>
      <c r="T13" s="40">
        <v>0.39513888888888887</v>
      </c>
      <c r="U13" s="159">
        <f t="shared" ref="U13" si="14">IF(S13=TIME(17,0,0),"",(S13-T12)*24*60)</f>
        <v>28.999999999999979</v>
      </c>
      <c r="V13" s="169">
        <f t="shared" si="13"/>
        <v>183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-72.131147540983648</v>
      </c>
      <c r="AF13" s="158">
        <f t="shared" si="9"/>
        <v>0.9519125683060109</v>
      </c>
      <c r="AG13" s="489"/>
    </row>
    <row r="14" spans="1:33" ht="16.5" customHeight="1">
      <c r="A14" s="527" t="s">
        <v>50</v>
      </c>
      <c r="B14" s="42" t="s">
        <v>71</v>
      </c>
      <c r="C14" s="494"/>
      <c r="D14" s="494"/>
      <c r="E14" s="161"/>
      <c r="F14" s="37"/>
      <c r="G14" s="18"/>
      <c r="H14" s="170"/>
      <c r="I14" s="30">
        <v>18</v>
      </c>
      <c r="J14" s="37">
        <v>1500</v>
      </c>
      <c r="K14" s="17">
        <f t="shared" si="1"/>
        <v>83.333333333333329</v>
      </c>
      <c r="L14" s="30">
        <v>18</v>
      </c>
      <c r="M14" s="18">
        <f>AVERAGE(M12:M13)</f>
        <v>1431.1139134089951</v>
      </c>
      <c r="N14" s="17">
        <f t="shared" si="3"/>
        <v>79.506328522721958</v>
      </c>
      <c r="O14" s="19">
        <f t="shared" si="4"/>
        <v>0</v>
      </c>
      <c r="P14" s="20">
        <f t="shared" si="5"/>
        <v>-3.8270048106113705</v>
      </c>
      <c r="Q14" s="158">
        <f t="shared" si="6"/>
        <v>0.95407594227266357</v>
      </c>
      <c r="R14" s="489"/>
      <c r="S14" s="40"/>
      <c r="T14" s="40"/>
      <c r="U14" s="17"/>
      <c r="V14" s="169"/>
      <c r="W14" s="17"/>
      <c r="X14" s="17"/>
      <c r="Y14" s="31">
        <f>SUM(Y12:Y13)</f>
        <v>0</v>
      </c>
      <c r="Z14" s="31">
        <f>SUM(Z12:Z13)</f>
        <v>0</v>
      </c>
      <c r="AA14" s="495"/>
      <c r="AB14" s="495"/>
      <c r="AC14" s="31">
        <v>2</v>
      </c>
      <c r="AD14" s="31">
        <f>SUM(AD12:AD13)</f>
        <v>0</v>
      </c>
      <c r="AE14" s="19">
        <f t="shared" si="8"/>
        <v>-68.886086591004869</v>
      </c>
      <c r="AF14" s="158">
        <f t="shared" si="9"/>
        <v>0.95407594227266346</v>
      </c>
      <c r="AG14" s="489"/>
    </row>
    <row r="15" spans="1:33" ht="16.5" customHeight="1">
      <c r="A15" s="525" t="s">
        <v>52</v>
      </c>
      <c r="B15" s="170" t="s">
        <v>126</v>
      </c>
      <c r="C15" s="515" t="s">
        <v>127</v>
      </c>
      <c r="D15" s="515"/>
      <c r="E15" s="42">
        <v>41</v>
      </c>
      <c r="F15" s="170">
        <v>2676</v>
      </c>
      <c r="G15" s="159">
        <f t="shared" ref="G15:G23" si="15">E15*F15</f>
        <v>109716</v>
      </c>
      <c r="H15" s="125" t="s">
        <v>79</v>
      </c>
      <c r="I15" s="168">
        <v>26</v>
      </c>
      <c r="J15" s="37">
        <v>1500</v>
      </c>
      <c r="K15" s="17">
        <f t="shared" si="1"/>
        <v>57.692307692307693</v>
      </c>
      <c r="L15" s="168">
        <v>26</v>
      </c>
      <c r="M15" s="18">
        <f t="shared" ref="M15:M23" si="16">F15/V15*60</f>
        <v>1433.5714285714291</v>
      </c>
      <c r="N15" s="17">
        <f t="shared" si="3"/>
        <v>55.137362637362656</v>
      </c>
      <c r="O15" s="19">
        <f t="shared" si="4"/>
        <v>0</v>
      </c>
      <c r="P15" s="20">
        <f t="shared" si="5"/>
        <v>-2.554945054945037</v>
      </c>
      <c r="Q15" s="158">
        <f t="shared" si="6"/>
        <v>0.95571428571428607</v>
      </c>
      <c r="R15" s="489">
        <f>Q24</f>
        <v>0.95683553065226512</v>
      </c>
      <c r="S15" s="40">
        <v>0.20833333333333334</v>
      </c>
      <c r="T15" s="40">
        <v>0.28611111111111109</v>
      </c>
      <c r="U15" s="159"/>
      <c r="V15" s="169">
        <f t="shared" ref="V15:V23" si="17">(T15-S15)*24*60</f>
        <v>111.99999999999996</v>
      </c>
      <c r="W15" s="28"/>
      <c r="X15" s="28"/>
      <c r="Y15" s="28"/>
      <c r="Z15" s="28"/>
      <c r="AA15" s="491"/>
      <c r="AB15" s="491"/>
      <c r="AC15" s="154">
        <v>4</v>
      </c>
      <c r="AD15" s="25"/>
      <c r="AE15" s="19">
        <f t="shared" si="8"/>
        <v>-66.428571428570876</v>
      </c>
      <c r="AF15" s="158">
        <f t="shared" si="9"/>
        <v>0.95571428571428607</v>
      </c>
      <c r="AG15" s="489">
        <f>AF24</f>
        <v>0.95683553065226512</v>
      </c>
    </row>
    <row r="16" spans="1:33" ht="16.5" customHeight="1">
      <c r="A16" s="526" t="s">
        <v>52</v>
      </c>
      <c r="B16" s="170" t="s">
        <v>128</v>
      </c>
      <c r="C16" s="515" t="s">
        <v>129</v>
      </c>
      <c r="D16" s="515"/>
      <c r="E16" s="42">
        <v>72.400000000000006</v>
      </c>
      <c r="F16" s="170">
        <v>1194</v>
      </c>
      <c r="G16" s="159">
        <f t="shared" si="15"/>
        <v>86445.6</v>
      </c>
      <c r="H16" s="125" t="s">
        <v>79</v>
      </c>
      <c r="I16" s="168">
        <v>18</v>
      </c>
      <c r="J16" s="37">
        <v>1500</v>
      </c>
      <c r="K16" s="17">
        <f t="shared" si="1"/>
        <v>83.333333333333329</v>
      </c>
      <c r="L16" s="168">
        <v>18</v>
      </c>
      <c r="M16" s="18">
        <f t="shared" si="16"/>
        <v>1432.8000000000004</v>
      </c>
      <c r="N16" s="17">
        <f t="shared" si="3"/>
        <v>79.600000000000023</v>
      </c>
      <c r="O16" s="19">
        <f t="shared" si="4"/>
        <v>0</v>
      </c>
      <c r="P16" s="20">
        <f t="shared" si="5"/>
        <v>-3.7333333333333059</v>
      </c>
      <c r="Q16" s="158">
        <f t="shared" si="6"/>
        <v>0.95520000000000038</v>
      </c>
      <c r="R16" s="489"/>
      <c r="S16" s="40">
        <v>0.29097222222222219</v>
      </c>
      <c r="T16" s="40">
        <v>0.3256944444444444</v>
      </c>
      <c r="U16" s="159">
        <f t="shared" ref="U16:U23" si="18">IF(S16=TIME(17,0,0),"",(S16-T15)*24*60)</f>
        <v>6.9999999999999751</v>
      </c>
      <c r="V16" s="169">
        <f t="shared" si="17"/>
        <v>49.999999999999986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-67.199999999999591</v>
      </c>
      <c r="AF16" s="158">
        <f t="shared" si="9"/>
        <v>0.95520000000000027</v>
      </c>
      <c r="AG16" s="489"/>
    </row>
    <row r="17" spans="1:33" ht="16.5" customHeight="1">
      <c r="A17" s="526" t="s">
        <v>738</v>
      </c>
      <c r="B17" s="170" t="s">
        <v>130</v>
      </c>
      <c r="C17" s="515" t="s">
        <v>131</v>
      </c>
      <c r="D17" s="515"/>
      <c r="E17" s="42">
        <v>50.67</v>
      </c>
      <c r="F17" s="170">
        <v>1305</v>
      </c>
      <c r="G17" s="159">
        <f t="shared" si="15"/>
        <v>66124.350000000006</v>
      </c>
      <c r="H17" s="125" t="s">
        <v>79</v>
      </c>
      <c r="I17" s="168">
        <v>16</v>
      </c>
      <c r="J17" s="37">
        <v>1500</v>
      </c>
      <c r="K17" s="17">
        <f t="shared" si="1"/>
        <v>93.75</v>
      </c>
      <c r="L17" s="168">
        <v>16</v>
      </c>
      <c r="M17" s="18">
        <f t="shared" si="16"/>
        <v>1450.0000000000007</v>
      </c>
      <c r="N17" s="17">
        <f t="shared" si="3"/>
        <v>90.625000000000043</v>
      </c>
      <c r="O17" s="19">
        <f t="shared" si="4"/>
        <v>0</v>
      </c>
      <c r="P17" s="20">
        <f t="shared" si="5"/>
        <v>-3.1249999999999574</v>
      </c>
      <c r="Q17" s="158">
        <f t="shared" si="6"/>
        <v>0.96666666666666712</v>
      </c>
      <c r="R17" s="489"/>
      <c r="S17" s="40">
        <v>0.32986111111111105</v>
      </c>
      <c r="T17" s="40">
        <v>0.36736111111111103</v>
      </c>
      <c r="U17" s="159">
        <f t="shared" si="18"/>
        <v>5.9999999999999787</v>
      </c>
      <c r="V17" s="169">
        <f t="shared" si="17"/>
        <v>53.999999999999972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-49.999999999999318</v>
      </c>
      <c r="AF17" s="158">
        <f t="shared" si="9"/>
        <v>0.96666666666666712</v>
      </c>
      <c r="AG17" s="489"/>
    </row>
    <row r="18" spans="1:33" ht="16.5" customHeight="1">
      <c r="A18" s="526" t="s">
        <v>52</v>
      </c>
      <c r="B18" s="170" t="s">
        <v>103</v>
      </c>
      <c r="C18" s="515" t="s">
        <v>123</v>
      </c>
      <c r="D18" s="515"/>
      <c r="E18" s="42">
        <v>50.98</v>
      </c>
      <c r="F18" s="170">
        <v>700</v>
      </c>
      <c r="G18" s="159">
        <f t="shared" si="15"/>
        <v>35686</v>
      </c>
      <c r="H18" s="125">
        <v>2</v>
      </c>
      <c r="I18" s="168">
        <v>16</v>
      </c>
      <c r="J18" s="37">
        <v>2000</v>
      </c>
      <c r="K18" s="17">
        <f t="shared" si="1"/>
        <v>125</v>
      </c>
      <c r="L18" s="168">
        <v>16</v>
      </c>
      <c r="M18" s="18">
        <f t="shared" si="16"/>
        <v>1909.0909090909158</v>
      </c>
      <c r="N18" s="17">
        <f t="shared" si="3"/>
        <v>119.31818181818224</v>
      </c>
      <c r="O18" s="19">
        <f t="shared" si="4"/>
        <v>0</v>
      </c>
      <c r="P18" s="20">
        <f t="shared" si="5"/>
        <v>-5.6818181818177607</v>
      </c>
      <c r="Q18" s="158">
        <f t="shared" si="6"/>
        <v>0.95454545454545792</v>
      </c>
      <c r="R18" s="489"/>
      <c r="S18" s="40">
        <v>0.70833333333333337</v>
      </c>
      <c r="T18" s="40">
        <v>0.72361111111111109</v>
      </c>
      <c r="U18" s="159" t="str">
        <f t="shared" si="18"/>
        <v/>
      </c>
      <c r="V18" s="169">
        <f t="shared" si="17"/>
        <v>21.999999999999922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-90.909090909084171</v>
      </c>
      <c r="AF18" s="158">
        <f t="shared" si="9"/>
        <v>0.95454545454545792</v>
      </c>
      <c r="AG18" s="489"/>
    </row>
    <row r="19" spans="1:33" ht="16.5" customHeight="1">
      <c r="A19" s="526" t="s">
        <v>52</v>
      </c>
      <c r="B19" s="170" t="s">
        <v>103</v>
      </c>
      <c r="C19" s="515" t="s">
        <v>132</v>
      </c>
      <c r="D19" s="515"/>
      <c r="E19" s="42">
        <v>50.92</v>
      </c>
      <c r="F19" s="170">
        <v>900</v>
      </c>
      <c r="G19" s="159">
        <f t="shared" si="15"/>
        <v>45828</v>
      </c>
      <c r="H19" s="125">
        <v>2</v>
      </c>
      <c r="I19" s="168">
        <v>15</v>
      </c>
      <c r="J19" s="37">
        <v>2000</v>
      </c>
      <c r="K19" s="17">
        <f t="shared" si="1"/>
        <v>133.33333333333334</v>
      </c>
      <c r="L19" s="168">
        <v>15</v>
      </c>
      <c r="M19" s="18">
        <f t="shared" si="16"/>
        <v>1928.5714285714246</v>
      </c>
      <c r="N19" s="17">
        <f t="shared" si="3"/>
        <v>128.5714285714283</v>
      </c>
      <c r="O19" s="19">
        <f t="shared" si="4"/>
        <v>0</v>
      </c>
      <c r="P19" s="20">
        <f t="shared" si="5"/>
        <v>-4.7619047619050434</v>
      </c>
      <c r="Q19" s="158">
        <f t="shared" si="6"/>
        <v>0.96428571428571219</v>
      </c>
      <c r="R19" s="489"/>
      <c r="S19" s="40">
        <v>0.72777777777777775</v>
      </c>
      <c r="T19" s="40">
        <v>0.74722222222222223</v>
      </c>
      <c r="U19" s="159">
        <f t="shared" si="18"/>
        <v>5.9999999999999787</v>
      </c>
      <c r="V19" s="169">
        <f t="shared" si="17"/>
        <v>28.00000000000006</v>
      </c>
      <c r="W19" s="23"/>
      <c r="X19" s="23"/>
      <c r="Y19" s="23"/>
      <c r="Z19" s="23"/>
      <c r="AA19" s="491"/>
      <c r="AB19" s="491"/>
      <c r="AC19" s="154"/>
      <c r="AD19" s="25"/>
      <c r="AE19" s="19">
        <f t="shared" si="8"/>
        <v>-71.428571428575424</v>
      </c>
      <c r="AF19" s="158">
        <f t="shared" si="9"/>
        <v>0.9642857142857123</v>
      </c>
      <c r="AG19" s="489"/>
    </row>
    <row r="20" spans="1:33" ht="16.5" customHeight="1">
      <c r="A20" s="526" t="s">
        <v>52</v>
      </c>
      <c r="B20" s="170" t="s">
        <v>103</v>
      </c>
      <c r="C20" s="521" t="s">
        <v>133</v>
      </c>
      <c r="D20" s="522"/>
      <c r="E20" s="42">
        <v>50.67</v>
      </c>
      <c r="F20" s="170">
        <v>1874</v>
      </c>
      <c r="G20" s="159">
        <f t="shared" si="15"/>
        <v>94955.58</v>
      </c>
      <c r="H20" s="125" t="s">
        <v>79</v>
      </c>
      <c r="I20" s="168">
        <v>15</v>
      </c>
      <c r="J20" s="37">
        <v>2000</v>
      </c>
      <c r="K20" s="17">
        <f t="shared" si="1"/>
        <v>133.33333333333334</v>
      </c>
      <c r="L20" s="168">
        <v>15</v>
      </c>
      <c r="M20" s="18">
        <f t="shared" si="16"/>
        <v>1905.7627118644084</v>
      </c>
      <c r="N20" s="17">
        <f t="shared" si="3"/>
        <v>127.05084745762723</v>
      </c>
      <c r="O20" s="19">
        <f t="shared" si="4"/>
        <v>0</v>
      </c>
      <c r="P20" s="20">
        <f t="shared" si="5"/>
        <v>-6.2824858757061151</v>
      </c>
      <c r="Q20" s="158">
        <f t="shared" si="6"/>
        <v>0.95288135593220413</v>
      </c>
      <c r="R20" s="489"/>
      <c r="S20" s="40">
        <v>0.75277777777777777</v>
      </c>
      <c r="T20" s="40">
        <v>0.79374999999999996</v>
      </c>
      <c r="U20" s="159">
        <f t="shared" si="18"/>
        <v>7.9999999999999716</v>
      </c>
      <c r="V20" s="169">
        <f t="shared" si="17"/>
        <v>58.99999999999995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-94.237288135591598</v>
      </c>
      <c r="AF20" s="158">
        <f t="shared" si="9"/>
        <v>0.95288135593220424</v>
      </c>
      <c r="AG20" s="489"/>
    </row>
    <row r="21" spans="1:33" ht="16.5" customHeight="1">
      <c r="A21" s="526" t="s">
        <v>52</v>
      </c>
      <c r="B21" s="170" t="s">
        <v>103</v>
      </c>
      <c r="C21" s="166" t="s">
        <v>134</v>
      </c>
      <c r="D21" s="167"/>
      <c r="E21" s="42">
        <v>57.3</v>
      </c>
      <c r="F21" s="170">
        <v>2221</v>
      </c>
      <c r="G21" s="159">
        <f t="shared" si="15"/>
        <v>127263.29999999999</v>
      </c>
      <c r="H21" s="125" t="s">
        <v>79</v>
      </c>
      <c r="I21" s="168">
        <v>13</v>
      </c>
      <c r="J21" s="37">
        <v>2000</v>
      </c>
      <c r="K21" s="17">
        <f t="shared" si="1"/>
        <v>153.84615384615384</v>
      </c>
      <c r="L21" s="168">
        <v>13</v>
      </c>
      <c r="M21" s="18">
        <f t="shared" si="16"/>
        <v>1903.7142857142837</v>
      </c>
      <c r="N21" s="17">
        <f t="shared" si="3"/>
        <v>146.4395604395603</v>
      </c>
      <c r="O21" s="19">
        <f t="shared" si="4"/>
        <v>0</v>
      </c>
      <c r="P21" s="20">
        <f t="shared" si="5"/>
        <v>-7.4065934065935437</v>
      </c>
      <c r="Q21" s="158">
        <f t="shared" si="6"/>
        <v>0.95185714285714196</v>
      </c>
      <c r="R21" s="489"/>
      <c r="S21" s="40">
        <v>0.79861111111111105</v>
      </c>
      <c r="T21" s="40">
        <v>0.84722222222222221</v>
      </c>
      <c r="U21" s="159">
        <f t="shared" si="18"/>
        <v>6.9999999999999751</v>
      </c>
      <c r="V21" s="169">
        <f t="shared" si="17"/>
        <v>70.000000000000071</v>
      </c>
      <c r="W21" s="23">
        <f>T21</f>
        <v>0.84722222222222221</v>
      </c>
      <c r="X21" s="23">
        <f>S22</f>
        <v>0.88749999999999996</v>
      </c>
      <c r="Y21" s="26"/>
      <c r="Z21" s="26"/>
      <c r="AA21" s="503"/>
      <c r="AB21" s="504"/>
      <c r="AC21" s="154"/>
      <c r="AD21" s="25"/>
      <c r="AE21" s="19">
        <f t="shared" si="8"/>
        <v>-96.285714285716267</v>
      </c>
      <c r="AF21" s="158">
        <f t="shared" si="9"/>
        <v>0.95185714285714185</v>
      </c>
      <c r="AG21" s="489"/>
    </row>
    <row r="22" spans="1:33" ht="16.5" customHeight="1">
      <c r="A22" s="526" t="s">
        <v>52</v>
      </c>
      <c r="B22" s="170" t="s">
        <v>103</v>
      </c>
      <c r="C22" s="166" t="s">
        <v>123</v>
      </c>
      <c r="D22" s="167"/>
      <c r="E22" s="42">
        <v>50.98</v>
      </c>
      <c r="F22" s="170">
        <v>1654</v>
      </c>
      <c r="G22" s="159">
        <f t="shared" si="15"/>
        <v>84320.92</v>
      </c>
      <c r="H22" s="125" t="s">
        <v>79</v>
      </c>
      <c r="I22" s="168">
        <v>16</v>
      </c>
      <c r="J22" s="37">
        <v>2000</v>
      </c>
      <c r="K22" s="17">
        <f t="shared" si="1"/>
        <v>125</v>
      </c>
      <c r="L22" s="168">
        <v>16</v>
      </c>
      <c r="M22" s="18">
        <f t="shared" si="16"/>
        <v>1908.4615384615395</v>
      </c>
      <c r="N22" s="17">
        <f t="shared" si="3"/>
        <v>119.27884615384622</v>
      </c>
      <c r="O22" s="19">
        <f t="shared" si="4"/>
        <v>0</v>
      </c>
      <c r="P22" s="20">
        <f t="shared" si="5"/>
        <v>-5.7211538461537828</v>
      </c>
      <c r="Q22" s="158">
        <f t="shared" si="6"/>
        <v>0.95423076923076977</v>
      </c>
      <c r="R22" s="489"/>
      <c r="S22" s="40">
        <v>0.88749999999999996</v>
      </c>
      <c r="T22" s="40">
        <v>0.92361111111111105</v>
      </c>
      <c r="U22" s="159">
        <f t="shared" si="18"/>
        <v>57.999999999999957</v>
      </c>
      <c r="V22" s="169">
        <f t="shared" si="17"/>
        <v>51.999999999999972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-91.538461538460524</v>
      </c>
      <c r="AF22" s="158">
        <f t="shared" si="9"/>
        <v>0.95423076923076977</v>
      </c>
      <c r="AG22" s="489"/>
    </row>
    <row r="23" spans="1:33" ht="16.5" customHeight="1">
      <c r="A23" s="526" t="s">
        <v>52</v>
      </c>
      <c r="B23" s="170" t="s">
        <v>103</v>
      </c>
      <c r="C23" s="521" t="s">
        <v>132</v>
      </c>
      <c r="D23" s="522"/>
      <c r="E23" s="42">
        <v>50.92</v>
      </c>
      <c r="F23" s="170">
        <v>1373</v>
      </c>
      <c r="G23" s="159">
        <f t="shared" si="15"/>
        <v>69913.16</v>
      </c>
      <c r="H23" s="125" t="s">
        <v>79</v>
      </c>
      <c r="I23" s="168">
        <v>15</v>
      </c>
      <c r="J23" s="37">
        <v>2000</v>
      </c>
      <c r="K23" s="17">
        <f t="shared" si="1"/>
        <v>133.33333333333334</v>
      </c>
      <c r="L23" s="168">
        <v>15</v>
      </c>
      <c r="M23" s="18">
        <f t="shared" si="16"/>
        <v>1915.8139534883717</v>
      </c>
      <c r="N23" s="17">
        <f t="shared" si="3"/>
        <v>127.72093023255812</v>
      </c>
      <c r="O23" s="19">
        <f t="shared" si="4"/>
        <v>0</v>
      </c>
      <c r="P23" s="20">
        <f t="shared" si="5"/>
        <v>-5.6124031007752251</v>
      </c>
      <c r="Q23" s="158">
        <f t="shared" si="6"/>
        <v>0.95790697674418579</v>
      </c>
      <c r="R23" s="489"/>
      <c r="S23" s="40">
        <v>0.92708333333333326</v>
      </c>
      <c r="T23" s="40">
        <v>0.95694444444444438</v>
      </c>
      <c r="U23" s="159">
        <f t="shared" si="18"/>
        <v>4.9999999999999822</v>
      </c>
      <c r="V23" s="169">
        <f t="shared" si="17"/>
        <v>43.000000000000007</v>
      </c>
      <c r="W23" s="23"/>
      <c r="X23" s="23"/>
      <c r="Y23" s="26"/>
      <c r="Z23" s="26"/>
      <c r="AA23" s="503"/>
      <c r="AB23" s="504"/>
      <c r="AC23" s="154"/>
      <c r="AD23" s="25"/>
      <c r="AE23" s="19">
        <f t="shared" si="8"/>
        <v>-84.186046511628319</v>
      </c>
      <c r="AF23" s="158">
        <f t="shared" si="9"/>
        <v>0.95790697674418579</v>
      </c>
      <c r="AG23" s="489"/>
    </row>
    <row r="24" spans="1:33" ht="16.5" customHeight="1">
      <c r="A24" s="526" t="s">
        <v>52</v>
      </c>
      <c r="B24" s="42" t="s">
        <v>71</v>
      </c>
      <c r="C24" s="494"/>
      <c r="D24" s="494"/>
      <c r="E24" s="161"/>
      <c r="F24" s="44"/>
      <c r="G24" s="17"/>
      <c r="H24" s="170"/>
      <c r="I24" s="30">
        <v>16.666666666666668</v>
      </c>
      <c r="J24" s="37">
        <v>1833.3333333333333</v>
      </c>
      <c r="K24" s="17">
        <f t="shared" si="1"/>
        <v>109.99999999999999</v>
      </c>
      <c r="L24" s="30">
        <v>16.666666666666668</v>
      </c>
      <c r="M24" s="18">
        <f>AVERAGE(M15:M23)</f>
        <v>1754.1984728624859</v>
      </c>
      <c r="N24" s="17">
        <f t="shared" si="3"/>
        <v>105.25190837174915</v>
      </c>
      <c r="O24" s="19">
        <f t="shared" si="4"/>
        <v>0</v>
      </c>
      <c r="P24" s="20">
        <f t="shared" si="5"/>
        <v>-4.7480916282508332</v>
      </c>
      <c r="Q24" s="158">
        <f t="shared" si="6"/>
        <v>0.95683553065226512</v>
      </c>
      <c r="R24" s="489"/>
      <c r="S24" s="40"/>
      <c r="T24" s="40"/>
      <c r="U24" s="159"/>
      <c r="V24" s="169"/>
      <c r="W24" s="17"/>
      <c r="X24" s="17"/>
      <c r="Y24" s="31">
        <f>SUM(Y15:Y23)</f>
        <v>0</v>
      </c>
      <c r="Z24" s="31">
        <f>SUM(Z15:Z23)</f>
        <v>0</v>
      </c>
      <c r="AA24" s="495"/>
      <c r="AB24" s="495"/>
      <c r="AC24" s="31">
        <v>4</v>
      </c>
      <c r="AD24" s="31">
        <f>SUM(AD15:AD23)</f>
        <v>0</v>
      </c>
      <c r="AE24" s="19">
        <f t="shared" si="8"/>
        <v>-79.134860470847343</v>
      </c>
      <c r="AF24" s="158">
        <f t="shared" si="9"/>
        <v>0.95683553065226512</v>
      </c>
      <c r="AG24" s="489"/>
    </row>
    <row r="25" spans="1:33" ht="15.75" customHeight="1">
      <c r="A25" s="519" t="s">
        <v>739</v>
      </c>
      <c r="B25" s="42" t="s">
        <v>126</v>
      </c>
      <c r="C25" s="515" t="s">
        <v>135</v>
      </c>
      <c r="D25" s="515"/>
      <c r="E25" s="42">
        <v>43.14</v>
      </c>
      <c r="F25" s="170">
        <v>1082</v>
      </c>
      <c r="G25" s="159">
        <f t="shared" ref="G25:G35" si="19">E25*F25</f>
        <v>46677.48</v>
      </c>
      <c r="H25" s="125" t="s">
        <v>79</v>
      </c>
      <c r="I25" s="168">
        <v>17</v>
      </c>
      <c r="J25" s="37">
        <v>2000</v>
      </c>
      <c r="K25" s="17">
        <f t="shared" si="1"/>
        <v>117.64705882352941</v>
      </c>
      <c r="L25" s="168">
        <v>17</v>
      </c>
      <c r="M25" s="18">
        <f t="shared" ref="M25:M35" si="20">F25/V25*60</f>
        <v>1909.4117647058824</v>
      </c>
      <c r="N25" s="17">
        <f t="shared" si="3"/>
        <v>112.31833910034602</v>
      </c>
      <c r="O25" s="19">
        <f t="shared" si="4"/>
        <v>0</v>
      </c>
      <c r="P25" s="20">
        <f t="shared" si="5"/>
        <v>-5.3287197231833829</v>
      </c>
      <c r="Q25" s="158">
        <f t="shared" si="6"/>
        <v>0.95470588235294129</v>
      </c>
      <c r="R25" s="489">
        <f>Q36</f>
        <v>0.96451009862058545</v>
      </c>
      <c r="S25" s="40">
        <v>0.20833333333333334</v>
      </c>
      <c r="T25" s="40">
        <v>0.23194444444444445</v>
      </c>
      <c r="U25" s="159"/>
      <c r="V25" s="169">
        <f t="shared" ref="V25:V35" si="21">(T25-S25)*24*60</f>
        <v>34</v>
      </c>
      <c r="W25" s="28"/>
      <c r="X25" s="28"/>
      <c r="Y25" s="28"/>
      <c r="Z25" s="28"/>
      <c r="AA25" s="491"/>
      <c r="AB25" s="491"/>
      <c r="AC25" s="154">
        <v>3</v>
      </c>
      <c r="AD25" s="25"/>
      <c r="AE25" s="19">
        <f t="shared" si="8"/>
        <v>-90.588235294117567</v>
      </c>
      <c r="AF25" s="158">
        <f t="shared" si="9"/>
        <v>0.95470588235294118</v>
      </c>
      <c r="AG25" s="489">
        <f>AF36</f>
        <v>0.96451009862058557</v>
      </c>
    </row>
    <row r="26" spans="1:33" ht="15.75" customHeight="1">
      <c r="A26" s="520" t="s">
        <v>56</v>
      </c>
      <c r="B26" s="42" t="s">
        <v>130</v>
      </c>
      <c r="C26" s="515" t="s">
        <v>136</v>
      </c>
      <c r="D26" s="515"/>
      <c r="E26" s="42">
        <v>49.9</v>
      </c>
      <c r="F26" s="170">
        <v>1066</v>
      </c>
      <c r="G26" s="159">
        <f t="shared" si="19"/>
        <v>53193.4</v>
      </c>
      <c r="H26" s="125" t="s">
        <v>79</v>
      </c>
      <c r="I26" s="168">
        <v>17</v>
      </c>
      <c r="J26" s="37">
        <v>2000</v>
      </c>
      <c r="K26" s="17">
        <f t="shared" si="1"/>
        <v>117.64705882352941</v>
      </c>
      <c r="L26" s="168">
        <v>17</v>
      </c>
      <c r="M26" s="18">
        <f t="shared" si="20"/>
        <v>1938.1818181818182</v>
      </c>
      <c r="N26" s="17">
        <f t="shared" si="3"/>
        <v>114.01069518716578</v>
      </c>
      <c r="O26" s="19">
        <f t="shared" si="4"/>
        <v>0</v>
      </c>
      <c r="P26" s="20">
        <f t="shared" si="5"/>
        <v>-3.636363636363626</v>
      </c>
      <c r="Q26" s="158">
        <f t="shared" si="6"/>
        <v>0.96909090909090922</v>
      </c>
      <c r="R26" s="489"/>
      <c r="S26" s="40">
        <v>0.23750000000000002</v>
      </c>
      <c r="T26" s="40">
        <v>0.26041666666666669</v>
      </c>
      <c r="U26" s="159">
        <f t="shared" ref="U26:U35" si="22">IF(S26=TIME(17,0,0),"",(S26-T25)*24*60)</f>
        <v>8.0000000000000107</v>
      </c>
      <c r="V26" s="169">
        <f t="shared" si="21"/>
        <v>33</v>
      </c>
      <c r="W26" s="23"/>
      <c r="X26" s="159"/>
      <c r="Y26" s="159"/>
      <c r="Z26" s="159"/>
      <c r="AA26" s="491"/>
      <c r="AB26" s="491"/>
      <c r="AC26" s="154"/>
      <c r="AD26" s="25"/>
      <c r="AE26" s="19">
        <f t="shared" si="8"/>
        <v>-61.818181818181756</v>
      </c>
      <c r="AF26" s="158">
        <f t="shared" si="9"/>
        <v>0.96909090909090911</v>
      </c>
      <c r="AG26" s="489"/>
    </row>
    <row r="27" spans="1:33" ht="15.75" customHeight="1">
      <c r="A27" s="520" t="s">
        <v>56</v>
      </c>
      <c r="B27" s="42" t="s">
        <v>103</v>
      </c>
      <c r="C27" s="515" t="s">
        <v>137</v>
      </c>
      <c r="D27" s="515"/>
      <c r="E27" s="42">
        <v>57.73</v>
      </c>
      <c r="F27" s="170">
        <v>603</v>
      </c>
      <c r="G27" s="159">
        <f t="shared" si="19"/>
        <v>34811.189999999995</v>
      </c>
      <c r="H27" s="125" t="s">
        <v>79</v>
      </c>
      <c r="I27" s="168">
        <v>14</v>
      </c>
      <c r="J27" s="37">
        <v>2000</v>
      </c>
      <c r="K27" s="17">
        <f t="shared" si="1"/>
        <v>142.85714285714286</v>
      </c>
      <c r="L27" s="168">
        <v>14</v>
      </c>
      <c r="M27" s="18">
        <f t="shared" si="20"/>
        <v>1904.210526315788</v>
      </c>
      <c r="N27" s="17">
        <f t="shared" si="3"/>
        <v>136.01503759398486</v>
      </c>
      <c r="O27" s="19">
        <f t="shared" si="4"/>
        <v>0</v>
      </c>
      <c r="P27" s="20">
        <f t="shared" si="5"/>
        <v>-6.8421052631580039</v>
      </c>
      <c r="Q27" s="158">
        <f t="shared" si="6"/>
        <v>0.95210526315789401</v>
      </c>
      <c r="R27" s="489"/>
      <c r="S27" s="40">
        <v>0.26527777777777778</v>
      </c>
      <c r="T27" s="40">
        <v>0.27847222222222223</v>
      </c>
      <c r="U27" s="159">
        <f t="shared" si="22"/>
        <v>6.9999999999999751</v>
      </c>
      <c r="V27" s="169">
        <f t="shared" si="21"/>
        <v>19.000000000000014</v>
      </c>
      <c r="W27" s="23"/>
      <c r="X27" s="159"/>
      <c r="Y27" s="159"/>
      <c r="Z27" s="159"/>
      <c r="AA27" s="491"/>
      <c r="AB27" s="491"/>
      <c r="AC27" s="154"/>
      <c r="AD27" s="25"/>
      <c r="AE27" s="19">
        <f t="shared" si="8"/>
        <v>-95.789473684211998</v>
      </c>
      <c r="AF27" s="158">
        <f t="shared" si="9"/>
        <v>0.95210526315789401</v>
      </c>
      <c r="AG27" s="489"/>
    </row>
    <row r="28" spans="1:33" ht="15.75" customHeight="1">
      <c r="A28" s="520" t="s">
        <v>56</v>
      </c>
      <c r="B28" s="42" t="s">
        <v>103</v>
      </c>
      <c r="C28" s="515" t="s">
        <v>138</v>
      </c>
      <c r="D28" s="515"/>
      <c r="E28" s="42">
        <v>53.68</v>
      </c>
      <c r="F28" s="170">
        <v>448</v>
      </c>
      <c r="G28" s="159">
        <f t="shared" si="19"/>
        <v>24048.639999999999</v>
      </c>
      <c r="H28" s="125" t="s">
        <v>79</v>
      </c>
      <c r="I28" s="168">
        <v>16</v>
      </c>
      <c r="J28" s="37">
        <v>2000</v>
      </c>
      <c r="K28" s="17">
        <f t="shared" si="1"/>
        <v>125</v>
      </c>
      <c r="L28" s="168">
        <v>16</v>
      </c>
      <c r="M28" s="18">
        <f t="shared" si="20"/>
        <v>1919.9999999999959</v>
      </c>
      <c r="N28" s="17">
        <f t="shared" si="3"/>
        <v>119.99999999999974</v>
      </c>
      <c r="O28" s="19">
        <f t="shared" si="4"/>
        <v>0</v>
      </c>
      <c r="P28" s="20">
        <f t="shared" si="5"/>
        <v>-5.0000000000002558</v>
      </c>
      <c r="Q28" s="158">
        <f t="shared" si="6"/>
        <v>0.95999999999999797</v>
      </c>
      <c r="R28" s="489"/>
      <c r="S28" s="40">
        <v>0.28402777777777777</v>
      </c>
      <c r="T28" s="40">
        <v>0.29375000000000001</v>
      </c>
      <c r="U28" s="159">
        <f t="shared" si="22"/>
        <v>7.9999999999999716</v>
      </c>
      <c r="V28" s="169">
        <f t="shared" si="21"/>
        <v>14.00000000000003</v>
      </c>
      <c r="W28" s="23"/>
      <c r="X28" s="159"/>
      <c r="Y28" s="159"/>
      <c r="Z28" s="159"/>
      <c r="AA28" s="491"/>
      <c r="AB28" s="491"/>
      <c r="AC28" s="154"/>
      <c r="AD28" s="25"/>
      <c r="AE28" s="19">
        <f t="shared" si="8"/>
        <v>-80.000000000004093</v>
      </c>
      <c r="AF28" s="158">
        <f t="shared" si="9"/>
        <v>0.95999999999999797</v>
      </c>
      <c r="AG28" s="489"/>
    </row>
    <row r="29" spans="1:33" ht="15.75" customHeight="1">
      <c r="A29" s="520" t="s">
        <v>56</v>
      </c>
      <c r="B29" s="42" t="s">
        <v>103</v>
      </c>
      <c r="C29" s="515" t="s">
        <v>139</v>
      </c>
      <c r="D29" s="515"/>
      <c r="E29" s="42">
        <v>49.91</v>
      </c>
      <c r="F29" s="170">
        <v>195</v>
      </c>
      <c r="G29" s="159">
        <f t="shared" si="19"/>
        <v>9732.4499999999989</v>
      </c>
      <c r="H29" s="125" t="s">
        <v>79</v>
      </c>
      <c r="I29" s="168">
        <v>17</v>
      </c>
      <c r="J29" s="37">
        <v>2000</v>
      </c>
      <c r="K29" s="17">
        <f t="shared" si="1"/>
        <v>117.64705882352941</v>
      </c>
      <c r="L29" s="168">
        <v>17</v>
      </c>
      <c r="M29" s="18">
        <f t="shared" si="20"/>
        <v>1950.0000000000068</v>
      </c>
      <c r="N29" s="17">
        <f t="shared" si="3"/>
        <v>114.70588235294157</v>
      </c>
      <c r="O29" s="19">
        <f t="shared" si="4"/>
        <v>0</v>
      </c>
      <c r="P29" s="20">
        <f t="shared" si="5"/>
        <v>-2.941176470587834</v>
      </c>
      <c r="Q29" s="158">
        <f t="shared" si="6"/>
        <v>0.97500000000000342</v>
      </c>
      <c r="R29" s="489"/>
      <c r="S29" s="40">
        <v>0.29722222222222222</v>
      </c>
      <c r="T29" s="40">
        <v>0.30138888888888887</v>
      </c>
      <c r="U29" s="159">
        <f t="shared" si="22"/>
        <v>4.9999999999999822</v>
      </c>
      <c r="V29" s="169">
        <f t="shared" si="21"/>
        <v>5.9999999999999787</v>
      </c>
      <c r="W29" s="23"/>
      <c r="X29" s="159"/>
      <c r="Y29" s="159"/>
      <c r="Z29" s="159"/>
      <c r="AA29" s="491"/>
      <c r="AB29" s="491"/>
      <c r="AC29" s="154"/>
      <c r="AD29" s="25"/>
      <c r="AE29" s="19">
        <f t="shared" si="8"/>
        <v>-49.999999999993179</v>
      </c>
      <c r="AF29" s="158">
        <f t="shared" si="9"/>
        <v>0.97500000000000342</v>
      </c>
      <c r="AG29" s="489"/>
    </row>
    <row r="30" spans="1:33" ht="15.75" customHeight="1">
      <c r="A30" s="520" t="s">
        <v>56</v>
      </c>
      <c r="B30" s="42" t="s">
        <v>103</v>
      </c>
      <c r="C30" s="515" t="s">
        <v>140</v>
      </c>
      <c r="D30" s="515"/>
      <c r="E30" s="42">
        <v>50.49</v>
      </c>
      <c r="F30" s="170">
        <v>600</v>
      </c>
      <c r="G30" s="159">
        <f t="shared" si="19"/>
        <v>30294</v>
      </c>
      <c r="H30" s="125">
        <v>2</v>
      </c>
      <c r="I30" s="168">
        <v>15</v>
      </c>
      <c r="J30" s="37">
        <v>2000</v>
      </c>
      <c r="K30" s="17">
        <f t="shared" si="1"/>
        <v>133.33333333333334</v>
      </c>
      <c r="L30" s="168">
        <v>15</v>
      </c>
      <c r="M30" s="18">
        <f t="shared" si="20"/>
        <v>2000.000000000007</v>
      </c>
      <c r="N30" s="17">
        <f t="shared" si="3"/>
        <v>133.3333333333338</v>
      </c>
      <c r="O30" s="19">
        <f t="shared" si="4"/>
        <v>0</v>
      </c>
      <c r="P30" s="20">
        <f t="shared" si="5"/>
        <v>4.5474735088646412E-13</v>
      </c>
      <c r="Q30" s="158">
        <f t="shared" si="6"/>
        <v>1.0000000000000033</v>
      </c>
      <c r="R30" s="489"/>
      <c r="S30" s="40">
        <v>0.70833333333333337</v>
      </c>
      <c r="T30" s="40">
        <v>0.72083333333333333</v>
      </c>
      <c r="U30" s="159" t="str">
        <f t="shared" si="22"/>
        <v/>
      </c>
      <c r="V30" s="169">
        <f t="shared" si="21"/>
        <v>17.999999999999936</v>
      </c>
      <c r="W30" s="23"/>
      <c r="X30" s="28"/>
      <c r="Y30" s="28"/>
      <c r="Z30" s="28"/>
      <c r="AA30" s="491"/>
      <c r="AB30" s="491"/>
      <c r="AC30" s="154"/>
      <c r="AD30" s="25"/>
      <c r="AE30" s="19">
        <f t="shared" si="8"/>
        <v>7.0485839387401938E-12</v>
      </c>
      <c r="AF30" s="158">
        <f t="shared" si="9"/>
        <v>1.0000000000000036</v>
      </c>
      <c r="AG30" s="489"/>
    </row>
    <row r="31" spans="1:33" ht="15.75" customHeight="1">
      <c r="A31" s="520" t="s">
        <v>56</v>
      </c>
      <c r="B31" s="42" t="s">
        <v>103</v>
      </c>
      <c r="C31" s="515" t="s">
        <v>141</v>
      </c>
      <c r="D31" s="515"/>
      <c r="E31" s="42">
        <v>57.73</v>
      </c>
      <c r="F31" s="170">
        <v>1407</v>
      </c>
      <c r="G31" s="159">
        <f t="shared" si="19"/>
        <v>81226.11</v>
      </c>
      <c r="H31" s="125" t="s">
        <v>79</v>
      </c>
      <c r="I31" s="168">
        <v>16</v>
      </c>
      <c r="J31" s="37">
        <v>1500</v>
      </c>
      <c r="K31" s="17">
        <f t="shared" si="1"/>
        <v>93.75</v>
      </c>
      <c r="L31" s="168">
        <v>16</v>
      </c>
      <c r="M31" s="18">
        <f t="shared" si="20"/>
        <v>1430.8474576271199</v>
      </c>
      <c r="N31" s="17">
        <f t="shared" si="3"/>
        <v>89.427966101694992</v>
      </c>
      <c r="O31" s="19">
        <f t="shared" si="4"/>
        <v>0</v>
      </c>
      <c r="P31" s="20">
        <f t="shared" si="5"/>
        <v>-4.3220338983050084</v>
      </c>
      <c r="Q31" s="158">
        <f t="shared" si="6"/>
        <v>0.9538983050847466</v>
      </c>
      <c r="R31" s="489"/>
      <c r="S31" s="40">
        <v>0.72569444444444442</v>
      </c>
      <c r="T31" s="40">
        <v>0.76666666666666661</v>
      </c>
      <c r="U31" s="159">
        <f t="shared" si="22"/>
        <v>6.9999999999999751</v>
      </c>
      <c r="V31" s="169">
        <f t="shared" si="21"/>
        <v>58.99999999999995</v>
      </c>
      <c r="W31" s="23"/>
      <c r="X31" s="28"/>
      <c r="Y31" s="29"/>
      <c r="Z31" s="29"/>
      <c r="AA31" s="503"/>
      <c r="AB31" s="504"/>
      <c r="AC31" s="154"/>
      <c r="AD31" s="25"/>
      <c r="AE31" s="19">
        <f t="shared" si="8"/>
        <v>-69.152542372880134</v>
      </c>
      <c r="AF31" s="158">
        <f t="shared" si="9"/>
        <v>0.9538983050847466</v>
      </c>
      <c r="AG31" s="489"/>
    </row>
    <row r="32" spans="1:33" ht="15.75" customHeight="1">
      <c r="A32" s="520" t="s">
        <v>56</v>
      </c>
      <c r="B32" s="42" t="s">
        <v>103</v>
      </c>
      <c r="C32" s="521" t="s">
        <v>108</v>
      </c>
      <c r="D32" s="522"/>
      <c r="E32" s="42">
        <v>54.29</v>
      </c>
      <c r="F32" s="170">
        <v>800</v>
      </c>
      <c r="G32" s="159">
        <f t="shared" si="19"/>
        <v>43432</v>
      </c>
      <c r="H32" s="125">
        <v>2</v>
      </c>
      <c r="I32" s="168">
        <v>20</v>
      </c>
      <c r="J32" s="37">
        <v>2000</v>
      </c>
      <c r="K32" s="17">
        <f t="shared" si="1"/>
        <v>100</v>
      </c>
      <c r="L32" s="168">
        <v>20</v>
      </c>
      <c r="M32" s="18">
        <f t="shared" si="20"/>
        <v>1919.9999999999945</v>
      </c>
      <c r="N32" s="17">
        <f t="shared" si="3"/>
        <v>95.99999999999973</v>
      </c>
      <c r="O32" s="19">
        <f t="shared" si="4"/>
        <v>0</v>
      </c>
      <c r="P32" s="20">
        <f t="shared" si="5"/>
        <v>-4.00000000000027</v>
      </c>
      <c r="Q32" s="158">
        <f t="shared" si="6"/>
        <v>0.9599999999999973</v>
      </c>
      <c r="R32" s="489"/>
      <c r="S32" s="40">
        <v>0.77083333333333326</v>
      </c>
      <c r="T32" s="40">
        <v>0.78819444444444442</v>
      </c>
      <c r="U32" s="159">
        <f t="shared" si="22"/>
        <v>5.9999999999999787</v>
      </c>
      <c r="V32" s="169">
        <f t="shared" si="21"/>
        <v>25.000000000000071</v>
      </c>
      <c r="W32" s="23"/>
      <c r="X32" s="23"/>
      <c r="Y32" s="26"/>
      <c r="Z32" s="26"/>
      <c r="AA32" s="503"/>
      <c r="AB32" s="504"/>
      <c r="AC32" s="154"/>
      <c r="AD32" s="25"/>
      <c r="AE32" s="19">
        <f t="shared" si="8"/>
        <v>-80.000000000005457</v>
      </c>
      <c r="AF32" s="158">
        <f t="shared" si="9"/>
        <v>0.9599999999999973</v>
      </c>
      <c r="AG32" s="489"/>
    </row>
    <row r="33" spans="1:33" ht="15.75" customHeight="1">
      <c r="A33" s="520" t="s">
        <v>56</v>
      </c>
      <c r="B33" s="42" t="s">
        <v>103</v>
      </c>
      <c r="C33" s="521" t="s">
        <v>142</v>
      </c>
      <c r="D33" s="522"/>
      <c r="E33" s="42">
        <v>53.68</v>
      </c>
      <c r="F33" s="170">
        <v>2005</v>
      </c>
      <c r="G33" s="159">
        <f t="shared" si="19"/>
        <v>107628.4</v>
      </c>
      <c r="H33" s="125" t="s">
        <v>79</v>
      </c>
      <c r="I33" s="168">
        <v>16</v>
      </c>
      <c r="J33" s="37">
        <v>1500</v>
      </c>
      <c r="K33" s="17">
        <f t="shared" si="1"/>
        <v>93.75</v>
      </c>
      <c r="L33" s="168">
        <v>16</v>
      </c>
      <c r="M33" s="18">
        <f t="shared" si="20"/>
        <v>1432.1428571428567</v>
      </c>
      <c r="N33" s="17">
        <f t="shared" si="3"/>
        <v>89.508928571428541</v>
      </c>
      <c r="O33" s="19">
        <f t="shared" si="4"/>
        <v>0</v>
      </c>
      <c r="P33" s="20">
        <f t="shared" si="5"/>
        <v>-4.241071428571459</v>
      </c>
      <c r="Q33" s="158">
        <f t="shared" si="6"/>
        <v>0.95476190476190448</v>
      </c>
      <c r="R33" s="489"/>
      <c r="S33" s="40">
        <v>0.79166666666666663</v>
      </c>
      <c r="T33" s="40">
        <v>0.85</v>
      </c>
      <c r="U33" s="159">
        <f t="shared" si="22"/>
        <v>4.9999999999999822</v>
      </c>
      <c r="V33" s="169">
        <f t="shared" si="21"/>
        <v>84.000000000000028</v>
      </c>
      <c r="W33" s="23">
        <f>T33</f>
        <v>0.85</v>
      </c>
      <c r="X33" s="23">
        <f>S34</f>
        <v>0.8881944444444444</v>
      </c>
      <c r="Y33" s="26"/>
      <c r="Z33" s="26"/>
      <c r="AA33" s="503"/>
      <c r="AB33" s="504"/>
      <c r="AC33" s="154"/>
      <c r="AD33" s="25"/>
      <c r="AE33" s="19">
        <f t="shared" si="8"/>
        <v>-67.857142857143344</v>
      </c>
      <c r="AF33" s="158">
        <f t="shared" si="9"/>
        <v>0.95476190476190448</v>
      </c>
      <c r="AG33" s="489"/>
    </row>
    <row r="34" spans="1:33" ht="15.75" customHeight="1">
      <c r="A34" s="520" t="s">
        <v>740</v>
      </c>
      <c r="B34" s="42" t="s">
        <v>103</v>
      </c>
      <c r="C34" s="521" t="s">
        <v>140</v>
      </c>
      <c r="D34" s="522"/>
      <c r="E34" s="42">
        <v>50.49</v>
      </c>
      <c r="F34" s="170">
        <v>1609</v>
      </c>
      <c r="G34" s="159">
        <f t="shared" si="19"/>
        <v>81238.41</v>
      </c>
      <c r="H34" s="125" t="s">
        <v>79</v>
      </c>
      <c r="I34" s="168">
        <v>15</v>
      </c>
      <c r="J34" s="37">
        <v>2000</v>
      </c>
      <c r="K34" s="17">
        <f t="shared" si="1"/>
        <v>133.33333333333334</v>
      </c>
      <c r="L34" s="168">
        <v>15</v>
      </c>
      <c r="M34" s="18">
        <f t="shared" si="20"/>
        <v>1930.8000000000004</v>
      </c>
      <c r="N34" s="17">
        <f t="shared" si="3"/>
        <v>128.72000000000003</v>
      </c>
      <c r="O34" s="19">
        <f t="shared" si="4"/>
        <v>0</v>
      </c>
      <c r="P34" s="20">
        <f t="shared" si="5"/>
        <v>-4.6133333333333155</v>
      </c>
      <c r="Q34" s="158">
        <f t="shared" si="6"/>
        <v>0.96540000000000015</v>
      </c>
      <c r="R34" s="489"/>
      <c r="S34" s="40">
        <v>0.8881944444444444</v>
      </c>
      <c r="T34" s="40">
        <v>0.92291666666666661</v>
      </c>
      <c r="U34" s="159">
        <f t="shared" si="22"/>
        <v>54.999999999999964</v>
      </c>
      <c r="V34" s="169">
        <f t="shared" si="21"/>
        <v>49.999999999999986</v>
      </c>
      <c r="W34" s="23"/>
      <c r="X34" s="23"/>
      <c r="Y34" s="26"/>
      <c r="Z34" s="26"/>
      <c r="AA34" s="503"/>
      <c r="AB34" s="504"/>
      <c r="AC34" s="154"/>
      <c r="AD34" s="25"/>
      <c r="AE34" s="19">
        <f t="shared" si="8"/>
        <v>-69.199999999999591</v>
      </c>
      <c r="AF34" s="158">
        <f t="shared" si="9"/>
        <v>0.96540000000000026</v>
      </c>
      <c r="AG34" s="489"/>
    </row>
    <row r="35" spans="1:33" ht="15.75" customHeight="1">
      <c r="A35" s="520" t="s">
        <v>56</v>
      </c>
      <c r="B35" s="42" t="s">
        <v>103</v>
      </c>
      <c r="C35" s="521" t="s">
        <v>108</v>
      </c>
      <c r="D35" s="522"/>
      <c r="E35" s="42">
        <v>54.29</v>
      </c>
      <c r="F35" s="170">
        <v>2175</v>
      </c>
      <c r="G35" s="159">
        <f t="shared" si="19"/>
        <v>118080.75</v>
      </c>
      <c r="H35" s="125" t="s">
        <v>79</v>
      </c>
      <c r="I35" s="168">
        <v>20</v>
      </c>
      <c r="J35" s="37">
        <v>2000</v>
      </c>
      <c r="K35" s="17">
        <f t="shared" si="1"/>
        <v>100</v>
      </c>
      <c r="L35" s="168">
        <v>20</v>
      </c>
      <c r="M35" s="18">
        <f t="shared" si="20"/>
        <v>1919.1176470588262</v>
      </c>
      <c r="N35" s="17">
        <f t="shared" si="3"/>
        <v>95.955882352941302</v>
      </c>
      <c r="O35" s="19">
        <f t="shared" si="4"/>
        <v>0</v>
      </c>
      <c r="P35" s="20">
        <f t="shared" si="5"/>
        <v>-4.0441176470586981</v>
      </c>
      <c r="Q35" s="158">
        <f t="shared" si="6"/>
        <v>0.95955882352941302</v>
      </c>
      <c r="R35" s="489"/>
      <c r="S35" s="40">
        <v>0.9277777777777777</v>
      </c>
      <c r="T35" s="40">
        <v>0.97499999999999987</v>
      </c>
      <c r="U35" s="159">
        <f t="shared" si="22"/>
        <v>6.9999999999999751</v>
      </c>
      <c r="V35" s="169">
        <f t="shared" si="21"/>
        <v>67.999999999999915</v>
      </c>
      <c r="W35" s="23"/>
      <c r="X35" s="23"/>
      <c r="Y35" s="26"/>
      <c r="Z35" s="26"/>
      <c r="AA35" s="503"/>
      <c r="AB35" s="504"/>
      <c r="AC35" s="154"/>
      <c r="AD35" s="25"/>
      <c r="AE35" s="19">
        <f t="shared" si="8"/>
        <v>-80.882352941173849</v>
      </c>
      <c r="AF35" s="158">
        <f t="shared" si="9"/>
        <v>0.95955882352941313</v>
      </c>
      <c r="AG35" s="489"/>
    </row>
    <row r="36" spans="1:33" ht="15.75" customHeight="1">
      <c r="A36" s="520" t="s">
        <v>56</v>
      </c>
      <c r="B36" s="42" t="s">
        <v>71</v>
      </c>
      <c r="C36" s="494"/>
      <c r="D36" s="494"/>
      <c r="E36" s="161"/>
      <c r="F36" s="170"/>
      <c r="G36" s="159"/>
      <c r="H36" s="170"/>
      <c r="I36" s="30">
        <v>16.636363636363637</v>
      </c>
      <c r="J36" s="37">
        <v>1909.090909090909</v>
      </c>
      <c r="K36" s="17">
        <f t="shared" si="1"/>
        <v>114.75409836065573</v>
      </c>
      <c r="L36" s="30">
        <v>16.636363636363637</v>
      </c>
      <c r="M36" s="18">
        <f>AVERAGE(M25:M35)</f>
        <v>1841.3374610029359</v>
      </c>
      <c r="N36" s="17">
        <f t="shared" si="3"/>
        <v>110.68148672695243</v>
      </c>
      <c r="O36" s="19">
        <f t="shared" si="4"/>
        <v>0</v>
      </c>
      <c r="P36" s="20">
        <f t="shared" si="5"/>
        <v>-4.0726116337033034</v>
      </c>
      <c r="Q36" s="158">
        <f t="shared" si="6"/>
        <v>0.96451009862058545</v>
      </c>
      <c r="R36" s="489"/>
      <c r="S36" s="40"/>
      <c r="T36" s="40"/>
      <c r="U36" s="17"/>
      <c r="V36" s="169"/>
      <c r="W36" s="17"/>
      <c r="X36" s="17"/>
      <c r="Y36" s="31">
        <f>SUM(Y25:Y35)</f>
        <v>0</v>
      </c>
      <c r="Z36" s="31">
        <f>SUM(Z25:Z35)</f>
        <v>0</v>
      </c>
      <c r="AA36" s="495"/>
      <c r="AB36" s="495"/>
      <c r="AC36" s="31">
        <v>3</v>
      </c>
      <c r="AD36" s="31">
        <f>SUM(AD25:AD35)</f>
        <v>0</v>
      </c>
      <c r="AE36" s="19">
        <f t="shared" si="8"/>
        <v>-67.753448087973084</v>
      </c>
      <c r="AF36" s="158">
        <f t="shared" si="9"/>
        <v>0.96451009862058557</v>
      </c>
      <c r="AG36" s="489"/>
    </row>
    <row r="37" spans="1:33" ht="15.75" customHeight="1">
      <c r="A37" s="518" t="s">
        <v>59</v>
      </c>
      <c r="B37" s="42" t="s">
        <v>80</v>
      </c>
      <c r="C37" s="515" t="s">
        <v>81</v>
      </c>
      <c r="D37" s="515"/>
      <c r="E37" s="42">
        <v>31.29</v>
      </c>
      <c r="F37" s="170">
        <v>4000</v>
      </c>
      <c r="G37" s="159">
        <f t="shared" ref="G37:G42" si="23">E37*F37</f>
        <v>125160</v>
      </c>
      <c r="H37" s="125">
        <v>2</v>
      </c>
      <c r="I37" s="168">
        <v>18</v>
      </c>
      <c r="J37" s="37">
        <v>2400</v>
      </c>
      <c r="K37" s="17">
        <f t="shared" si="1"/>
        <v>133.33333333333334</v>
      </c>
      <c r="L37" s="168">
        <v>18</v>
      </c>
      <c r="M37" s="18">
        <f t="shared" ref="M37:M42" si="24">F37/V37*60</f>
        <v>2285.7142857142858</v>
      </c>
      <c r="N37" s="17">
        <f t="shared" si="3"/>
        <v>126.98412698412699</v>
      </c>
      <c r="O37" s="19">
        <f t="shared" si="4"/>
        <v>0</v>
      </c>
      <c r="P37" s="20">
        <f t="shared" si="5"/>
        <v>-6.3492063492063551</v>
      </c>
      <c r="Q37" s="158">
        <f t="shared" si="6"/>
        <v>0.95238095238095233</v>
      </c>
      <c r="R37" s="489">
        <f>Q43</f>
        <v>0.95591556176881931</v>
      </c>
      <c r="S37" s="40">
        <v>8.3333333333333329E-2</v>
      </c>
      <c r="T37" s="40">
        <v>0.15625</v>
      </c>
      <c r="U37" s="159"/>
      <c r="V37" s="169">
        <f t="shared" ref="V37:V42" si="25">(T37-S37)*24*60</f>
        <v>105</v>
      </c>
      <c r="W37" s="23">
        <f>T37</f>
        <v>0.15625</v>
      </c>
      <c r="X37" s="23">
        <f>S38</f>
        <v>0.17708333333333334</v>
      </c>
      <c r="Y37" s="23"/>
      <c r="Z37" s="23"/>
      <c r="AA37" s="491"/>
      <c r="AB37" s="491"/>
      <c r="AC37" s="154">
        <v>8</v>
      </c>
      <c r="AD37" s="25"/>
      <c r="AE37" s="19">
        <f t="shared" si="8"/>
        <v>-114.28571428571422</v>
      </c>
      <c r="AF37" s="158">
        <f t="shared" si="9"/>
        <v>0.95238095238095244</v>
      </c>
      <c r="AG37" s="489">
        <f>AF43</f>
        <v>0.95591556176881931</v>
      </c>
    </row>
    <row r="38" spans="1:33" ht="15.75" customHeight="1">
      <c r="A38" s="518" t="s">
        <v>59</v>
      </c>
      <c r="B38" s="42" t="s">
        <v>80</v>
      </c>
      <c r="C38" s="515" t="s">
        <v>82</v>
      </c>
      <c r="D38" s="515"/>
      <c r="E38" s="42">
        <v>26.2</v>
      </c>
      <c r="F38" s="170">
        <v>4830</v>
      </c>
      <c r="G38" s="159">
        <f t="shared" si="23"/>
        <v>126546</v>
      </c>
      <c r="H38" s="125" t="s">
        <v>79</v>
      </c>
      <c r="I38" s="168">
        <v>20</v>
      </c>
      <c r="J38" s="37">
        <v>2400</v>
      </c>
      <c r="K38" s="17">
        <f t="shared" si="1"/>
        <v>120</v>
      </c>
      <c r="L38" s="168">
        <v>20</v>
      </c>
      <c r="M38" s="18">
        <f t="shared" si="24"/>
        <v>2300.0000000000005</v>
      </c>
      <c r="N38" s="17">
        <f t="shared" si="3"/>
        <v>115.00000000000003</v>
      </c>
      <c r="O38" s="19">
        <f t="shared" si="4"/>
        <v>0</v>
      </c>
      <c r="P38" s="20">
        <f t="shared" si="5"/>
        <v>-4.9999999999999716</v>
      </c>
      <c r="Q38" s="158">
        <f t="shared" si="6"/>
        <v>0.95833333333333359</v>
      </c>
      <c r="R38" s="489"/>
      <c r="S38" s="40">
        <v>0.17708333333333334</v>
      </c>
      <c r="T38" s="40">
        <v>0.26458333333333334</v>
      </c>
      <c r="U38" s="159">
        <f t="shared" ref="U38:U42" si="26">(S38-T37)*24*60</f>
        <v>30.000000000000014</v>
      </c>
      <c r="V38" s="169">
        <f t="shared" si="25"/>
        <v>125.99999999999997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-99.999999999999545</v>
      </c>
      <c r="AF38" s="158">
        <f t="shared" si="9"/>
        <v>0.95833333333333348</v>
      </c>
      <c r="AG38" s="489"/>
    </row>
    <row r="39" spans="1:33" ht="15.75" customHeight="1">
      <c r="A39" s="518" t="s">
        <v>59</v>
      </c>
      <c r="B39" s="42" t="s">
        <v>80</v>
      </c>
      <c r="C39" s="515" t="s">
        <v>83</v>
      </c>
      <c r="D39" s="515"/>
      <c r="E39" s="42">
        <v>25.99</v>
      </c>
      <c r="F39" s="170">
        <v>4379</v>
      </c>
      <c r="G39" s="159">
        <f t="shared" si="23"/>
        <v>113810.20999999999</v>
      </c>
      <c r="H39" s="125" t="s">
        <v>79</v>
      </c>
      <c r="I39" s="168">
        <v>14</v>
      </c>
      <c r="J39" s="37">
        <v>2400</v>
      </c>
      <c r="K39" s="17">
        <f t="shared" si="1"/>
        <v>171.42857142857142</v>
      </c>
      <c r="L39" s="168">
        <v>14</v>
      </c>
      <c r="M39" s="18">
        <f t="shared" si="24"/>
        <v>2284.695652173913</v>
      </c>
      <c r="N39" s="17">
        <f t="shared" si="3"/>
        <v>163.19254658385094</v>
      </c>
      <c r="O39" s="19">
        <f t="shared" si="4"/>
        <v>0</v>
      </c>
      <c r="P39" s="20">
        <f t="shared" si="5"/>
        <v>-8.2360248447204754</v>
      </c>
      <c r="Q39" s="158">
        <f t="shared" si="6"/>
        <v>0.95195652173913059</v>
      </c>
      <c r="R39" s="489"/>
      <c r="S39" s="40">
        <v>0.26944444444444443</v>
      </c>
      <c r="T39" s="40">
        <v>0.34930555555555554</v>
      </c>
      <c r="U39" s="159">
        <f t="shared" si="26"/>
        <v>6.9999999999999751</v>
      </c>
      <c r="V39" s="169">
        <f t="shared" si="25"/>
        <v>114.99999999999999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-115.304347826087</v>
      </c>
      <c r="AF39" s="158">
        <f t="shared" si="9"/>
        <v>0.95195652173913037</v>
      </c>
      <c r="AG39" s="489"/>
    </row>
    <row r="40" spans="1:33" ht="15.75" customHeight="1">
      <c r="A40" s="518" t="s">
        <v>59</v>
      </c>
      <c r="B40" s="42" t="s">
        <v>80</v>
      </c>
      <c r="C40" s="515" t="s">
        <v>84</v>
      </c>
      <c r="D40" s="515"/>
      <c r="E40" s="42">
        <v>20.52</v>
      </c>
      <c r="F40" s="170">
        <v>4325</v>
      </c>
      <c r="G40" s="159">
        <f t="shared" si="23"/>
        <v>88749</v>
      </c>
      <c r="H40" s="125" t="s">
        <v>79</v>
      </c>
      <c r="I40" s="168">
        <v>18</v>
      </c>
      <c r="J40" s="37">
        <v>2400</v>
      </c>
      <c r="K40" s="17">
        <f t="shared" si="1"/>
        <v>133.33333333333334</v>
      </c>
      <c r="L40" s="168">
        <v>18</v>
      </c>
      <c r="M40" s="18">
        <f t="shared" si="24"/>
        <v>2296.4601769911505</v>
      </c>
      <c r="N40" s="17">
        <f t="shared" si="3"/>
        <v>127.58112094395281</v>
      </c>
      <c r="O40" s="19">
        <f t="shared" si="4"/>
        <v>0</v>
      </c>
      <c r="P40" s="20">
        <f t="shared" si="5"/>
        <v>-5.7522123893805315</v>
      </c>
      <c r="Q40" s="158">
        <f t="shared" si="6"/>
        <v>0.95685840707964598</v>
      </c>
      <c r="R40" s="489"/>
      <c r="S40" s="40">
        <v>0.35347222222222219</v>
      </c>
      <c r="T40" s="40">
        <v>0.43194444444444441</v>
      </c>
      <c r="U40" s="159">
        <f t="shared" si="26"/>
        <v>5.9999999999999787</v>
      </c>
      <c r="V40" s="169">
        <f t="shared" si="25"/>
        <v>113</v>
      </c>
      <c r="W40" s="23"/>
      <c r="X40" s="23"/>
      <c r="Y40" s="23"/>
      <c r="Z40" s="23"/>
      <c r="AA40" s="491"/>
      <c r="AB40" s="491"/>
      <c r="AC40" s="154"/>
      <c r="AD40" s="25"/>
      <c r="AE40" s="19">
        <f t="shared" si="8"/>
        <v>-103.53982300884945</v>
      </c>
      <c r="AF40" s="158">
        <f t="shared" si="9"/>
        <v>0.95685840707964609</v>
      </c>
      <c r="AG40" s="489"/>
    </row>
    <row r="41" spans="1:33" ht="15.75" customHeight="1">
      <c r="A41" s="518" t="s">
        <v>59</v>
      </c>
      <c r="B41" s="42" t="s">
        <v>80</v>
      </c>
      <c r="C41" s="515" t="s">
        <v>85</v>
      </c>
      <c r="D41" s="515"/>
      <c r="E41" s="42">
        <v>25.98</v>
      </c>
      <c r="F41" s="170">
        <v>3642</v>
      </c>
      <c r="G41" s="159">
        <f t="shared" si="23"/>
        <v>94619.16</v>
      </c>
      <c r="H41" s="125" t="s">
        <v>79</v>
      </c>
      <c r="I41" s="168">
        <v>21</v>
      </c>
      <c r="J41" s="37">
        <v>2400</v>
      </c>
      <c r="K41" s="17">
        <f t="shared" si="1"/>
        <v>114.28571428571429</v>
      </c>
      <c r="L41" s="168">
        <v>21</v>
      </c>
      <c r="M41" s="18">
        <f t="shared" si="24"/>
        <v>2300.2105263157882</v>
      </c>
      <c r="N41" s="17">
        <f t="shared" si="3"/>
        <v>109.5338345864661</v>
      </c>
      <c r="O41" s="19">
        <f t="shared" si="4"/>
        <v>0</v>
      </c>
      <c r="P41" s="20">
        <f t="shared" si="5"/>
        <v>-4.7518796992481924</v>
      </c>
      <c r="Q41" s="158">
        <f t="shared" si="6"/>
        <v>0.95842105263157829</v>
      </c>
      <c r="R41" s="489"/>
      <c r="S41" s="40">
        <v>0.4368055555555555</v>
      </c>
      <c r="T41" s="40">
        <v>0.50277777777777777</v>
      </c>
      <c r="U41" s="159">
        <f t="shared" si="26"/>
        <v>6.9999999999999751</v>
      </c>
      <c r="V41" s="169">
        <f t="shared" si="25"/>
        <v>95.000000000000057</v>
      </c>
      <c r="W41" s="23">
        <f>T41</f>
        <v>0.50277777777777777</v>
      </c>
      <c r="X41" s="23">
        <f>S42</f>
        <v>0.54374999999999996</v>
      </c>
      <c r="Y41" s="23"/>
      <c r="Z41" s="23"/>
      <c r="AA41" s="491"/>
      <c r="AB41" s="491"/>
      <c r="AC41" s="154"/>
      <c r="AD41" s="25"/>
      <c r="AE41" s="19">
        <f t="shared" si="8"/>
        <v>-99.789473684211771</v>
      </c>
      <c r="AF41" s="158">
        <f t="shared" si="9"/>
        <v>0.9584210526315784</v>
      </c>
      <c r="AG41" s="489"/>
    </row>
    <row r="42" spans="1:33" ht="15.75" customHeight="1">
      <c r="A42" s="518" t="s">
        <v>59</v>
      </c>
      <c r="B42" s="42" t="s">
        <v>80</v>
      </c>
      <c r="C42" s="515" t="s">
        <v>81</v>
      </c>
      <c r="D42" s="515"/>
      <c r="E42" s="42">
        <v>31.29</v>
      </c>
      <c r="F42" s="170">
        <v>4443</v>
      </c>
      <c r="G42" s="159">
        <f t="shared" si="23"/>
        <v>139021.47</v>
      </c>
      <c r="H42" s="125" t="s">
        <v>79</v>
      </c>
      <c r="I42" s="168">
        <v>18</v>
      </c>
      <c r="J42" s="37">
        <v>2400</v>
      </c>
      <c r="K42" s="17">
        <f t="shared" si="1"/>
        <v>133.33333333333334</v>
      </c>
      <c r="L42" s="168">
        <v>18</v>
      </c>
      <c r="M42" s="18">
        <f t="shared" si="24"/>
        <v>2298.1034482758605</v>
      </c>
      <c r="N42" s="17">
        <f t="shared" si="3"/>
        <v>127.67241379310336</v>
      </c>
      <c r="O42" s="19">
        <f t="shared" si="4"/>
        <v>0</v>
      </c>
      <c r="P42" s="20">
        <f t="shared" si="5"/>
        <v>-5.6609195402299832</v>
      </c>
      <c r="Q42" s="158">
        <f t="shared" si="6"/>
        <v>0.95754310344827509</v>
      </c>
      <c r="R42" s="489"/>
      <c r="S42" s="40">
        <v>0.54374999999999996</v>
      </c>
      <c r="T42" s="40">
        <v>0.62430555555555556</v>
      </c>
      <c r="U42" s="159">
        <f t="shared" si="26"/>
        <v>58.99999999999995</v>
      </c>
      <c r="V42" s="169">
        <f t="shared" si="25"/>
        <v>116.00000000000007</v>
      </c>
      <c r="W42" s="23"/>
      <c r="X42" s="23"/>
      <c r="Y42" s="23"/>
      <c r="Z42" s="23"/>
      <c r="AA42" s="491"/>
      <c r="AB42" s="491"/>
      <c r="AC42" s="154"/>
      <c r="AD42" s="25"/>
      <c r="AE42" s="19">
        <f t="shared" si="8"/>
        <v>-101.8965517241395</v>
      </c>
      <c r="AF42" s="158">
        <f t="shared" si="9"/>
        <v>0.9575431034482752</v>
      </c>
      <c r="AG42" s="489"/>
    </row>
    <row r="43" spans="1:33" ht="15.75" customHeight="1">
      <c r="A43" s="518" t="s">
        <v>59</v>
      </c>
      <c r="B43" s="42" t="s">
        <v>71</v>
      </c>
      <c r="C43" s="494"/>
      <c r="D43" s="494"/>
      <c r="E43" s="161"/>
      <c r="F43" s="170"/>
      <c r="G43" s="159"/>
      <c r="H43" s="170"/>
      <c r="I43" s="30">
        <v>18.166666666666668</v>
      </c>
      <c r="J43" s="37">
        <v>2400</v>
      </c>
      <c r="K43" s="17">
        <f t="shared" si="1"/>
        <v>132.11009174311926</v>
      </c>
      <c r="L43" s="30">
        <v>18.166666666666668</v>
      </c>
      <c r="M43" s="18">
        <f>AVERAGE(M37:M42)</f>
        <v>2294.1973482451663</v>
      </c>
      <c r="N43" s="17">
        <f t="shared" si="3"/>
        <v>126.2860925639541</v>
      </c>
      <c r="O43" s="19">
        <f t="shared" si="4"/>
        <v>0</v>
      </c>
      <c r="P43" s="20">
        <f t="shared" si="5"/>
        <v>-5.8239991791651562</v>
      </c>
      <c r="Q43" s="158">
        <f t="shared" si="6"/>
        <v>0.95591556176881931</v>
      </c>
      <c r="R43" s="489"/>
      <c r="S43" s="40"/>
      <c r="T43" s="40"/>
      <c r="U43" s="159"/>
      <c r="V43" s="169"/>
      <c r="W43" s="159"/>
      <c r="X43" s="159"/>
      <c r="Y43" s="31">
        <f>SUM(Y37:Y42)</f>
        <v>0</v>
      </c>
      <c r="Z43" s="31">
        <f>SUM(Z37:Z42)</f>
        <v>0</v>
      </c>
      <c r="AA43" s="495"/>
      <c r="AB43" s="495"/>
      <c r="AC43" s="31">
        <v>8</v>
      </c>
      <c r="AD43" s="31">
        <f>SUM(AD37:AD42)</f>
        <v>0</v>
      </c>
      <c r="AE43" s="19">
        <f t="shared" si="8"/>
        <v>-105.80265175483373</v>
      </c>
      <c r="AF43" s="158">
        <f t="shared" si="9"/>
        <v>0.95591556176881931</v>
      </c>
      <c r="AG43" s="489"/>
    </row>
    <row r="44" spans="1:33" ht="15.75" customHeight="1">
      <c r="A44" s="516" t="s">
        <v>741</v>
      </c>
      <c r="B44" s="42" t="s">
        <v>80</v>
      </c>
      <c r="C44" s="490" t="s">
        <v>86</v>
      </c>
      <c r="D44" s="490"/>
      <c r="E44" s="42">
        <v>22.69</v>
      </c>
      <c r="F44" s="170">
        <v>872</v>
      </c>
      <c r="G44" s="159">
        <f t="shared" ref="G44:G50" si="27">E44*F44</f>
        <v>19785.68</v>
      </c>
      <c r="H44" s="125" t="s">
        <v>79</v>
      </c>
      <c r="I44" s="168">
        <v>15</v>
      </c>
      <c r="J44" s="37">
        <v>2400</v>
      </c>
      <c r="K44" s="17">
        <f t="shared" si="1"/>
        <v>160</v>
      </c>
      <c r="L44" s="168">
        <v>15</v>
      </c>
      <c r="M44" s="18">
        <f t="shared" ref="M44:M50" si="28">F44/V44*60</f>
        <v>2378.181818181818</v>
      </c>
      <c r="N44" s="17">
        <f t="shared" si="3"/>
        <v>158.54545454545453</v>
      </c>
      <c r="O44" s="19">
        <f t="shared" si="4"/>
        <v>0</v>
      </c>
      <c r="P44" s="20">
        <f t="shared" si="5"/>
        <v>-1.4545454545454675</v>
      </c>
      <c r="Q44" s="158">
        <f t="shared" si="6"/>
        <v>0.99090909090909085</v>
      </c>
      <c r="R44" s="489">
        <f>Q51</f>
        <v>0.96224054350720245</v>
      </c>
      <c r="S44" s="40">
        <v>8.3333333333333329E-2</v>
      </c>
      <c r="T44" s="40">
        <v>9.8611111111111108E-2</v>
      </c>
      <c r="U44" s="159"/>
      <c r="V44" s="169">
        <f t="shared" ref="V44:V50" si="29">(T44-S44)*24*60</f>
        <v>22</v>
      </c>
      <c r="W44" s="28">
        <f>T44</f>
        <v>9.8611111111111108E-2</v>
      </c>
      <c r="X44" s="28">
        <f>S45</f>
        <v>0.11736111111111111</v>
      </c>
      <c r="Y44" s="28"/>
      <c r="Z44" s="28"/>
      <c r="AA44" s="491"/>
      <c r="AB44" s="491"/>
      <c r="AC44" s="154">
        <v>7</v>
      </c>
      <c r="AD44" s="25"/>
      <c r="AE44" s="19">
        <f t="shared" si="8"/>
        <v>-21.818181818181984</v>
      </c>
      <c r="AF44" s="158">
        <f t="shared" si="9"/>
        <v>0.99090909090909085</v>
      </c>
      <c r="AG44" s="489">
        <f>AF51</f>
        <v>0.96224054350720256</v>
      </c>
    </row>
    <row r="45" spans="1:33" ht="15.75" customHeight="1">
      <c r="A45" s="516" t="s">
        <v>742</v>
      </c>
      <c r="B45" s="42" t="s">
        <v>80</v>
      </c>
      <c r="C45" s="490" t="s">
        <v>87</v>
      </c>
      <c r="D45" s="490"/>
      <c r="E45" s="42">
        <v>26.2</v>
      </c>
      <c r="F45" s="170">
        <v>6088</v>
      </c>
      <c r="G45" s="159">
        <f t="shared" si="27"/>
        <v>159505.60000000001</v>
      </c>
      <c r="H45" s="125" t="s">
        <v>79</v>
      </c>
      <c r="I45" s="168">
        <v>18</v>
      </c>
      <c r="J45" s="37">
        <v>2400</v>
      </c>
      <c r="K45" s="17">
        <f t="shared" si="1"/>
        <v>133.33333333333334</v>
      </c>
      <c r="L45" s="168">
        <v>18</v>
      </c>
      <c r="M45" s="18">
        <f t="shared" si="28"/>
        <v>2283</v>
      </c>
      <c r="N45" s="17">
        <f t="shared" si="3"/>
        <v>126.83333333333333</v>
      </c>
      <c r="O45" s="19">
        <f t="shared" si="4"/>
        <v>0</v>
      </c>
      <c r="P45" s="20">
        <f t="shared" si="5"/>
        <v>-6.5000000000000142</v>
      </c>
      <c r="Q45" s="158">
        <f t="shared" si="6"/>
        <v>0.95124999999999993</v>
      </c>
      <c r="R45" s="489"/>
      <c r="S45" s="40">
        <v>0.11736111111111111</v>
      </c>
      <c r="T45" s="40">
        <v>0.22847222222222222</v>
      </c>
      <c r="U45" s="159">
        <f t="shared" ref="U45:U50" si="30">(S45-T44)*24*60</f>
        <v>27.000000000000004</v>
      </c>
      <c r="V45" s="169">
        <f t="shared" si="29"/>
        <v>160</v>
      </c>
      <c r="W45" s="159"/>
      <c r="X45" s="159"/>
      <c r="Y45" s="159"/>
      <c r="Z45" s="159"/>
      <c r="AA45" s="491"/>
      <c r="AB45" s="491"/>
      <c r="AC45" s="154"/>
      <c r="AD45" s="25"/>
      <c r="AE45" s="19">
        <f t="shared" si="8"/>
        <v>-117</v>
      </c>
      <c r="AF45" s="158">
        <f t="shared" si="9"/>
        <v>0.95125000000000004</v>
      </c>
      <c r="AG45" s="489"/>
    </row>
    <row r="46" spans="1:33">
      <c r="A46" s="517" t="s">
        <v>61</v>
      </c>
      <c r="B46" s="42" t="s">
        <v>80</v>
      </c>
      <c r="C46" s="490" t="s">
        <v>88</v>
      </c>
      <c r="D46" s="490"/>
      <c r="E46" s="42">
        <v>26.18</v>
      </c>
      <c r="F46" s="170">
        <v>2595</v>
      </c>
      <c r="G46" s="159">
        <f t="shared" si="27"/>
        <v>67937.100000000006</v>
      </c>
      <c r="H46" s="125" t="s">
        <v>79</v>
      </c>
      <c r="I46" s="168">
        <v>19</v>
      </c>
      <c r="J46" s="37">
        <v>2400</v>
      </c>
      <c r="K46" s="17">
        <f t="shared" si="1"/>
        <v>126.31578947368421</v>
      </c>
      <c r="L46" s="168">
        <v>19</v>
      </c>
      <c r="M46" s="18">
        <f t="shared" si="28"/>
        <v>2289.7058823529396</v>
      </c>
      <c r="N46" s="17">
        <f t="shared" si="3"/>
        <v>120.51083591331262</v>
      </c>
      <c r="O46" s="19">
        <f t="shared" si="4"/>
        <v>0</v>
      </c>
      <c r="P46" s="20">
        <f t="shared" si="5"/>
        <v>-5.8049535603715867</v>
      </c>
      <c r="Q46" s="158">
        <f t="shared" si="6"/>
        <v>0.95404411764705832</v>
      </c>
      <c r="R46" s="489"/>
      <c r="S46" s="40">
        <v>0.23194444444444443</v>
      </c>
      <c r="T46" s="40">
        <v>0.27916666666666667</v>
      </c>
      <c r="U46" s="159">
        <f t="shared" si="30"/>
        <v>4.9999999999999822</v>
      </c>
      <c r="V46" s="169">
        <f t="shared" si="29"/>
        <v>68.000000000000043</v>
      </c>
      <c r="W46" s="159"/>
      <c r="X46" s="159"/>
      <c r="Y46" s="159"/>
      <c r="Z46" s="159"/>
      <c r="AA46" s="491"/>
      <c r="AB46" s="491"/>
      <c r="AC46" s="154"/>
      <c r="AD46" s="25"/>
      <c r="AE46" s="19">
        <f t="shared" si="8"/>
        <v>-110.29411764706038</v>
      </c>
      <c r="AF46" s="158">
        <f t="shared" si="9"/>
        <v>0.95404411764705821</v>
      </c>
      <c r="AG46" s="489"/>
    </row>
    <row r="47" spans="1:33">
      <c r="A47" s="517" t="s">
        <v>61</v>
      </c>
      <c r="B47" s="42" t="s">
        <v>80</v>
      </c>
      <c r="C47" s="490" t="s">
        <v>89</v>
      </c>
      <c r="D47" s="490"/>
      <c r="E47" s="42">
        <v>26.39</v>
      </c>
      <c r="F47" s="170">
        <v>5842</v>
      </c>
      <c r="G47" s="159">
        <f t="shared" si="27"/>
        <v>154170.38</v>
      </c>
      <c r="H47" s="125" t="s">
        <v>79</v>
      </c>
      <c r="I47" s="168">
        <v>19</v>
      </c>
      <c r="J47" s="37">
        <v>2400</v>
      </c>
      <c r="K47" s="17">
        <f t="shared" si="1"/>
        <v>126.31578947368421</v>
      </c>
      <c r="L47" s="168">
        <v>19</v>
      </c>
      <c r="M47" s="18">
        <f t="shared" si="28"/>
        <v>2290.9803921568623</v>
      </c>
      <c r="N47" s="17">
        <f t="shared" si="3"/>
        <v>120.57791537667697</v>
      </c>
      <c r="O47" s="19">
        <f t="shared" si="4"/>
        <v>0</v>
      </c>
      <c r="P47" s="20">
        <f t="shared" si="5"/>
        <v>-5.7378740970072357</v>
      </c>
      <c r="Q47" s="158">
        <f t="shared" si="6"/>
        <v>0.95457516339869275</v>
      </c>
      <c r="R47" s="489"/>
      <c r="S47" s="40">
        <v>0.28472222222222221</v>
      </c>
      <c r="T47" s="40">
        <v>0.39097222222222222</v>
      </c>
      <c r="U47" s="159">
        <f t="shared" si="30"/>
        <v>7.9999999999999716</v>
      </c>
      <c r="V47" s="169">
        <f t="shared" si="29"/>
        <v>153.00000000000003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-109.01960784313769</v>
      </c>
      <c r="AF47" s="158">
        <f t="shared" si="9"/>
        <v>0.95457516339869264</v>
      </c>
      <c r="AG47" s="489"/>
    </row>
    <row r="48" spans="1:33">
      <c r="A48" s="517" t="s">
        <v>742</v>
      </c>
      <c r="B48" s="42" t="s">
        <v>80</v>
      </c>
      <c r="C48" s="490" t="s">
        <v>90</v>
      </c>
      <c r="D48" s="490"/>
      <c r="E48" s="42">
        <v>22.69</v>
      </c>
      <c r="F48" s="170">
        <v>2877</v>
      </c>
      <c r="G48" s="159">
        <f t="shared" si="27"/>
        <v>65279.130000000005</v>
      </c>
      <c r="H48" s="125" t="s">
        <v>79</v>
      </c>
      <c r="I48" s="168">
        <v>15</v>
      </c>
      <c r="J48" s="37">
        <v>2400</v>
      </c>
      <c r="K48" s="17">
        <f t="shared" si="1"/>
        <v>160</v>
      </c>
      <c r="L48" s="168">
        <v>15</v>
      </c>
      <c r="M48" s="18">
        <f t="shared" si="28"/>
        <v>2301.6000000000008</v>
      </c>
      <c r="N48" s="17">
        <f t="shared" si="3"/>
        <v>153.44000000000005</v>
      </c>
      <c r="O48" s="19">
        <f t="shared" si="4"/>
        <v>0</v>
      </c>
      <c r="P48" s="20">
        <f t="shared" si="5"/>
        <v>-6.5599999999999454</v>
      </c>
      <c r="Q48" s="158">
        <f t="shared" si="6"/>
        <v>0.9590000000000003</v>
      </c>
      <c r="R48" s="489"/>
      <c r="S48" s="40">
        <v>0.39444444444444443</v>
      </c>
      <c r="T48" s="40">
        <v>0.44652777777777775</v>
      </c>
      <c r="U48" s="159">
        <f t="shared" si="30"/>
        <v>4.9999999999999822</v>
      </c>
      <c r="V48" s="169">
        <f t="shared" si="29"/>
        <v>74.999999999999972</v>
      </c>
      <c r="W48" s="23"/>
      <c r="X48" s="23"/>
      <c r="Y48" s="23"/>
      <c r="Z48" s="23"/>
      <c r="AA48" s="491"/>
      <c r="AB48" s="491"/>
      <c r="AC48" s="154"/>
      <c r="AD48" s="25"/>
      <c r="AE48" s="19">
        <f t="shared" si="8"/>
        <v>-98.399999999999181</v>
      </c>
      <c r="AF48" s="158">
        <f t="shared" si="9"/>
        <v>0.9590000000000003</v>
      </c>
      <c r="AG48" s="489"/>
    </row>
    <row r="49" spans="1:33">
      <c r="A49" s="517" t="s">
        <v>61</v>
      </c>
      <c r="B49" s="42" t="s">
        <v>80</v>
      </c>
      <c r="C49" s="490" t="s">
        <v>91</v>
      </c>
      <c r="D49" s="490"/>
      <c r="E49" s="42">
        <v>24.45</v>
      </c>
      <c r="F49" s="170">
        <v>2731</v>
      </c>
      <c r="G49" s="159">
        <f t="shared" si="27"/>
        <v>66772.95</v>
      </c>
      <c r="H49" s="125" t="s">
        <v>79</v>
      </c>
      <c r="I49" s="168">
        <v>20</v>
      </c>
      <c r="J49" s="37">
        <v>2400</v>
      </c>
      <c r="K49" s="17">
        <f t="shared" si="1"/>
        <v>120</v>
      </c>
      <c r="L49" s="168">
        <v>20</v>
      </c>
      <c r="M49" s="18">
        <f t="shared" si="28"/>
        <v>2307.8873239436593</v>
      </c>
      <c r="N49" s="17">
        <f t="shared" si="3"/>
        <v>115.39436619718296</v>
      </c>
      <c r="O49" s="19">
        <f t="shared" si="4"/>
        <v>0</v>
      </c>
      <c r="P49" s="20">
        <f t="shared" si="5"/>
        <v>-4.6056338028170387</v>
      </c>
      <c r="Q49" s="158">
        <f t="shared" si="6"/>
        <v>0.96161971830985804</v>
      </c>
      <c r="R49" s="489"/>
      <c r="S49" s="40">
        <v>0.45208333333333328</v>
      </c>
      <c r="T49" s="40">
        <v>0.50138888888888888</v>
      </c>
      <c r="U49" s="159">
        <f t="shared" si="30"/>
        <v>7.9999999999999716</v>
      </c>
      <c r="V49" s="169">
        <f t="shared" si="29"/>
        <v>71.000000000000071</v>
      </c>
      <c r="W49" s="23"/>
      <c r="X49" s="23"/>
      <c r="Y49" s="23"/>
      <c r="Z49" s="23"/>
      <c r="AA49" s="491"/>
      <c r="AB49" s="491"/>
      <c r="AC49" s="154"/>
      <c r="AD49" s="25"/>
      <c r="AE49" s="19">
        <f t="shared" si="8"/>
        <v>-92.112676056340661</v>
      </c>
      <c r="AF49" s="158">
        <f t="shared" si="9"/>
        <v>0.96161971830985804</v>
      </c>
      <c r="AG49" s="489"/>
    </row>
    <row r="50" spans="1:33">
      <c r="A50" s="517" t="s">
        <v>741</v>
      </c>
      <c r="B50" s="42" t="s">
        <v>80</v>
      </c>
      <c r="C50" s="490" t="s">
        <v>92</v>
      </c>
      <c r="D50" s="490"/>
      <c r="E50" s="42">
        <v>28.51</v>
      </c>
      <c r="F50" s="170">
        <v>540</v>
      </c>
      <c r="G50" s="159">
        <f t="shared" si="27"/>
        <v>15395.400000000001</v>
      </c>
      <c r="H50" s="125" t="s">
        <v>79</v>
      </c>
      <c r="I50" s="168">
        <v>16</v>
      </c>
      <c r="J50" s="37">
        <v>2400</v>
      </c>
      <c r="K50" s="17">
        <f t="shared" si="1"/>
        <v>150</v>
      </c>
      <c r="L50" s="168">
        <v>16</v>
      </c>
      <c r="M50" s="18">
        <f t="shared" si="28"/>
        <v>2314.2857142857229</v>
      </c>
      <c r="N50" s="17">
        <f t="shared" si="3"/>
        <v>144.64285714285768</v>
      </c>
      <c r="O50" s="19">
        <f t="shared" si="4"/>
        <v>0</v>
      </c>
      <c r="P50" s="20">
        <f t="shared" si="5"/>
        <v>-5.3571428571423212</v>
      </c>
      <c r="Q50" s="158">
        <f t="shared" si="6"/>
        <v>0.96428571428571785</v>
      </c>
      <c r="R50" s="489"/>
      <c r="S50" s="40">
        <v>0.50624999999999998</v>
      </c>
      <c r="T50" s="40">
        <v>0.51597222222222217</v>
      </c>
      <c r="U50" s="159">
        <f t="shared" si="30"/>
        <v>6.9999999999999751</v>
      </c>
      <c r="V50" s="169">
        <f t="shared" si="29"/>
        <v>13.99999999999995</v>
      </c>
      <c r="W50" s="23"/>
      <c r="X50" s="23"/>
      <c r="Y50" s="26"/>
      <c r="Z50" s="26"/>
      <c r="AA50" s="503"/>
      <c r="AB50" s="504"/>
      <c r="AC50" s="154"/>
      <c r="AD50" s="25"/>
      <c r="AE50" s="19">
        <f t="shared" si="8"/>
        <v>-85.714285714277139</v>
      </c>
      <c r="AF50" s="158">
        <f t="shared" si="9"/>
        <v>0.96428571428571785</v>
      </c>
      <c r="AG50" s="489"/>
    </row>
    <row r="51" spans="1:33">
      <c r="A51" s="517" t="s">
        <v>61</v>
      </c>
      <c r="B51" s="44" t="s">
        <v>71</v>
      </c>
      <c r="C51" s="494"/>
      <c r="D51" s="494"/>
      <c r="E51" s="161"/>
      <c r="F51" s="44"/>
      <c r="G51" s="17"/>
      <c r="H51" s="170"/>
      <c r="I51" s="30">
        <v>17.428571428571427</v>
      </c>
      <c r="J51" s="37">
        <v>2400</v>
      </c>
      <c r="K51" s="17">
        <f t="shared" si="1"/>
        <v>137.70491803278691</v>
      </c>
      <c r="L51" s="30">
        <v>17.428571428571427</v>
      </c>
      <c r="M51" s="18">
        <f>AVERAGE(M44:M50)</f>
        <v>2309.3773044172863</v>
      </c>
      <c r="N51" s="17">
        <f t="shared" si="3"/>
        <v>132.50525517148364</v>
      </c>
      <c r="O51" s="19">
        <f t="shared" si="4"/>
        <v>0</v>
      </c>
      <c r="P51" s="20">
        <f t="shared" si="5"/>
        <v>-5.1996628613032669</v>
      </c>
      <c r="Q51" s="158">
        <f t="shared" si="6"/>
        <v>0.96224054350720245</v>
      </c>
      <c r="R51" s="489"/>
      <c r="S51" s="40"/>
      <c r="T51" s="40"/>
      <c r="U51" s="17"/>
      <c r="V51" s="169"/>
      <c r="W51" s="17"/>
      <c r="X51" s="17"/>
      <c r="Y51" s="31">
        <f>SUM(Y44:Y50)</f>
        <v>0</v>
      </c>
      <c r="Z51" s="31">
        <f>SUM(Z44:Z50)</f>
        <v>0</v>
      </c>
      <c r="AA51" s="495"/>
      <c r="AB51" s="495"/>
      <c r="AC51" s="31">
        <v>7</v>
      </c>
      <c r="AD51" s="31">
        <f>SUM(AD44:AD50)</f>
        <v>0</v>
      </c>
      <c r="AE51" s="19">
        <f t="shared" si="8"/>
        <v>-90.622695582713732</v>
      </c>
      <c r="AF51" s="158">
        <f t="shared" si="9"/>
        <v>0.96224054350720256</v>
      </c>
      <c r="AG51" s="489"/>
    </row>
    <row r="52" spans="1:33" ht="15.75" customHeight="1">
      <c r="A52" s="512" t="s">
        <v>65</v>
      </c>
      <c r="B52" s="42" t="s">
        <v>93</v>
      </c>
      <c r="C52" s="501" t="s">
        <v>94</v>
      </c>
      <c r="D52" s="502"/>
      <c r="E52" s="42">
        <v>21.13</v>
      </c>
      <c r="F52" s="170">
        <v>3100</v>
      </c>
      <c r="G52" s="159">
        <f t="shared" ref="G52:G62" si="31">E52*F52</f>
        <v>65503</v>
      </c>
      <c r="H52" s="125">
        <v>2</v>
      </c>
      <c r="I52" s="168">
        <v>10</v>
      </c>
      <c r="J52" s="37">
        <v>3000</v>
      </c>
      <c r="K52" s="17">
        <f t="shared" si="1"/>
        <v>300</v>
      </c>
      <c r="L52" s="168">
        <v>10</v>
      </c>
      <c r="M52" s="18">
        <f t="shared" ref="M52:M62" si="32">F52/V52*60</f>
        <v>2861.5384615384619</v>
      </c>
      <c r="N52" s="18">
        <f t="shared" si="3"/>
        <v>286.15384615384619</v>
      </c>
      <c r="O52" s="19">
        <f t="shared" si="4"/>
        <v>0</v>
      </c>
      <c r="P52" s="20">
        <f t="shared" si="5"/>
        <v>-13.846153846153811</v>
      </c>
      <c r="Q52" s="158">
        <f t="shared" si="6"/>
        <v>0.95384615384615401</v>
      </c>
      <c r="R52" s="509">
        <f>Q63</f>
        <v>0.9609999945842943</v>
      </c>
      <c r="S52" s="40">
        <v>8.3333333333333329E-2</v>
      </c>
      <c r="T52" s="40">
        <v>0.12847222222222221</v>
      </c>
      <c r="U52" s="28"/>
      <c r="V52" s="169">
        <f t="shared" ref="V52:V62" si="33">(T52-S52)*24*60</f>
        <v>64.999999999999986</v>
      </c>
      <c r="W52" s="23">
        <f>T52</f>
        <v>0.12847222222222221</v>
      </c>
      <c r="X52" s="23">
        <f>S53</f>
        <v>0.14791666666666664</v>
      </c>
      <c r="Y52" s="26"/>
      <c r="Z52" s="26"/>
      <c r="AA52" s="503"/>
      <c r="AB52" s="504"/>
      <c r="AC52" s="154" t="s">
        <v>79</v>
      </c>
      <c r="AD52" s="25"/>
      <c r="AE52" s="19">
        <f t="shared" si="8"/>
        <v>-138.46153846153811</v>
      </c>
      <c r="AF52" s="158">
        <f t="shared" si="9"/>
        <v>0.95384615384615401</v>
      </c>
      <c r="AG52" s="509">
        <f>AF63</f>
        <v>0.96099999458429419</v>
      </c>
    </row>
    <row r="53" spans="1:33" ht="15.75" customHeight="1">
      <c r="A53" s="513" t="s">
        <v>65</v>
      </c>
      <c r="B53" s="42" t="s">
        <v>93</v>
      </c>
      <c r="C53" s="501" t="s">
        <v>95</v>
      </c>
      <c r="D53" s="502"/>
      <c r="E53" s="42">
        <v>27.17</v>
      </c>
      <c r="F53" s="170">
        <v>3900</v>
      </c>
      <c r="G53" s="159">
        <f t="shared" si="31"/>
        <v>105963</v>
      </c>
      <c r="H53" s="125">
        <v>2</v>
      </c>
      <c r="I53" s="168">
        <v>10</v>
      </c>
      <c r="J53" s="37">
        <v>3000</v>
      </c>
      <c r="K53" s="17">
        <f t="shared" si="1"/>
        <v>300</v>
      </c>
      <c r="L53" s="168">
        <v>10</v>
      </c>
      <c r="M53" s="18">
        <f t="shared" si="32"/>
        <v>2888.8888888888896</v>
      </c>
      <c r="N53" s="18">
        <f t="shared" si="3"/>
        <v>288.88888888888897</v>
      </c>
      <c r="O53" s="19">
        <f t="shared" si="4"/>
        <v>0</v>
      </c>
      <c r="P53" s="20">
        <f t="shared" si="5"/>
        <v>-11.111111111111029</v>
      </c>
      <c r="Q53" s="158">
        <f t="shared" si="6"/>
        <v>0.96296296296296324</v>
      </c>
      <c r="R53" s="510"/>
      <c r="S53" s="40">
        <v>0.14791666666666664</v>
      </c>
      <c r="T53" s="40">
        <v>0.20416666666666664</v>
      </c>
      <c r="U53" s="159">
        <f t="shared" ref="U53:U62" si="34">(S53-T52)*24*60</f>
        <v>27.999999999999979</v>
      </c>
      <c r="V53" s="169">
        <f t="shared" si="33"/>
        <v>80.999999999999986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-111.1111111111104</v>
      </c>
      <c r="AF53" s="158">
        <f t="shared" si="9"/>
        <v>0.96296296296296324</v>
      </c>
      <c r="AG53" s="510"/>
    </row>
    <row r="54" spans="1:33" ht="15.75" customHeight="1">
      <c r="A54" s="513" t="s">
        <v>65</v>
      </c>
      <c r="B54" s="42" t="s">
        <v>93</v>
      </c>
      <c r="C54" s="501" t="s">
        <v>96</v>
      </c>
      <c r="D54" s="502"/>
      <c r="E54" s="42">
        <v>35.119999999999997</v>
      </c>
      <c r="F54" s="170">
        <v>4672</v>
      </c>
      <c r="G54" s="159">
        <f t="shared" si="31"/>
        <v>164080.63999999998</v>
      </c>
      <c r="H54" s="125" t="s">
        <v>79</v>
      </c>
      <c r="I54" s="168">
        <v>10</v>
      </c>
      <c r="J54" s="37">
        <v>3000</v>
      </c>
      <c r="K54" s="17">
        <f t="shared" si="1"/>
        <v>300</v>
      </c>
      <c r="L54" s="168">
        <v>10</v>
      </c>
      <c r="M54" s="18">
        <f t="shared" si="32"/>
        <v>2860.408163265306</v>
      </c>
      <c r="N54" s="18">
        <f t="shared" si="3"/>
        <v>286.0408163265306</v>
      </c>
      <c r="O54" s="19">
        <f t="shared" si="4"/>
        <v>0</v>
      </c>
      <c r="P54" s="20">
        <f t="shared" si="5"/>
        <v>-13.959183673469397</v>
      </c>
      <c r="Q54" s="158">
        <f t="shared" si="6"/>
        <v>0.95346938775510204</v>
      </c>
      <c r="R54" s="510"/>
      <c r="S54" s="40">
        <v>0.20763888888888885</v>
      </c>
      <c r="T54" s="40">
        <v>0.27569444444444441</v>
      </c>
      <c r="U54" s="159">
        <f t="shared" si="34"/>
        <v>4.9999999999999822</v>
      </c>
      <c r="V54" s="169">
        <f t="shared" si="33"/>
        <v>98.000000000000014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-139.59183673469397</v>
      </c>
      <c r="AF54" s="158">
        <f t="shared" si="9"/>
        <v>0.95346938775510204</v>
      </c>
      <c r="AG54" s="510"/>
    </row>
    <row r="55" spans="1:33" ht="15.75" customHeight="1">
      <c r="A55" s="513" t="s">
        <v>65</v>
      </c>
      <c r="B55" s="42" t="s">
        <v>93</v>
      </c>
      <c r="C55" s="501" t="s">
        <v>97</v>
      </c>
      <c r="D55" s="502"/>
      <c r="E55" s="42">
        <v>31</v>
      </c>
      <c r="F55" s="170">
        <v>1572</v>
      </c>
      <c r="G55" s="159">
        <f t="shared" si="31"/>
        <v>48732</v>
      </c>
      <c r="H55" s="125" t="s">
        <v>79</v>
      </c>
      <c r="I55" s="168">
        <v>13</v>
      </c>
      <c r="J55" s="37">
        <v>2000</v>
      </c>
      <c r="K55" s="17">
        <f t="shared" si="1"/>
        <v>153.84615384615384</v>
      </c>
      <c r="L55" s="168">
        <v>13</v>
      </c>
      <c r="M55" s="18">
        <f t="shared" si="32"/>
        <v>1924.8979591836742</v>
      </c>
      <c r="N55" s="18">
        <f t="shared" si="3"/>
        <v>148.06907378335956</v>
      </c>
      <c r="O55" s="19">
        <f t="shared" si="4"/>
        <v>0</v>
      </c>
      <c r="P55" s="20">
        <f t="shared" si="5"/>
        <v>-5.7770800627942833</v>
      </c>
      <c r="Q55" s="158">
        <f t="shared" si="6"/>
        <v>0.96244897959183717</v>
      </c>
      <c r="R55" s="510"/>
      <c r="S55" s="40">
        <v>0.2805555555555555</v>
      </c>
      <c r="T55" s="40">
        <v>0.31458333333333327</v>
      </c>
      <c r="U55" s="159">
        <f t="shared" si="34"/>
        <v>6.9999999999999751</v>
      </c>
      <c r="V55" s="169">
        <f t="shared" si="33"/>
        <v>48.999999999999986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-75.102040816325825</v>
      </c>
      <c r="AF55" s="158">
        <f t="shared" si="9"/>
        <v>0.96244897959183706</v>
      </c>
      <c r="AG55" s="510"/>
    </row>
    <row r="56" spans="1:33" ht="15.75" customHeight="1">
      <c r="A56" s="513" t="s">
        <v>65</v>
      </c>
      <c r="B56" s="42" t="s">
        <v>93</v>
      </c>
      <c r="C56" s="501" t="s">
        <v>98</v>
      </c>
      <c r="D56" s="502"/>
      <c r="E56" s="42">
        <v>37.880000000000003</v>
      </c>
      <c r="F56" s="170">
        <v>2275</v>
      </c>
      <c r="G56" s="159">
        <f t="shared" si="31"/>
        <v>86177</v>
      </c>
      <c r="H56" s="125" t="s">
        <v>79</v>
      </c>
      <c r="I56" s="168">
        <v>14</v>
      </c>
      <c r="J56" s="37">
        <v>2000</v>
      </c>
      <c r="K56" s="17">
        <f t="shared" si="1"/>
        <v>142.85714285714286</v>
      </c>
      <c r="L56" s="168">
        <v>14</v>
      </c>
      <c r="M56" s="18">
        <f t="shared" si="32"/>
        <v>1922.535211267606</v>
      </c>
      <c r="N56" s="18">
        <f t="shared" si="3"/>
        <v>137.32394366197187</v>
      </c>
      <c r="O56" s="19">
        <f t="shared" si="4"/>
        <v>0</v>
      </c>
      <c r="P56" s="20">
        <f t="shared" si="5"/>
        <v>-5.5331991951709938</v>
      </c>
      <c r="Q56" s="158">
        <f t="shared" si="6"/>
        <v>0.96126760563380309</v>
      </c>
      <c r="R56" s="510"/>
      <c r="S56" s="40">
        <v>0.31944444444444436</v>
      </c>
      <c r="T56" s="40">
        <v>0.36874999999999991</v>
      </c>
      <c r="U56" s="159">
        <f t="shared" si="34"/>
        <v>6.9999999999999751</v>
      </c>
      <c r="V56" s="169">
        <f t="shared" si="33"/>
        <v>70.999999999999986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-77.464788732394027</v>
      </c>
      <c r="AF56" s="158">
        <f t="shared" si="9"/>
        <v>0.96126760563380298</v>
      </c>
      <c r="AG56" s="510"/>
    </row>
    <row r="57" spans="1:33" ht="15.75" customHeight="1">
      <c r="A57" s="513" t="s">
        <v>65</v>
      </c>
      <c r="B57" s="42" t="s">
        <v>93</v>
      </c>
      <c r="C57" s="501" t="s">
        <v>99</v>
      </c>
      <c r="D57" s="502"/>
      <c r="E57" s="42">
        <v>32.020000000000003</v>
      </c>
      <c r="F57" s="170">
        <v>2398</v>
      </c>
      <c r="G57" s="159">
        <f t="shared" si="31"/>
        <v>76783.960000000006</v>
      </c>
      <c r="H57" s="125" t="s">
        <v>79</v>
      </c>
      <c r="I57" s="168">
        <v>11</v>
      </c>
      <c r="J57" s="37">
        <v>3000</v>
      </c>
      <c r="K57" s="17">
        <f t="shared" si="1"/>
        <v>272.72727272727275</v>
      </c>
      <c r="L57" s="168">
        <v>11</v>
      </c>
      <c r="M57" s="18">
        <f t="shared" si="32"/>
        <v>2877.6000000000008</v>
      </c>
      <c r="N57" s="18">
        <f t="shared" si="3"/>
        <v>261.60000000000008</v>
      </c>
      <c r="O57" s="19">
        <f t="shared" si="4"/>
        <v>0</v>
      </c>
      <c r="P57" s="20">
        <f t="shared" si="5"/>
        <v>-11.127272727272668</v>
      </c>
      <c r="Q57" s="158">
        <f t="shared" si="6"/>
        <v>0.95920000000000027</v>
      </c>
      <c r="R57" s="510"/>
      <c r="S57" s="40">
        <v>0.37430555555555545</v>
      </c>
      <c r="T57" s="40">
        <v>0.40902777777777766</v>
      </c>
      <c r="U57" s="159">
        <f t="shared" si="34"/>
        <v>7.9999999999999716</v>
      </c>
      <c r="V57" s="169">
        <f t="shared" si="33"/>
        <v>49.999999999999986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-122.39999999999918</v>
      </c>
      <c r="AF57" s="158">
        <f t="shared" si="9"/>
        <v>0.95920000000000027</v>
      </c>
      <c r="AG57" s="510"/>
    </row>
    <row r="58" spans="1:33" ht="15.75" customHeight="1">
      <c r="A58" s="513" t="s">
        <v>65</v>
      </c>
      <c r="B58" s="42" t="s">
        <v>93</v>
      </c>
      <c r="C58" s="501" t="s">
        <v>114</v>
      </c>
      <c r="D58" s="502"/>
      <c r="E58" s="42">
        <v>36.14</v>
      </c>
      <c r="F58" s="170">
        <v>1229</v>
      </c>
      <c r="G58" s="159">
        <f t="shared" si="31"/>
        <v>44416.06</v>
      </c>
      <c r="H58" s="125" t="s">
        <v>79</v>
      </c>
      <c r="I58" s="168">
        <v>9</v>
      </c>
      <c r="J58" s="37">
        <v>3000</v>
      </c>
      <c r="K58" s="17">
        <f t="shared" si="1"/>
        <v>333.33333333333331</v>
      </c>
      <c r="L58" s="168">
        <v>9</v>
      </c>
      <c r="M58" s="18">
        <f t="shared" si="32"/>
        <v>2949.6000000000008</v>
      </c>
      <c r="N58" s="18">
        <f t="shared" si="3"/>
        <v>327.73333333333341</v>
      </c>
      <c r="O58" s="19">
        <f t="shared" si="4"/>
        <v>0</v>
      </c>
      <c r="P58" s="20">
        <f t="shared" si="5"/>
        <v>-5.5999999999999091</v>
      </c>
      <c r="Q58" s="158">
        <f t="shared" si="6"/>
        <v>0.9832000000000003</v>
      </c>
      <c r="R58" s="510"/>
      <c r="S58" s="40">
        <v>0.41388888888888875</v>
      </c>
      <c r="T58" s="40">
        <v>0.43124999999999986</v>
      </c>
      <c r="U58" s="159">
        <f t="shared" si="34"/>
        <v>6.9999999999999751</v>
      </c>
      <c r="V58" s="169">
        <f t="shared" si="33"/>
        <v>24.999999999999993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-50.399999999999181</v>
      </c>
      <c r="AF58" s="158">
        <f t="shared" si="9"/>
        <v>0.9832000000000003</v>
      </c>
      <c r="AG58" s="510"/>
    </row>
    <row r="59" spans="1:33" ht="15.75" customHeight="1">
      <c r="A59" s="513" t="s">
        <v>65</v>
      </c>
      <c r="B59" s="42" t="s">
        <v>93</v>
      </c>
      <c r="C59" s="501" t="s">
        <v>112</v>
      </c>
      <c r="D59" s="502"/>
      <c r="E59" s="42">
        <v>35.869999999999997</v>
      </c>
      <c r="F59" s="170">
        <v>3094</v>
      </c>
      <c r="G59" s="159">
        <f t="shared" si="31"/>
        <v>110981.78</v>
      </c>
      <c r="H59" s="125" t="s">
        <v>79</v>
      </c>
      <c r="I59" s="168">
        <v>9</v>
      </c>
      <c r="J59" s="37">
        <v>3000</v>
      </c>
      <c r="K59" s="17">
        <f t="shared" si="1"/>
        <v>333.33333333333331</v>
      </c>
      <c r="L59" s="168">
        <v>9</v>
      </c>
      <c r="M59" s="18">
        <f t="shared" si="32"/>
        <v>2855.9999999999991</v>
      </c>
      <c r="N59" s="18">
        <f t="shared" si="3"/>
        <v>317.33333333333326</v>
      </c>
      <c r="O59" s="19">
        <f t="shared" si="4"/>
        <v>0</v>
      </c>
      <c r="P59" s="20">
        <f t="shared" si="5"/>
        <v>-16.000000000000057</v>
      </c>
      <c r="Q59" s="158">
        <f t="shared" si="6"/>
        <v>0.95199999999999985</v>
      </c>
      <c r="R59" s="510"/>
      <c r="S59" s="40">
        <v>0.43611111111111095</v>
      </c>
      <c r="T59" s="40">
        <v>0.48124999999999984</v>
      </c>
      <c r="U59" s="159">
        <f t="shared" si="34"/>
        <v>6.9999999999999751</v>
      </c>
      <c r="V59" s="169">
        <f t="shared" si="33"/>
        <v>65.000000000000014</v>
      </c>
      <c r="W59" s="23"/>
      <c r="X59" s="23"/>
      <c r="Y59" s="26"/>
      <c r="Z59" s="26"/>
      <c r="AA59" s="503"/>
      <c r="AB59" s="504"/>
      <c r="AC59" s="154" t="s">
        <v>79</v>
      </c>
      <c r="AD59" s="25"/>
      <c r="AE59" s="19">
        <f t="shared" si="8"/>
        <v>-144.00000000000091</v>
      </c>
      <c r="AF59" s="158">
        <f t="shared" si="9"/>
        <v>0.95199999999999974</v>
      </c>
      <c r="AG59" s="510"/>
    </row>
    <row r="60" spans="1:33" ht="15.75" customHeight="1">
      <c r="A60" s="513" t="s">
        <v>65</v>
      </c>
      <c r="B60" s="42" t="s">
        <v>93</v>
      </c>
      <c r="C60" s="501" t="s">
        <v>113</v>
      </c>
      <c r="D60" s="502"/>
      <c r="E60" s="42">
        <v>34.36</v>
      </c>
      <c r="F60" s="170">
        <v>1884</v>
      </c>
      <c r="G60" s="159">
        <f t="shared" si="31"/>
        <v>64734.239999999998</v>
      </c>
      <c r="H60" s="125" t="s">
        <v>79</v>
      </c>
      <c r="I60" s="168">
        <v>10</v>
      </c>
      <c r="J60" s="37">
        <v>3000</v>
      </c>
      <c r="K60" s="17">
        <f t="shared" si="1"/>
        <v>300</v>
      </c>
      <c r="L60" s="168">
        <v>10</v>
      </c>
      <c r="M60" s="18">
        <f t="shared" si="32"/>
        <v>2898.4615384615367</v>
      </c>
      <c r="N60" s="18">
        <f t="shared" si="3"/>
        <v>289.8461538461537</v>
      </c>
      <c r="O60" s="19">
        <f t="shared" si="4"/>
        <v>0</v>
      </c>
      <c r="P60" s="20">
        <f t="shared" si="5"/>
        <v>-10.153846153846303</v>
      </c>
      <c r="Q60" s="158">
        <f t="shared" si="6"/>
        <v>0.9661538461538457</v>
      </c>
      <c r="R60" s="510"/>
      <c r="S60" s="40">
        <v>0.48611111111111094</v>
      </c>
      <c r="T60" s="40">
        <v>0.51319444444444429</v>
      </c>
      <c r="U60" s="159">
        <f t="shared" si="34"/>
        <v>6.9999999999999751</v>
      </c>
      <c r="V60" s="169">
        <f t="shared" si="33"/>
        <v>39.000000000000021</v>
      </c>
      <c r="W60" s="23">
        <f>T60</f>
        <v>0.51319444444444429</v>
      </c>
      <c r="X60" s="23">
        <f>S61</f>
        <v>0.55138888888888871</v>
      </c>
      <c r="Y60" s="26"/>
      <c r="Z60" s="26"/>
      <c r="AA60" s="503"/>
      <c r="AB60" s="504"/>
      <c r="AC60" s="154" t="s">
        <v>79</v>
      </c>
      <c r="AD60" s="25"/>
      <c r="AE60" s="19">
        <f t="shared" si="8"/>
        <v>-101.53846153846325</v>
      </c>
      <c r="AF60" s="158">
        <f t="shared" si="9"/>
        <v>0.96615384615384559</v>
      </c>
      <c r="AG60" s="510"/>
    </row>
    <row r="61" spans="1:33" ht="15.75" customHeight="1">
      <c r="A61" s="513" t="s">
        <v>65</v>
      </c>
      <c r="B61" s="42" t="s">
        <v>93</v>
      </c>
      <c r="C61" s="501" t="s">
        <v>95</v>
      </c>
      <c r="D61" s="502"/>
      <c r="E61" s="42">
        <v>27.17</v>
      </c>
      <c r="F61" s="170">
        <v>2982</v>
      </c>
      <c r="G61" s="159">
        <f t="shared" si="31"/>
        <v>81020.94</v>
      </c>
      <c r="H61" s="125" t="s">
        <v>79</v>
      </c>
      <c r="I61" s="168">
        <v>10</v>
      </c>
      <c r="J61" s="37">
        <v>3000</v>
      </c>
      <c r="K61" s="17">
        <f t="shared" si="1"/>
        <v>300</v>
      </c>
      <c r="L61" s="168">
        <v>10</v>
      </c>
      <c r="M61" s="18">
        <f t="shared" si="32"/>
        <v>2885.8064516129061</v>
      </c>
      <c r="N61" s="18">
        <f t="shared" si="3"/>
        <v>288.58064516129059</v>
      </c>
      <c r="O61" s="19">
        <f t="shared" si="4"/>
        <v>0</v>
      </c>
      <c r="P61" s="20">
        <f t="shared" si="5"/>
        <v>-11.41935483870941</v>
      </c>
      <c r="Q61" s="158">
        <f t="shared" si="6"/>
        <v>0.96193548387096861</v>
      </c>
      <c r="R61" s="510"/>
      <c r="S61" s="40">
        <v>0.55138888888888871</v>
      </c>
      <c r="T61" s="40">
        <v>0.59444444444444422</v>
      </c>
      <c r="U61" s="159">
        <f t="shared" si="34"/>
        <v>54.999999999999964</v>
      </c>
      <c r="V61" s="169">
        <f t="shared" si="33"/>
        <v>61.999999999999943</v>
      </c>
      <c r="W61" s="23"/>
      <c r="X61" s="23"/>
      <c r="Y61" s="26"/>
      <c r="Z61" s="26"/>
      <c r="AA61" s="503"/>
      <c r="AB61" s="504"/>
      <c r="AC61" s="154" t="s">
        <v>79</v>
      </c>
      <c r="AD61" s="25"/>
      <c r="AE61" s="19">
        <f t="shared" si="8"/>
        <v>-114.19354838709387</v>
      </c>
      <c r="AF61" s="158">
        <f t="shared" si="9"/>
        <v>0.96193548387096872</v>
      </c>
      <c r="AG61" s="510"/>
    </row>
    <row r="62" spans="1:33" ht="15.75" customHeight="1">
      <c r="A62" s="513" t="s">
        <v>65</v>
      </c>
      <c r="B62" s="42" t="s">
        <v>93</v>
      </c>
      <c r="C62" s="501" t="s">
        <v>94</v>
      </c>
      <c r="D62" s="502"/>
      <c r="E62" s="42">
        <v>21.13</v>
      </c>
      <c r="F62" s="170">
        <v>2722</v>
      </c>
      <c r="G62" s="159">
        <f t="shared" si="31"/>
        <v>57515.86</v>
      </c>
      <c r="H62" s="125" t="s">
        <v>79</v>
      </c>
      <c r="I62" s="168">
        <v>10</v>
      </c>
      <c r="J62" s="37">
        <v>3000</v>
      </c>
      <c r="K62" s="17">
        <f t="shared" si="1"/>
        <v>300</v>
      </c>
      <c r="L62" s="168">
        <v>10</v>
      </c>
      <c r="M62" s="18">
        <f t="shared" si="32"/>
        <v>2865.2631578947389</v>
      </c>
      <c r="N62" s="18">
        <f t="shared" si="3"/>
        <v>286.52631578947387</v>
      </c>
      <c r="O62" s="19">
        <f t="shared" si="4"/>
        <v>0</v>
      </c>
      <c r="P62" s="20">
        <f t="shared" si="5"/>
        <v>-13.47368421052613</v>
      </c>
      <c r="Q62" s="158">
        <f t="shared" si="6"/>
        <v>0.95508771929824621</v>
      </c>
      <c r="R62" s="510"/>
      <c r="S62" s="40">
        <v>0.59791666666666643</v>
      </c>
      <c r="T62" s="40">
        <v>0.63749999999999973</v>
      </c>
      <c r="U62" s="159">
        <f t="shared" si="34"/>
        <v>4.9999999999999822</v>
      </c>
      <c r="V62" s="169">
        <f t="shared" si="33"/>
        <v>56.999999999999957</v>
      </c>
      <c r="W62" s="23"/>
      <c r="X62" s="23"/>
      <c r="Y62" s="26"/>
      <c r="Z62" s="26"/>
      <c r="AA62" s="503"/>
      <c r="AB62" s="504"/>
      <c r="AC62" s="154" t="s">
        <v>79</v>
      </c>
      <c r="AD62" s="25"/>
      <c r="AE62" s="19">
        <f t="shared" si="8"/>
        <v>-134.73684210526108</v>
      </c>
      <c r="AF62" s="158">
        <f t="shared" si="9"/>
        <v>0.95508771929824632</v>
      </c>
      <c r="AG62" s="510"/>
    </row>
    <row r="63" spans="1:33" ht="15.75" customHeight="1">
      <c r="A63" s="514" t="s">
        <v>65</v>
      </c>
      <c r="B63" s="42" t="s">
        <v>71</v>
      </c>
      <c r="C63" s="492"/>
      <c r="D63" s="493"/>
      <c r="E63" s="160"/>
      <c r="F63" s="170"/>
      <c r="G63" s="159"/>
      <c r="H63" s="170"/>
      <c r="I63" s="30">
        <v>10.545454545454545</v>
      </c>
      <c r="J63" s="37">
        <v>2818.181818181818</v>
      </c>
      <c r="K63" s="17">
        <f t="shared" si="1"/>
        <v>267.24137931034483</v>
      </c>
      <c r="L63" s="30">
        <v>10.545454545454545</v>
      </c>
      <c r="M63" s="18">
        <f>AVERAGE(M52:M62)</f>
        <v>2708.2727120102836</v>
      </c>
      <c r="N63" s="17">
        <f t="shared" si="3"/>
        <v>256.81896406994071</v>
      </c>
      <c r="O63" s="19">
        <f t="shared" si="4"/>
        <v>0</v>
      </c>
      <c r="P63" s="20">
        <f t="shared" si="5"/>
        <v>-10.422415240404121</v>
      </c>
      <c r="Q63" s="158">
        <f t="shared" si="6"/>
        <v>0.9609999945842943</v>
      </c>
      <c r="R63" s="511"/>
      <c r="S63" s="40"/>
      <c r="T63" s="40"/>
      <c r="U63" s="159"/>
      <c r="V63" s="169"/>
      <c r="W63" s="23"/>
      <c r="X63" s="23"/>
      <c r="Y63" s="31">
        <f>SUM(Y52:Y62)</f>
        <v>0</v>
      </c>
      <c r="Z63" s="31">
        <f>SUM(Z52:Z62)</f>
        <v>0</v>
      </c>
      <c r="AA63" s="505"/>
      <c r="AB63" s="506"/>
      <c r="AC63" s="31">
        <v>0</v>
      </c>
      <c r="AD63" s="31">
        <f>SUM(AD52:AD62)</f>
        <v>0</v>
      </c>
      <c r="AE63" s="19">
        <f t="shared" si="8"/>
        <v>-109.9091061715344</v>
      </c>
      <c r="AF63" s="158">
        <f t="shared" si="9"/>
        <v>0.96099999458429419</v>
      </c>
      <c r="AG63" s="511"/>
    </row>
    <row r="64" spans="1:33" ht="15.75" customHeight="1">
      <c r="A64" s="507" t="s">
        <v>67</v>
      </c>
      <c r="B64" s="42" t="s">
        <v>100</v>
      </c>
      <c r="C64" s="490" t="s">
        <v>101</v>
      </c>
      <c r="D64" s="490"/>
      <c r="E64" s="42">
        <v>46</v>
      </c>
      <c r="F64" s="46">
        <v>1585</v>
      </c>
      <c r="G64" s="159">
        <f t="shared" ref="G64:G71" si="35">E64*F64</f>
        <v>72910</v>
      </c>
      <c r="H64" s="125" t="s">
        <v>79</v>
      </c>
      <c r="I64" s="168">
        <v>17</v>
      </c>
      <c r="J64" s="37">
        <v>2000</v>
      </c>
      <c r="K64" s="17">
        <f t="shared" si="1"/>
        <v>117.64705882352941</v>
      </c>
      <c r="L64" s="168">
        <v>17</v>
      </c>
      <c r="M64" s="18">
        <f t="shared" ref="M64:M71" si="36">F64/V64*60</f>
        <v>1901.9999999999991</v>
      </c>
      <c r="N64" s="18">
        <f t="shared" si="3"/>
        <v>111.88235294117642</v>
      </c>
      <c r="O64" s="19">
        <f t="shared" si="4"/>
        <v>0</v>
      </c>
      <c r="P64" s="20">
        <f t="shared" si="5"/>
        <v>-5.7647058823529846</v>
      </c>
      <c r="Q64" s="158">
        <f t="shared" si="6"/>
        <v>0.95099999999999962</v>
      </c>
      <c r="R64" s="489">
        <f>Q72</f>
        <v>0.92536410409765679</v>
      </c>
      <c r="S64" s="40">
        <v>0.20833333333333334</v>
      </c>
      <c r="T64" s="40">
        <v>0.24305555555555558</v>
      </c>
      <c r="U64" s="28"/>
      <c r="V64" s="169">
        <f t="shared" ref="V64:V71" si="37">(T64-S64)*24*60</f>
        <v>50.000000000000021</v>
      </c>
      <c r="W64" s="28"/>
      <c r="X64" s="28"/>
      <c r="Y64" s="28"/>
      <c r="Z64" s="28"/>
      <c r="AA64" s="491"/>
      <c r="AB64" s="491"/>
      <c r="AC64" s="154">
        <v>4</v>
      </c>
      <c r="AD64" s="25"/>
      <c r="AE64" s="19">
        <f t="shared" si="8"/>
        <v>-98.000000000000909</v>
      </c>
      <c r="AF64" s="158">
        <f t="shared" si="9"/>
        <v>0.95099999999999951</v>
      </c>
      <c r="AG64" s="489">
        <f>AF72</f>
        <v>0.92536410409765679</v>
      </c>
    </row>
    <row r="65" spans="1:33" ht="15.75" customHeight="1">
      <c r="A65" s="507" t="s">
        <v>67</v>
      </c>
      <c r="B65" s="42" t="s">
        <v>100</v>
      </c>
      <c r="C65" s="490" t="s">
        <v>102</v>
      </c>
      <c r="D65" s="490"/>
      <c r="E65" s="42">
        <v>46</v>
      </c>
      <c r="F65" s="46">
        <v>1743</v>
      </c>
      <c r="G65" s="159">
        <f t="shared" si="35"/>
        <v>80178</v>
      </c>
      <c r="H65" s="125" t="s">
        <v>79</v>
      </c>
      <c r="I65" s="168">
        <v>17</v>
      </c>
      <c r="J65" s="37">
        <v>2000</v>
      </c>
      <c r="K65" s="17">
        <f t="shared" si="1"/>
        <v>117.64705882352941</v>
      </c>
      <c r="L65" s="168">
        <v>17</v>
      </c>
      <c r="M65" s="18">
        <f t="shared" si="36"/>
        <v>1936.6666666666677</v>
      </c>
      <c r="N65" s="18">
        <f t="shared" si="3"/>
        <v>113.92156862745104</v>
      </c>
      <c r="O65" s="19">
        <f t="shared" si="4"/>
        <v>0</v>
      </c>
      <c r="P65" s="20">
        <f t="shared" si="5"/>
        <v>-3.7254901960783684</v>
      </c>
      <c r="Q65" s="158">
        <f t="shared" si="6"/>
        <v>0.96833333333333382</v>
      </c>
      <c r="R65" s="489"/>
      <c r="S65" s="40">
        <v>0.24652777777777779</v>
      </c>
      <c r="T65" s="40">
        <v>0.28402777777777777</v>
      </c>
      <c r="U65" s="159">
        <f t="shared" ref="U65:U71" si="38">IF(S65=TIME(17,0,0),"",(S65-T64)*24*60)</f>
        <v>4.9999999999999822</v>
      </c>
      <c r="V65" s="169">
        <f t="shared" si="37"/>
        <v>53.999999999999972</v>
      </c>
      <c r="W65" s="23"/>
      <c r="X65" s="23"/>
      <c r="Y65" s="23"/>
      <c r="Z65" s="23"/>
      <c r="AA65" s="491"/>
      <c r="AB65" s="491"/>
      <c r="AC65" s="154"/>
      <c r="AD65" s="25"/>
      <c r="AE65" s="19">
        <f t="shared" si="8"/>
        <v>-63.333333333332348</v>
      </c>
      <c r="AF65" s="158">
        <f t="shared" si="9"/>
        <v>0.96833333333333382</v>
      </c>
      <c r="AG65" s="489"/>
    </row>
    <row r="66" spans="1:33" ht="15.75" customHeight="1">
      <c r="A66" s="507" t="s">
        <v>67</v>
      </c>
      <c r="B66" s="42" t="s">
        <v>103</v>
      </c>
      <c r="C66" s="501" t="s">
        <v>105</v>
      </c>
      <c r="D66" s="502"/>
      <c r="E66" s="42">
        <v>56.43</v>
      </c>
      <c r="F66" s="46">
        <v>541</v>
      </c>
      <c r="G66" s="159">
        <f t="shared" si="35"/>
        <v>30528.63</v>
      </c>
      <c r="H66" s="125" t="s">
        <v>79</v>
      </c>
      <c r="I66" s="168">
        <v>22</v>
      </c>
      <c r="J66" s="37">
        <v>2000</v>
      </c>
      <c r="K66" s="17">
        <f t="shared" si="1"/>
        <v>90.909090909090907</v>
      </c>
      <c r="L66" s="168">
        <v>22</v>
      </c>
      <c r="M66" s="18">
        <f t="shared" si="36"/>
        <v>1622.9999999999993</v>
      </c>
      <c r="N66" s="18">
        <f t="shared" si="3"/>
        <v>73.772727272727238</v>
      </c>
      <c r="O66" s="19">
        <f t="shared" si="4"/>
        <v>0</v>
      </c>
      <c r="P66" s="20">
        <f t="shared" si="5"/>
        <v>-17.136363636363669</v>
      </c>
      <c r="Q66" s="158">
        <f t="shared" si="6"/>
        <v>0.81149999999999967</v>
      </c>
      <c r="R66" s="489"/>
      <c r="S66" s="40">
        <v>0.2895833333333333</v>
      </c>
      <c r="T66" s="40">
        <v>0.3034722222222222</v>
      </c>
      <c r="U66" s="159">
        <f t="shared" si="38"/>
        <v>7.9999999999999716</v>
      </c>
      <c r="V66" s="169">
        <f t="shared" si="37"/>
        <v>20.000000000000007</v>
      </c>
      <c r="W66" s="23"/>
      <c r="X66" s="23"/>
      <c r="Y66" s="26"/>
      <c r="Z66" s="26"/>
      <c r="AA66" s="491"/>
      <c r="AB66" s="491"/>
      <c r="AC66" s="154"/>
      <c r="AD66" s="25"/>
      <c r="AE66" s="19">
        <f t="shared" si="8"/>
        <v>-377.00000000000068</v>
      </c>
      <c r="AF66" s="158">
        <f t="shared" si="9"/>
        <v>0.81149999999999967</v>
      </c>
      <c r="AG66" s="489"/>
    </row>
    <row r="67" spans="1:33" ht="15.75" customHeight="1">
      <c r="A67" s="507" t="s">
        <v>67</v>
      </c>
      <c r="B67" s="42" t="s">
        <v>103</v>
      </c>
      <c r="C67" s="163" t="s">
        <v>518</v>
      </c>
      <c r="D67" s="164"/>
      <c r="E67" s="42">
        <v>49.44</v>
      </c>
      <c r="F67" s="46">
        <v>2886</v>
      </c>
      <c r="G67" s="159">
        <f t="shared" si="35"/>
        <v>142683.84</v>
      </c>
      <c r="H67" s="125" t="s">
        <v>79</v>
      </c>
      <c r="I67" s="168">
        <v>25</v>
      </c>
      <c r="J67" s="37">
        <v>2000</v>
      </c>
      <c r="K67" s="17">
        <f t="shared" si="1"/>
        <v>80</v>
      </c>
      <c r="L67" s="168">
        <v>25</v>
      </c>
      <c r="M67" s="18">
        <f t="shared" si="36"/>
        <v>1664.9999999999995</v>
      </c>
      <c r="N67" s="18">
        <f t="shared" si="3"/>
        <v>66.59999999999998</v>
      </c>
      <c r="O67" s="19">
        <f t="shared" si="4"/>
        <v>0</v>
      </c>
      <c r="P67" s="20">
        <f t="shared" si="5"/>
        <v>-13.40000000000002</v>
      </c>
      <c r="Q67" s="158">
        <f t="shared" si="6"/>
        <v>0.8324999999999998</v>
      </c>
      <c r="R67" s="489"/>
      <c r="S67" s="40">
        <v>0.30902777777777773</v>
      </c>
      <c r="T67" s="40">
        <v>0.38124999999999998</v>
      </c>
      <c r="U67" s="159">
        <f t="shared" si="38"/>
        <v>7.9999999999999716</v>
      </c>
      <c r="V67" s="169">
        <f t="shared" si="37"/>
        <v>104.00000000000003</v>
      </c>
      <c r="W67" s="23"/>
      <c r="X67" s="23"/>
      <c r="Y67" s="26"/>
      <c r="Z67" s="26"/>
      <c r="AA67" s="491"/>
      <c r="AB67" s="491"/>
      <c r="AC67" s="154"/>
      <c r="AD67" s="25"/>
      <c r="AE67" s="19">
        <f t="shared" si="8"/>
        <v>-335.00000000000045</v>
      </c>
      <c r="AF67" s="158">
        <f t="shared" si="9"/>
        <v>0.8324999999999998</v>
      </c>
      <c r="AG67" s="489"/>
    </row>
    <row r="68" spans="1:33" ht="15.75" customHeight="1">
      <c r="A68" s="507" t="s">
        <v>67</v>
      </c>
      <c r="B68" s="42" t="s">
        <v>103</v>
      </c>
      <c r="C68" s="163" t="s">
        <v>106</v>
      </c>
      <c r="D68" s="164"/>
      <c r="E68" s="42">
        <v>55.56</v>
      </c>
      <c r="F68" s="46">
        <v>1833</v>
      </c>
      <c r="G68" s="159">
        <f t="shared" si="35"/>
        <v>101841.48000000001</v>
      </c>
      <c r="H68" s="125" t="s">
        <v>79</v>
      </c>
      <c r="I68" s="168">
        <v>17</v>
      </c>
      <c r="J68" s="37">
        <v>2000</v>
      </c>
      <c r="K68" s="17">
        <f t="shared" si="1"/>
        <v>117.64705882352941</v>
      </c>
      <c r="L68" s="168">
        <v>17</v>
      </c>
      <c r="M68" s="18">
        <f t="shared" si="36"/>
        <v>1929.4736842105278</v>
      </c>
      <c r="N68" s="18">
        <f t="shared" si="3"/>
        <v>113.49845201238399</v>
      </c>
      <c r="O68" s="19">
        <f t="shared" si="4"/>
        <v>0</v>
      </c>
      <c r="P68" s="20">
        <f t="shared" si="5"/>
        <v>-4.1486068111454131</v>
      </c>
      <c r="Q68" s="158">
        <f t="shared" si="6"/>
        <v>0.964736842105264</v>
      </c>
      <c r="R68" s="489"/>
      <c r="S68" s="40">
        <v>0.70833333333333337</v>
      </c>
      <c r="T68" s="40">
        <v>0.74791666666666667</v>
      </c>
      <c r="U68" s="159" t="str">
        <f t="shared" si="38"/>
        <v/>
      </c>
      <c r="V68" s="169">
        <f t="shared" si="37"/>
        <v>56.999999999999957</v>
      </c>
      <c r="W68" s="23"/>
      <c r="X68" s="23"/>
      <c r="Y68" s="26"/>
      <c r="Z68" s="26"/>
      <c r="AA68" s="491"/>
      <c r="AB68" s="491"/>
      <c r="AC68" s="154"/>
      <c r="AD68" s="25"/>
      <c r="AE68" s="19">
        <f t="shared" si="8"/>
        <v>-70.526315789472164</v>
      </c>
      <c r="AF68" s="158">
        <f t="shared" si="9"/>
        <v>0.96473684210526389</v>
      </c>
      <c r="AG68" s="489"/>
    </row>
    <row r="69" spans="1:33" ht="15.75" customHeight="1">
      <c r="A69" s="507" t="s">
        <v>743</v>
      </c>
      <c r="B69" s="42" t="s">
        <v>103</v>
      </c>
      <c r="C69" s="501" t="s">
        <v>107</v>
      </c>
      <c r="D69" s="502"/>
      <c r="E69" s="42">
        <v>55.32</v>
      </c>
      <c r="F69" s="46">
        <v>1401</v>
      </c>
      <c r="G69" s="159">
        <f t="shared" si="35"/>
        <v>77503.320000000007</v>
      </c>
      <c r="H69" s="125" t="s">
        <v>79</v>
      </c>
      <c r="I69" s="168">
        <v>15</v>
      </c>
      <c r="J69" s="37">
        <v>2000</v>
      </c>
      <c r="K69" s="17">
        <f t="shared" ref="K69:K84" si="39">J69/I69</f>
        <v>133.33333333333334</v>
      </c>
      <c r="L69" s="168">
        <v>15</v>
      </c>
      <c r="M69" s="18">
        <f t="shared" si="36"/>
        <v>1910.4545454545455</v>
      </c>
      <c r="N69" s="18">
        <f t="shared" ref="N69:N84" si="40">M69/L69</f>
        <v>127.36363636363636</v>
      </c>
      <c r="O69" s="19">
        <f t="shared" ref="O69:O84" si="41">L69-I69</f>
        <v>0</v>
      </c>
      <c r="P69" s="20">
        <f t="shared" ref="P69:P84" si="42">N69-K69</f>
        <v>-5.969696969696983</v>
      </c>
      <c r="Q69" s="158">
        <f t="shared" ref="Q69:Q84" si="43">N69/K69</f>
        <v>0.95522727272727259</v>
      </c>
      <c r="R69" s="489"/>
      <c r="S69" s="40">
        <v>0.75138888888888888</v>
      </c>
      <c r="T69" s="40">
        <v>0.78194444444444444</v>
      </c>
      <c r="U69" s="159">
        <f t="shared" si="38"/>
        <v>4.9999999999999822</v>
      </c>
      <c r="V69" s="169">
        <f t="shared" si="37"/>
        <v>44</v>
      </c>
      <c r="W69" s="23"/>
      <c r="X69" s="23"/>
      <c r="Y69" s="26"/>
      <c r="Z69" s="26"/>
      <c r="AA69" s="503"/>
      <c r="AB69" s="504"/>
      <c r="AC69" s="154"/>
      <c r="AD69" s="25"/>
      <c r="AE69" s="19">
        <f t="shared" ref="AE69:AE84" si="44">M69-J69</f>
        <v>-89.545454545454504</v>
      </c>
      <c r="AF69" s="158">
        <f t="shared" ref="AF69:AF84" si="45">M69/J69</f>
        <v>0.9552272727272727</v>
      </c>
      <c r="AG69" s="489"/>
    </row>
    <row r="70" spans="1:33" ht="15.75" customHeight="1">
      <c r="A70" s="507" t="s">
        <v>67</v>
      </c>
      <c r="B70" s="42" t="s">
        <v>103</v>
      </c>
      <c r="C70" s="501" t="s">
        <v>516</v>
      </c>
      <c r="D70" s="502"/>
      <c r="E70" s="42">
        <v>48.36</v>
      </c>
      <c r="F70" s="46">
        <v>1600</v>
      </c>
      <c r="G70" s="159">
        <f t="shared" si="35"/>
        <v>77376</v>
      </c>
      <c r="H70" s="125">
        <v>2</v>
      </c>
      <c r="I70" s="168">
        <v>16</v>
      </c>
      <c r="J70" s="37">
        <v>2000</v>
      </c>
      <c r="K70" s="17">
        <f t="shared" si="39"/>
        <v>125</v>
      </c>
      <c r="L70" s="168">
        <v>16</v>
      </c>
      <c r="M70" s="18">
        <f t="shared" si="36"/>
        <v>1920.0000000000005</v>
      </c>
      <c r="N70" s="18">
        <f t="shared" si="40"/>
        <v>120.00000000000003</v>
      </c>
      <c r="O70" s="19">
        <f t="shared" si="41"/>
        <v>0</v>
      </c>
      <c r="P70" s="20">
        <f t="shared" si="42"/>
        <v>-4.9999999999999716</v>
      </c>
      <c r="Q70" s="158">
        <f t="shared" si="43"/>
        <v>0.96000000000000019</v>
      </c>
      <c r="R70" s="489"/>
      <c r="S70" s="40">
        <v>0.78749999999999998</v>
      </c>
      <c r="T70" s="40">
        <v>0.82222222222222219</v>
      </c>
      <c r="U70" s="159">
        <f t="shared" si="38"/>
        <v>7.9999999999999716</v>
      </c>
      <c r="V70" s="169">
        <f t="shared" si="37"/>
        <v>49.999999999999986</v>
      </c>
      <c r="W70" s="23">
        <f>T70</f>
        <v>0.82222222222222219</v>
      </c>
      <c r="X70" s="23">
        <f>S71</f>
        <v>0.86249999999999993</v>
      </c>
      <c r="Y70" s="26"/>
      <c r="Z70" s="26"/>
      <c r="AA70" s="503"/>
      <c r="AB70" s="504"/>
      <c r="AC70" s="154"/>
      <c r="AD70" s="25"/>
      <c r="AE70" s="19">
        <f t="shared" si="44"/>
        <v>-79.999999999999545</v>
      </c>
      <c r="AF70" s="158">
        <f t="shared" si="45"/>
        <v>0.96000000000000019</v>
      </c>
      <c r="AG70" s="489"/>
    </row>
    <row r="71" spans="1:33" ht="15.75" customHeight="1">
      <c r="A71" s="507" t="s">
        <v>67</v>
      </c>
      <c r="B71" s="42" t="s">
        <v>103</v>
      </c>
      <c r="C71" s="501" t="s">
        <v>516</v>
      </c>
      <c r="D71" s="502"/>
      <c r="E71" s="42">
        <v>48.36</v>
      </c>
      <c r="F71" s="46">
        <v>2495</v>
      </c>
      <c r="G71" s="159">
        <f t="shared" si="35"/>
        <v>120658.2</v>
      </c>
      <c r="H71" s="125" t="s">
        <v>79</v>
      </c>
      <c r="I71" s="168">
        <v>16</v>
      </c>
      <c r="J71" s="37">
        <v>2000</v>
      </c>
      <c r="K71" s="17">
        <f t="shared" si="39"/>
        <v>125</v>
      </c>
      <c r="L71" s="168">
        <v>16</v>
      </c>
      <c r="M71" s="18">
        <f t="shared" si="36"/>
        <v>1919.2307692307684</v>
      </c>
      <c r="N71" s="18">
        <f t="shared" si="40"/>
        <v>119.95192307692302</v>
      </c>
      <c r="O71" s="19">
        <f t="shared" si="41"/>
        <v>0</v>
      </c>
      <c r="P71" s="20">
        <f t="shared" si="42"/>
        <v>-5.0480769230769766</v>
      </c>
      <c r="Q71" s="158">
        <f t="shared" si="43"/>
        <v>0.9596153846153842</v>
      </c>
      <c r="R71" s="489"/>
      <c r="S71" s="40">
        <v>0.86249999999999993</v>
      </c>
      <c r="T71" s="40">
        <v>0.91666666666666663</v>
      </c>
      <c r="U71" s="159">
        <f t="shared" si="38"/>
        <v>57.999999999999957</v>
      </c>
      <c r="V71" s="169">
        <f t="shared" si="37"/>
        <v>78.000000000000043</v>
      </c>
      <c r="W71" s="23"/>
      <c r="X71" s="23"/>
      <c r="Y71" s="26"/>
      <c r="Z71" s="26"/>
      <c r="AA71" s="503"/>
      <c r="AB71" s="504"/>
      <c r="AC71" s="154"/>
      <c r="AD71" s="25"/>
      <c r="AE71" s="19">
        <f t="shared" si="44"/>
        <v>-80.769230769231626</v>
      </c>
      <c r="AF71" s="158">
        <f t="shared" si="45"/>
        <v>0.9596153846153842</v>
      </c>
      <c r="AG71" s="489"/>
    </row>
    <row r="72" spans="1:33">
      <c r="A72" s="508" t="s">
        <v>67</v>
      </c>
      <c r="B72" s="42" t="s">
        <v>71</v>
      </c>
      <c r="C72" s="494"/>
      <c r="D72" s="494"/>
      <c r="E72" s="161"/>
      <c r="F72" s="44"/>
      <c r="G72" s="17"/>
      <c r="H72" s="170"/>
      <c r="I72" s="30">
        <v>18.75</v>
      </c>
      <c r="J72" s="37">
        <v>2000</v>
      </c>
      <c r="K72" s="17">
        <f t="shared" si="39"/>
        <v>106.66666666666667</v>
      </c>
      <c r="L72" s="30">
        <v>18.75</v>
      </c>
      <c r="M72" s="18">
        <f>AVERAGE(M64:M71)</f>
        <v>1850.7282081953135</v>
      </c>
      <c r="N72" s="17">
        <f t="shared" si="40"/>
        <v>98.705504437083391</v>
      </c>
      <c r="O72" s="19">
        <f t="shared" si="41"/>
        <v>0</v>
      </c>
      <c r="P72" s="20">
        <f t="shared" si="42"/>
        <v>-7.9611622295832802</v>
      </c>
      <c r="Q72" s="158">
        <f t="shared" si="43"/>
        <v>0.92536410409765679</v>
      </c>
      <c r="R72" s="489"/>
      <c r="S72" s="41"/>
      <c r="T72" s="40"/>
      <c r="U72" s="17"/>
      <c r="V72" s="169"/>
      <c r="W72" s="17"/>
      <c r="X72" s="17"/>
      <c r="Y72" s="31">
        <f>SUM(Y64:Y71)</f>
        <v>0</v>
      </c>
      <c r="Z72" s="31">
        <f>SUM(Z64:Z71)</f>
        <v>0</v>
      </c>
      <c r="AA72" s="495"/>
      <c r="AB72" s="495"/>
      <c r="AC72" s="31">
        <v>4</v>
      </c>
      <c r="AD72" s="31">
        <f>SUM(AD64:AD71)</f>
        <v>0</v>
      </c>
      <c r="AE72" s="19">
        <f t="shared" si="44"/>
        <v>-149.27179180468647</v>
      </c>
      <c r="AF72" s="158">
        <f t="shared" si="45"/>
        <v>0.92536410409765679</v>
      </c>
      <c r="AG72" s="489"/>
    </row>
    <row r="73" spans="1:33" ht="15.75" customHeight="1">
      <c r="A73" s="499" t="s">
        <v>72</v>
      </c>
      <c r="B73" s="170" t="s">
        <v>100</v>
      </c>
      <c r="C73" s="490" t="s">
        <v>109</v>
      </c>
      <c r="D73" s="490"/>
      <c r="E73" s="42">
        <v>26.97</v>
      </c>
      <c r="F73" s="46">
        <v>2146</v>
      </c>
      <c r="G73" s="159">
        <f t="shared" ref="G73:G76" si="46">E73*F73</f>
        <v>57877.619999999995</v>
      </c>
      <c r="H73" s="125" t="s">
        <v>79</v>
      </c>
      <c r="I73" s="168">
        <v>8</v>
      </c>
      <c r="J73" s="37">
        <v>1500</v>
      </c>
      <c r="K73" s="17">
        <f t="shared" si="39"/>
        <v>187.5</v>
      </c>
      <c r="L73" s="168">
        <v>8</v>
      </c>
      <c r="M73" s="18">
        <f t="shared" ref="M73:M76" si="47">F73/V73*60</f>
        <v>1430.6666666666661</v>
      </c>
      <c r="N73" s="17">
        <f t="shared" si="40"/>
        <v>178.83333333333326</v>
      </c>
      <c r="O73" s="19">
        <f t="shared" si="41"/>
        <v>0</v>
      </c>
      <c r="P73" s="20">
        <f t="shared" si="42"/>
        <v>-8.6666666666667425</v>
      </c>
      <c r="Q73" s="158">
        <f t="shared" si="43"/>
        <v>0.95377777777777739</v>
      </c>
      <c r="R73" s="489">
        <f>Q77</f>
        <v>0.96161319062678141</v>
      </c>
      <c r="S73" s="40">
        <v>0.20833333333333334</v>
      </c>
      <c r="T73" s="40">
        <v>0.27083333333333337</v>
      </c>
      <c r="U73" s="159"/>
      <c r="V73" s="169">
        <f t="shared" ref="V73:V76" si="48">(T73-S73)*24*60</f>
        <v>90.000000000000043</v>
      </c>
      <c r="W73" s="28"/>
      <c r="X73" s="28"/>
      <c r="Y73" s="28"/>
      <c r="Z73" s="28"/>
      <c r="AA73" s="491"/>
      <c r="AB73" s="491"/>
      <c r="AC73" s="154" t="s">
        <v>79</v>
      </c>
      <c r="AD73" s="25"/>
      <c r="AE73" s="19">
        <f t="shared" si="44"/>
        <v>-69.33333333333394</v>
      </c>
      <c r="AF73" s="158">
        <f t="shared" si="45"/>
        <v>0.95377777777777739</v>
      </c>
      <c r="AG73" s="489">
        <f>AF77</f>
        <v>0.9616131906267813</v>
      </c>
    </row>
    <row r="74" spans="1:33" ht="15.75" customHeight="1">
      <c r="A74" s="499" t="s">
        <v>72</v>
      </c>
      <c r="B74" s="170" t="s">
        <v>93</v>
      </c>
      <c r="C74" s="490" t="s">
        <v>110</v>
      </c>
      <c r="D74" s="490"/>
      <c r="E74" s="42">
        <v>26.78</v>
      </c>
      <c r="F74" s="46">
        <v>2848</v>
      </c>
      <c r="G74" s="159">
        <f t="shared" si="46"/>
        <v>76269.440000000002</v>
      </c>
      <c r="H74" s="125" t="s">
        <v>79</v>
      </c>
      <c r="I74" s="168">
        <v>10</v>
      </c>
      <c r="J74" s="37">
        <v>3000</v>
      </c>
      <c r="K74" s="17">
        <f t="shared" si="39"/>
        <v>300</v>
      </c>
      <c r="L74" s="168">
        <v>10</v>
      </c>
      <c r="M74" s="18">
        <f t="shared" si="47"/>
        <v>2896.2711864406765</v>
      </c>
      <c r="N74" s="17">
        <f t="shared" si="40"/>
        <v>289.62711864406765</v>
      </c>
      <c r="O74" s="19">
        <f t="shared" si="41"/>
        <v>0</v>
      </c>
      <c r="P74" s="20">
        <f t="shared" si="42"/>
        <v>-10.37288135593235</v>
      </c>
      <c r="Q74" s="158">
        <f t="shared" si="43"/>
        <v>0.96542372881355887</v>
      </c>
      <c r="R74" s="489"/>
      <c r="S74" s="40">
        <v>0.27569444444444446</v>
      </c>
      <c r="T74" s="40">
        <v>0.31666666666666671</v>
      </c>
      <c r="U74" s="159">
        <f t="shared" ref="U74:U76" si="49">(S74-T73)*24*60</f>
        <v>6.9999999999999751</v>
      </c>
      <c r="V74" s="169">
        <f t="shared" si="48"/>
        <v>59.000000000000028</v>
      </c>
      <c r="W74" s="159"/>
      <c r="X74" s="159"/>
      <c r="Y74" s="159"/>
      <c r="Z74" s="159"/>
      <c r="AA74" s="491"/>
      <c r="AB74" s="491"/>
      <c r="AC74" s="154" t="s">
        <v>79</v>
      </c>
      <c r="AD74" s="25"/>
      <c r="AE74" s="19">
        <f t="shared" si="44"/>
        <v>-103.7288135593235</v>
      </c>
      <c r="AF74" s="158">
        <f t="shared" si="45"/>
        <v>0.96542372881355887</v>
      </c>
      <c r="AG74" s="489"/>
    </row>
    <row r="75" spans="1:33" ht="15.75" customHeight="1">
      <c r="A75" s="499" t="s">
        <v>72</v>
      </c>
      <c r="B75" s="170" t="s">
        <v>93</v>
      </c>
      <c r="C75" s="490" t="s">
        <v>111</v>
      </c>
      <c r="D75" s="490"/>
      <c r="E75" s="42">
        <v>37.880000000000003</v>
      </c>
      <c r="F75" s="46">
        <v>2703</v>
      </c>
      <c r="G75" s="159">
        <f t="shared" si="46"/>
        <v>102389.64000000001</v>
      </c>
      <c r="H75" s="125" t="s">
        <v>79</v>
      </c>
      <c r="I75" s="168">
        <v>10</v>
      </c>
      <c r="J75" s="37">
        <v>3000</v>
      </c>
      <c r="K75" s="17">
        <f t="shared" si="39"/>
        <v>300</v>
      </c>
      <c r="L75" s="168">
        <v>10</v>
      </c>
      <c r="M75" s="18">
        <f t="shared" si="47"/>
        <v>2896.0714285714262</v>
      </c>
      <c r="N75" s="17">
        <f t="shared" si="40"/>
        <v>289.60714285714261</v>
      </c>
      <c r="O75" s="19">
        <f t="shared" si="41"/>
        <v>0</v>
      </c>
      <c r="P75" s="20">
        <f t="shared" si="42"/>
        <v>-10.392857142857395</v>
      </c>
      <c r="Q75" s="158">
        <f t="shared" si="43"/>
        <v>0.96535714285714203</v>
      </c>
      <c r="R75" s="489"/>
      <c r="S75" s="40">
        <v>0.3215277777777778</v>
      </c>
      <c r="T75" s="40">
        <v>0.36041666666666672</v>
      </c>
      <c r="U75" s="159">
        <f t="shared" si="49"/>
        <v>6.9999999999999751</v>
      </c>
      <c r="V75" s="169">
        <f t="shared" si="48"/>
        <v>56.000000000000043</v>
      </c>
      <c r="W75" s="159"/>
      <c r="X75" s="159"/>
      <c r="Y75" s="159"/>
      <c r="Z75" s="159"/>
      <c r="AA75" s="491"/>
      <c r="AB75" s="491"/>
      <c r="AC75" s="154" t="s">
        <v>79</v>
      </c>
      <c r="AD75" s="25"/>
      <c r="AE75" s="19">
        <f t="shared" si="44"/>
        <v>-103.92857142857383</v>
      </c>
      <c r="AF75" s="158">
        <f t="shared" si="45"/>
        <v>0.96535714285714203</v>
      </c>
      <c r="AG75" s="489"/>
    </row>
    <row r="76" spans="1:33" ht="15.75" customHeight="1">
      <c r="A76" s="499" t="s">
        <v>72</v>
      </c>
      <c r="B76" s="170" t="s">
        <v>100</v>
      </c>
      <c r="C76" s="490" t="s">
        <v>519</v>
      </c>
      <c r="D76" s="490"/>
      <c r="E76" s="42">
        <v>26.13</v>
      </c>
      <c r="F76" s="46">
        <v>5058</v>
      </c>
      <c r="G76" s="159">
        <f t="shared" si="46"/>
        <v>132165.54</v>
      </c>
      <c r="H76" s="125" t="s">
        <v>79</v>
      </c>
      <c r="I76" s="168">
        <v>10</v>
      </c>
      <c r="J76" s="37">
        <v>1500</v>
      </c>
      <c r="K76" s="17">
        <f t="shared" si="39"/>
        <v>150</v>
      </c>
      <c r="L76" s="168">
        <v>10</v>
      </c>
      <c r="M76" s="18">
        <f t="shared" si="47"/>
        <v>1431.5094339622638</v>
      </c>
      <c r="N76" s="17">
        <f t="shared" si="40"/>
        <v>143.15094339622638</v>
      </c>
      <c r="O76" s="19">
        <f t="shared" si="41"/>
        <v>0</v>
      </c>
      <c r="P76" s="20">
        <f t="shared" si="42"/>
        <v>-6.8490566037736187</v>
      </c>
      <c r="Q76" s="158">
        <f t="shared" si="43"/>
        <v>0.95433962264150918</v>
      </c>
      <c r="R76" s="489"/>
      <c r="S76" s="40">
        <v>0.36527777777777781</v>
      </c>
      <c r="T76" s="40">
        <v>0.51250000000000007</v>
      </c>
      <c r="U76" s="159">
        <f t="shared" si="49"/>
        <v>6.9999999999999751</v>
      </c>
      <c r="V76" s="169">
        <f t="shared" si="48"/>
        <v>212.00000000000006</v>
      </c>
      <c r="W76" s="159"/>
      <c r="X76" s="159"/>
      <c r="Y76" s="159"/>
      <c r="Z76" s="159"/>
      <c r="AA76" s="491"/>
      <c r="AB76" s="491"/>
      <c r="AC76" s="154">
        <v>1</v>
      </c>
      <c r="AD76" s="25"/>
      <c r="AE76" s="19">
        <f t="shared" si="44"/>
        <v>-68.490566037736244</v>
      </c>
      <c r="AF76" s="158">
        <f t="shared" si="45"/>
        <v>0.95433962264150918</v>
      </c>
      <c r="AG76" s="489"/>
    </row>
    <row r="77" spans="1:33">
      <c r="A77" s="500" t="s">
        <v>72</v>
      </c>
      <c r="B77" s="42" t="s">
        <v>71</v>
      </c>
      <c r="C77" s="494"/>
      <c r="D77" s="494"/>
      <c r="E77" s="161"/>
      <c r="F77" s="44"/>
      <c r="G77" s="17"/>
      <c r="H77" s="170"/>
      <c r="I77" s="30">
        <v>9</v>
      </c>
      <c r="J77" s="37">
        <v>2250</v>
      </c>
      <c r="K77" s="17">
        <f t="shared" si="39"/>
        <v>250</v>
      </c>
      <c r="L77" s="30">
        <v>9</v>
      </c>
      <c r="M77" s="18">
        <f>AVERAGE(M73:M76)</f>
        <v>2163.629678910258</v>
      </c>
      <c r="N77" s="17">
        <f t="shared" si="40"/>
        <v>240.40329765669534</v>
      </c>
      <c r="O77" s="19">
        <f t="shared" si="41"/>
        <v>0</v>
      </c>
      <c r="P77" s="20">
        <f t="shared" si="42"/>
        <v>-9.5967023433046563</v>
      </c>
      <c r="Q77" s="158">
        <f t="shared" si="43"/>
        <v>0.96161319062678141</v>
      </c>
      <c r="R77" s="489"/>
      <c r="S77" s="40"/>
      <c r="T77" s="40"/>
      <c r="U77" s="17"/>
      <c r="V77" s="169"/>
      <c r="W77" s="17"/>
      <c r="X77" s="17"/>
      <c r="Y77" s="31">
        <f>SUM(Y73:Y76)</f>
        <v>0</v>
      </c>
      <c r="Z77" s="31">
        <f>SUM(Z73:Z76)</f>
        <v>0</v>
      </c>
      <c r="AA77" s="495"/>
      <c r="AB77" s="495"/>
      <c r="AC77" s="31">
        <v>1</v>
      </c>
      <c r="AD77" s="31">
        <f>SUM(AD73:AD76)</f>
        <v>0</v>
      </c>
      <c r="AE77" s="19">
        <f t="shared" si="44"/>
        <v>-86.370321089741992</v>
      </c>
      <c r="AF77" s="158">
        <f t="shared" si="45"/>
        <v>0.9616131906267813</v>
      </c>
      <c r="AG77" s="489"/>
    </row>
    <row r="78" spans="1:33" ht="15.75" customHeight="1">
      <c r="A78" s="496" t="s">
        <v>75</v>
      </c>
      <c r="B78" s="170" t="s">
        <v>80</v>
      </c>
      <c r="C78" s="490" t="s">
        <v>115</v>
      </c>
      <c r="D78" s="490"/>
      <c r="E78" s="42">
        <v>20.2</v>
      </c>
      <c r="F78" s="170">
        <v>2305</v>
      </c>
      <c r="G78" s="159">
        <f t="shared" ref="G78:G83" si="50">E78*F78</f>
        <v>46561</v>
      </c>
      <c r="H78" s="125" t="s">
        <v>79</v>
      </c>
      <c r="I78" s="168">
        <v>19</v>
      </c>
      <c r="J78" s="37">
        <v>2400</v>
      </c>
      <c r="K78" s="17">
        <f t="shared" si="39"/>
        <v>126.31578947368421</v>
      </c>
      <c r="L78" s="168">
        <v>19</v>
      </c>
      <c r="M78" s="18">
        <f t="shared" ref="M78:M83" si="51">F78/V78*60</f>
        <v>2305</v>
      </c>
      <c r="N78" s="17">
        <f t="shared" si="40"/>
        <v>121.31578947368421</v>
      </c>
      <c r="O78" s="19">
        <f t="shared" si="41"/>
        <v>0</v>
      </c>
      <c r="P78" s="20">
        <f t="shared" si="42"/>
        <v>-5</v>
      </c>
      <c r="Q78" s="158">
        <f t="shared" si="43"/>
        <v>0.9604166666666667</v>
      </c>
      <c r="R78" s="489">
        <f>Q84</f>
        <v>0.95582159365783581</v>
      </c>
      <c r="S78" s="40">
        <v>8.3333333333333329E-2</v>
      </c>
      <c r="T78" s="40">
        <v>0.125</v>
      </c>
      <c r="U78" s="28"/>
      <c r="V78" s="169">
        <f t="shared" ref="V78:V83" si="52">(T78-S78)*24*60</f>
        <v>60</v>
      </c>
      <c r="W78" s="23">
        <f>T78</f>
        <v>0.125</v>
      </c>
      <c r="X78" s="23">
        <f>S79</f>
        <v>0.14305555555555555</v>
      </c>
      <c r="Y78" s="23"/>
      <c r="Z78" s="23"/>
      <c r="AA78" s="491"/>
      <c r="AB78" s="491"/>
      <c r="AC78" s="154">
        <v>8</v>
      </c>
      <c r="AD78" s="25"/>
      <c r="AE78" s="19">
        <f t="shared" si="44"/>
        <v>-95</v>
      </c>
      <c r="AF78" s="158">
        <f t="shared" si="45"/>
        <v>0.9604166666666667</v>
      </c>
      <c r="AG78" s="489">
        <f>AF84</f>
        <v>0.95582159365783581</v>
      </c>
    </row>
    <row r="79" spans="1:33" ht="15.75" customHeight="1">
      <c r="A79" s="497" t="s">
        <v>75</v>
      </c>
      <c r="B79" s="170" t="s">
        <v>80</v>
      </c>
      <c r="C79" s="490" t="s">
        <v>116</v>
      </c>
      <c r="D79" s="490"/>
      <c r="E79" s="42">
        <v>20.52</v>
      </c>
      <c r="F79" s="170">
        <v>3203</v>
      </c>
      <c r="G79" s="159">
        <f t="shared" si="50"/>
        <v>65725.56</v>
      </c>
      <c r="H79" s="125" t="s">
        <v>79</v>
      </c>
      <c r="I79" s="168">
        <v>18</v>
      </c>
      <c r="J79" s="37">
        <v>2400</v>
      </c>
      <c r="K79" s="17">
        <f t="shared" si="39"/>
        <v>133.33333333333334</v>
      </c>
      <c r="L79" s="168">
        <v>18</v>
      </c>
      <c r="M79" s="18">
        <f t="shared" si="51"/>
        <v>2287.8571428571431</v>
      </c>
      <c r="N79" s="17">
        <f t="shared" si="40"/>
        <v>127.10317460317462</v>
      </c>
      <c r="O79" s="19">
        <f t="shared" si="41"/>
        <v>0</v>
      </c>
      <c r="P79" s="20">
        <f t="shared" si="42"/>
        <v>-6.2301587301587205</v>
      </c>
      <c r="Q79" s="158">
        <f t="shared" si="43"/>
        <v>0.95327380952380958</v>
      </c>
      <c r="R79" s="489"/>
      <c r="S79" s="40">
        <v>0.14305555555555555</v>
      </c>
      <c r="T79" s="40">
        <v>0.20138888888888887</v>
      </c>
      <c r="U79" s="159">
        <f t="shared" ref="U79:U83" si="53">(S79-T78)*24*60</f>
        <v>25.999999999999986</v>
      </c>
      <c r="V79" s="169">
        <f t="shared" si="52"/>
        <v>83.999999999999986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-112.14285714285688</v>
      </c>
      <c r="AF79" s="158">
        <f t="shared" si="45"/>
        <v>0.95327380952380958</v>
      </c>
      <c r="AG79" s="489"/>
    </row>
    <row r="80" spans="1:33" ht="15.75" customHeight="1">
      <c r="A80" s="497" t="s">
        <v>75</v>
      </c>
      <c r="B80" s="170" t="s">
        <v>80</v>
      </c>
      <c r="C80" s="490" t="s">
        <v>117</v>
      </c>
      <c r="D80" s="490"/>
      <c r="E80" s="42">
        <v>24.43</v>
      </c>
      <c r="F80" s="170">
        <v>6387</v>
      </c>
      <c r="G80" s="159">
        <f t="shared" si="50"/>
        <v>156034.41</v>
      </c>
      <c r="H80" s="125" t="s">
        <v>79</v>
      </c>
      <c r="I80" s="168">
        <v>14</v>
      </c>
      <c r="J80" s="37">
        <v>2400</v>
      </c>
      <c r="K80" s="17">
        <f t="shared" si="39"/>
        <v>171.42857142857142</v>
      </c>
      <c r="L80" s="168">
        <v>14</v>
      </c>
      <c r="M80" s="18">
        <f t="shared" si="51"/>
        <v>2294.7305389221556</v>
      </c>
      <c r="N80" s="17">
        <f t="shared" si="40"/>
        <v>163.90932420872539</v>
      </c>
      <c r="O80" s="19">
        <f t="shared" si="41"/>
        <v>0</v>
      </c>
      <c r="P80" s="20">
        <f t="shared" si="42"/>
        <v>-7.5192472198460223</v>
      </c>
      <c r="Q80" s="158">
        <f t="shared" si="43"/>
        <v>0.95613772455089818</v>
      </c>
      <c r="R80" s="489"/>
      <c r="S80" s="40">
        <v>0.20486111111111108</v>
      </c>
      <c r="T80" s="40">
        <v>0.3208333333333333</v>
      </c>
      <c r="U80" s="159">
        <f t="shared" si="53"/>
        <v>4.9999999999999822</v>
      </c>
      <c r="V80" s="169">
        <f t="shared" si="52"/>
        <v>167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-105.26946107784443</v>
      </c>
      <c r="AF80" s="158">
        <f t="shared" si="45"/>
        <v>0.95613772455089818</v>
      </c>
      <c r="AG80" s="489"/>
    </row>
    <row r="81" spans="1:33" ht="15.75" customHeight="1">
      <c r="A81" s="497" t="s">
        <v>75</v>
      </c>
      <c r="B81" s="170" t="s">
        <v>80</v>
      </c>
      <c r="C81" s="490" t="s">
        <v>118</v>
      </c>
      <c r="D81" s="490"/>
      <c r="E81" s="42">
        <v>20.21</v>
      </c>
      <c r="F81" s="170">
        <v>4616</v>
      </c>
      <c r="G81" s="159">
        <f t="shared" si="50"/>
        <v>93289.36</v>
      </c>
      <c r="H81" s="125" t="s">
        <v>79</v>
      </c>
      <c r="I81" s="168">
        <v>16</v>
      </c>
      <c r="J81" s="37">
        <v>2400</v>
      </c>
      <c r="K81" s="17">
        <f t="shared" si="39"/>
        <v>150</v>
      </c>
      <c r="L81" s="168">
        <v>16</v>
      </c>
      <c r="M81" s="18">
        <f t="shared" si="51"/>
        <v>2288.9256198347111</v>
      </c>
      <c r="N81" s="17">
        <f t="shared" si="40"/>
        <v>143.05785123966945</v>
      </c>
      <c r="O81" s="19">
        <f t="shared" si="41"/>
        <v>0</v>
      </c>
      <c r="P81" s="20">
        <f t="shared" si="42"/>
        <v>-6.9421487603305536</v>
      </c>
      <c r="Q81" s="158">
        <f t="shared" si="43"/>
        <v>0.95371900826446299</v>
      </c>
      <c r="R81" s="489"/>
      <c r="S81" s="40">
        <v>0.32499999999999996</v>
      </c>
      <c r="T81" s="40">
        <v>0.40902777777777771</v>
      </c>
      <c r="U81" s="159">
        <f t="shared" si="53"/>
        <v>5.9999999999999787</v>
      </c>
      <c r="V81" s="169">
        <f t="shared" si="52"/>
        <v>120.99999999999997</v>
      </c>
      <c r="W81" s="23"/>
      <c r="X81" s="23"/>
      <c r="Y81" s="23"/>
      <c r="Z81" s="23"/>
      <c r="AA81" s="491"/>
      <c r="AB81" s="491"/>
      <c r="AC81" s="154"/>
      <c r="AD81" s="25"/>
      <c r="AE81" s="19">
        <f t="shared" si="44"/>
        <v>-111.07438016528886</v>
      </c>
      <c r="AF81" s="158">
        <f t="shared" si="45"/>
        <v>0.95371900826446299</v>
      </c>
      <c r="AG81" s="489"/>
    </row>
    <row r="82" spans="1:33" ht="15.75" customHeight="1">
      <c r="A82" s="497" t="s">
        <v>75</v>
      </c>
      <c r="B82" s="170" t="s">
        <v>80</v>
      </c>
      <c r="C82" s="490" t="s">
        <v>119</v>
      </c>
      <c r="D82" s="490"/>
      <c r="E82" s="42">
        <v>19.02</v>
      </c>
      <c r="F82" s="170">
        <v>5200</v>
      </c>
      <c r="G82" s="159">
        <f t="shared" si="50"/>
        <v>98904</v>
      </c>
      <c r="H82" s="125">
        <v>2</v>
      </c>
      <c r="I82" s="168">
        <v>15</v>
      </c>
      <c r="J82" s="37">
        <v>2400</v>
      </c>
      <c r="K82" s="17">
        <f t="shared" si="39"/>
        <v>160</v>
      </c>
      <c r="L82" s="168">
        <v>15</v>
      </c>
      <c r="M82" s="18">
        <f t="shared" si="51"/>
        <v>2294.1176470588248</v>
      </c>
      <c r="N82" s="17">
        <f t="shared" si="40"/>
        <v>152.94117647058832</v>
      </c>
      <c r="O82" s="19">
        <f t="shared" si="41"/>
        <v>0</v>
      </c>
      <c r="P82" s="20">
        <f t="shared" si="42"/>
        <v>-7.0588235294116828</v>
      </c>
      <c r="Q82" s="158">
        <f t="shared" si="43"/>
        <v>0.95588235294117696</v>
      </c>
      <c r="R82" s="489"/>
      <c r="S82" s="40">
        <v>0.41319444444444436</v>
      </c>
      <c r="T82" s="40">
        <v>0.50763888888888875</v>
      </c>
      <c r="U82" s="159">
        <f t="shared" si="53"/>
        <v>5.9999999999999787</v>
      </c>
      <c r="V82" s="169">
        <f t="shared" si="52"/>
        <v>135.99999999999991</v>
      </c>
      <c r="W82" s="23">
        <f>T82</f>
        <v>0.50763888888888875</v>
      </c>
      <c r="X82" s="23">
        <f>S83</f>
        <v>0.54722222222222205</v>
      </c>
      <c r="Y82" s="23"/>
      <c r="Z82" s="23"/>
      <c r="AA82" s="491"/>
      <c r="AB82" s="491"/>
      <c r="AC82" s="154"/>
      <c r="AD82" s="25"/>
      <c r="AE82" s="19">
        <f t="shared" si="44"/>
        <v>-105.88235294117521</v>
      </c>
      <c r="AF82" s="158">
        <f t="shared" si="45"/>
        <v>0.95588235294117696</v>
      </c>
      <c r="AG82" s="489"/>
    </row>
    <row r="83" spans="1:33" ht="15.75" customHeight="1">
      <c r="A83" s="497" t="s">
        <v>75</v>
      </c>
      <c r="B83" s="170" t="s">
        <v>80</v>
      </c>
      <c r="C83" s="490" t="s">
        <v>119</v>
      </c>
      <c r="D83" s="490"/>
      <c r="E83" s="42">
        <v>19.02</v>
      </c>
      <c r="F83" s="170">
        <v>3822</v>
      </c>
      <c r="G83" s="159">
        <f t="shared" si="50"/>
        <v>72694.44</v>
      </c>
      <c r="H83" s="125" t="s">
        <v>79</v>
      </c>
      <c r="I83" s="168">
        <v>15</v>
      </c>
      <c r="J83" s="37">
        <v>2400</v>
      </c>
      <c r="K83" s="17">
        <f t="shared" si="39"/>
        <v>160</v>
      </c>
      <c r="L83" s="168">
        <v>15</v>
      </c>
      <c r="M83" s="18">
        <f t="shared" si="51"/>
        <v>2293.2000000000007</v>
      </c>
      <c r="N83" s="17">
        <f t="shared" si="40"/>
        <v>152.88000000000005</v>
      </c>
      <c r="O83" s="19">
        <f t="shared" si="41"/>
        <v>0</v>
      </c>
      <c r="P83" s="20">
        <f t="shared" si="42"/>
        <v>-7.1199999999999477</v>
      </c>
      <c r="Q83" s="158">
        <f t="shared" si="43"/>
        <v>0.95550000000000035</v>
      </c>
      <c r="R83" s="489"/>
      <c r="S83" s="40">
        <v>0.54722222222222205</v>
      </c>
      <c r="T83" s="40">
        <v>0.61666666666666647</v>
      </c>
      <c r="U83" s="159">
        <f t="shared" si="53"/>
        <v>56.999999999999957</v>
      </c>
      <c r="V83" s="169">
        <f t="shared" si="52"/>
        <v>99.999999999999972</v>
      </c>
      <c r="W83" s="23"/>
      <c r="X83" s="23"/>
      <c r="Y83" s="23"/>
      <c r="Z83" s="23"/>
      <c r="AA83" s="491"/>
      <c r="AB83" s="491"/>
      <c r="AC83" s="154"/>
      <c r="AD83" s="25"/>
      <c r="AE83" s="19">
        <f t="shared" si="44"/>
        <v>-106.79999999999927</v>
      </c>
      <c r="AF83" s="158">
        <f t="shared" si="45"/>
        <v>0.95550000000000035</v>
      </c>
      <c r="AG83" s="489"/>
    </row>
    <row r="84" spans="1:33" ht="16.5" customHeight="1">
      <c r="A84" s="498" t="s">
        <v>744</v>
      </c>
      <c r="B84" s="42" t="s">
        <v>71</v>
      </c>
      <c r="C84" s="492"/>
      <c r="D84" s="493"/>
      <c r="E84" s="161"/>
      <c r="F84" s="44"/>
      <c r="G84" s="17"/>
      <c r="H84" s="170"/>
      <c r="I84" s="30">
        <v>16.166666666666668</v>
      </c>
      <c r="J84" s="37">
        <v>2400</v>
      </c>
      <c r="K84" s="17">
        <f t="shared" si="39"/>
        <v>148.45360824742266</v>
      </c>
      <c r="L84" s="30">
        <v>16.166666666666668</v>
      </c>
      <c r="M84" s="18">
        <f>AVERAGE(M78:M83)</f>
        <v>2293.971824778806</v>
      </c>
      <c r="N84" s="17">
        <f t="shared" si="40"/>
        <v>141.89516441930758</v>
      </c>
      <c r="O84" s="19">
        <f t="shared" si="41"/>
        <v>0</v>
      </c>
      <c r="P84" s="20">
        <f t="shared" si="42"/>
        <v>-6.5584438281150881</v>
      </c>
      <c r="Q84" s="158">
        <f t="shared" si="43"/>
        <v>0.95582159365783581</v>
      </c>
      <c r="R84" s="489"/>
      <c r="S84" s="40"/>
      <c r="T84" s="40"/>
      <c r="U84" s="17"/>
      <c r="V84" s="169"/>
      <c r="W84" s="17"/>
      <c r="X84" s="17"/>
      <c r="Y84" s="31">
        <f>SUM(Y78:Y83)</f>
        <v>0</v>
      </c>
      <c r="Z84" s="31">
        <f>SUM(Z78:Z83)</f>
        <v>0</v>
      </c>
      <c r="AA84" s="495"/>
      <c r="AB84" s="495"/>
      <c r="AC84" s="31">
        <v>8</v>
      </c>
      <c r="AD84" s="31">
        <f>SUM(AD78:AD83)</f>
        <v>0</v>
      </c>
      <c r="AE84" s="19">
        <f t="shared" si="44"/>
        <v>-106.02817522119403</v>
      </c>
      <c r="AF84" s="158">
        <f t="shared" si="45"/>
        <v>0.95582159365783581</v>
      </c>
      <c r="AG84" s="489"/>
    </row>
    <row r="85" spans="1:33">
      <c r="D85" s="33"/>
      <c r="E85" s="33"/>
    </row>
  </sheetData>
  <mergeCells count="219">
    <mergeCell ref="A78:A84"/>
    <mergeCell ref="C78:D78"/>
    <mergeCell ref="R78:R84"/>
    <mergeCell ref="AA78:AB78"/>
    <mergeCell ref="A73:A77"/>
    <mergeCell ref="C73:D73"/>
    <mergeCell ref="R73:R77"/>
    <mergeCell ref="AA73:AB73"/>
    <mergeCell ref="AG78:AG84"/>
    <mergeCell ref="C79:D79"/>
    <mergeCell ref="AA79:AB79"/>
    <mergeCell ref="C80:D80"/>
    <mergeCell ref="AA80:AB80"/>
    <mergeCell ref="C81:D81"/>
    <mergeCell ref="AA81:AB81"/>
    <mergeCell ref="C82:D82"/>
    <mergeCell ref="AA82:AB82"/>
    <mergeCell ref="C83:D83"/>
    <mergeCell ref="AA83:AB83"/>
    <mergeCell ref="C84:D84"/>
    <mergeCell ref="AA84:AB84"/>
    <mergeCell ref="AG73:AG77"/>
    <mergeCell ref="A64:A72"/>
    <mergeCell ref="C64:D64"/>
    <mergeCell ref="R64:R72"/>
    <mergeCell ref="AA64:AB64"/>
    <mergeCell ref="AA70:AB70"/>
    <mergeCell ref="C71:D71"/>
    <mergeCell ref="AA71:AB71"/>
    <mergeCell ref="C72:D72"/>
    <mergeCell ref="AA72:AB72"/>
    <mergeCell ref="C65:D65"/>
    <mergeCell ref="AA65:AB65"/>
    <mergeCell ref="C66:D66"/>
    <mergeCell ref="AA66:AB66"/>
    <mergeCell ref="AA67:AB67"/>
    <mergeCell ref="AA68:AB68"/>
    <mergeCell ref="C69:D69"/>
    <mergeCell ref="AA69:AB69"/>
    <mergeCell ref="C70:D70"/>
    <mergeCell ref="AG52:AG63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57:D57"/>
    <mergeCell ref="C62:D62"/>
    <mergeCell ref="AA62:AB62"/>
    <mergeCell ref="C63:D63"/>
    <mergeCell ref="AA63:AB63"/>
    <mergeCell ref="AG64:AG72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A52:A63"/>
    <mergeCell ref="C52:D52"/>
    <mergeCell ref="R52:R63"/>
    <mergeCell ref="AA52:AB52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A44:A51"/>
    <mergeCell ref="C44:D44"/>
    <mergeCell ref="R44:R51"/>
    <mergeCell ref="AA44:AB44"/>
    <mergeCell ref="C50:D50"/>
    <mergeCell ref="AA50:AB50"/>
    <mergeCell ref="C51:D51"/>
    <mergeCell ref="AA51:AB51"/>
    <mergeCell ref="A37:A43"/>
    <mergeCell ref="C37:D37"/>
    <mergeCell ref="R37:R43"/>
    <mergeCell ref="AA37:AB37"/>
    <mergeCell ref="AA42:AB42"/>
    <mergeCell ref="C43:D43"/>
    <mergeCell ref="AG44:AG51"/>
    <mergeCell ref="C45:D45"/>
    <mergeCell ref="AA45:AB45"/>
    <mergeCell ref="C46:D46"/>
    <mergeCell ref="AA46:AB46"/>
    <mergeCell ref="AG37:AG43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C47:D47"/>
    <mergeCell ref="AA47:AB47"/>
    <mergeCell ref="C48:D48"/>
    <mergeCell ref="AA48:AB48"/>
    <mergeCell ref="C49:D49"/>
    <mergeCell ref="AA49:AB49"/>
    <mergeCell ref="AA43:AB43"/>
    <mergeCell ref="AG25:AG36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5:D35"/>
    <mergeCell ref="AA35:AB35"/>
    <mergeCell ref="C36:D36"/>
    <mergeCell ref="AA36:AB36"/>
    <mergeCell ref="C24:D24"/>
    <mergeCell ref="AA24:AB24"/>
    <mergeCell ref="A25:A36"/>
    <mergeCell ref="C25:D25"/>
    <mergeCell ref="R25:R36"/>
    <mergeCell ref="AA25:AB25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AG12:AG14"/>
    <mergeCell ref="C13:D13"/>
    <mergeCell ref="AA13:AB13"/>
    <mergeCell ref="C14:D14"/>
    <mergeCell ref="AA14:AB14"/>
    <mergeCell ref="A15:A24"/>
    <mergeCell ref="C15:D15"/>
    <mergeCell ref="R15:R24"/>
    <mergeCell ref="AA15:AB15"/>
    <mergeCell ref="AG15:AG24"/>
    <mergeCell ref="C19:D19"/>
    <mergeCell ref="AA19:AB19"/>
    <mergeCell ref="C20:D20"/>
    <mergeCell ref="AA20:AB20"/>
    <mergeCell ref="AA21:AB21"/>
    <mergeCell ref="AA22:AB22"/>
    <mergeCell ref="C16:D16"/>
    <mergeCell ref="AA16:AB16"/>
    <mergeCell ref="C17:D17"/>
    <mergeCell ref="AA17:AB17"/>
    <mergeCell ref="C18:D18"/>
    <mergeCell ref="AA18:AB18"/>
    <mergeCell ref="C23:D23"/>
    <mergeCell ref="AA23:AB23"/>
    <mergeCell ref="A12:A14"/>
    <mergeCell ref="C12:D12"/>
    <mergeCell ref="R12:R14"/>
    <mergeCell ref="AA12:AB12"/>
    <mergeCell ref="C7:D7"/>
    <mergeCell ref="AA7:AB7"/>
    <mergeCell ref="C8:D8"/>
    <mergeCell ref="AA8:AB8"/>
    <mergeCell ref="C9:D9"/>
    <mergeCell ref="AA9:AB9"/>
    <mergeCell ref="A5:A11"/>
    <mergeCell ref="C5:D5"/>
    <mergeCell ref="R5:R11"/>
    <mergeCell ref="AA5:AB5"/>
    <mergeCell ref="AG5:AG11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C11:D11"/>
    <mergeCell ref="AA11:AB11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72:O73 O76:O84 O5:O12 O14:O16 O63:O69 O24:O57">
    <cfRule type="cellIs" dxfId="600" priority="93" operator="greaterThan">
      <formula>0</formula>
    </cfRule>
  </conditionalFormatting>
  <conditionalFormatting sqref="P5:P10 P76 AE76 P78:P83 P37:P42 P73 P12 P14:P16 P25:P35 P64:P69 P44:P57 AE5:AE73 AE78:AE84">
    <cfRule type="cellIs" dxfId="599" priority="97" operator="lessThan">
      <formula>0</formula>
    </cfRule>
  </conditionalFormatting>
  <conditionalFormatting sqref="AF76 Q72:Q73 Q76:Q84 Q5:Q12 Q14:Q16 Q63:Q69 Q24:Q57 AF5:AF73 AF78:AF84">
    <cfRule type="cellIs" dxfId="598" priority="94" operator="greaterThan">
      <formula>1</formula>
    </cfRule>
    <cfRule type="cellIs" dxfId="597" priority="95" operator="lessThan">
      <formula>0.8</formula>
    </cfRule>
  </conditionalFormatting>
  <conditionalFormatting sqref="AG15:AG16 R15:R16 AG76 R24:R30 AG24:AG30 AG72:AG73 R72:R73 R76:R84 AG5:AG12 R5:R12 R36:R57 AG36:AG57 AG63:AG69 R63:R69">
    <cfRule type="cellIs" dxfId="596" priority="99" operator="lessThan">
      <formula>0.8</formula>
    </cfRule>
  </conditionalFormatting>
  <conditionalFormatting sqref="AG52">
    <cfRule type="cellIs" dxfId="595" priority="101" operator="lessThan">
      <formula>0.8</formula>
    </cfRule>
  </conditionalFormatting>
  <conditionalFormatting sqref="AG25:AG30">
    <cfRule type="cellIs" dxfId="594" priority="98" operator="lessThan">
      <formula>0.8</formula>
    </cfRule>
  </conditionalFormatting>
  <conditionalFormatting sqref="AG37">
    <cfRule type="cellIs" dxfId="593" priority="100" operator="lessThan">
      <formula>0.8</formula>
    </cfRule>
  </conditionalFormatting>
  <conditionalFormatting sqref="AG44:AG50">
    <cfRule type="cellIs" dxfId="592" priority="96" operator="lessThan">
      <formula>0.8</formula>
    </cfRule>
  </conditionalFormatting>
  <conditionalFormatting sqref="AE77">
    <cfRule type="cellIs" dxfId="591" priority="92" operator="lessThan">
      <formula>0</formula>
    </cfRule>
  </conditionalFormatting>
  <conditionalFormatting sqref="AF77">
    <cfRule type="cellIs" dxfId="590" priority="90" operator="greaterThan">
      <formula>1</formula>
    </cfRule>
    <cfRule type="cellIs" dxfId="589" priority="91" operator="lessThan">
      <formula>0.8</formula>
    </cfRule>
  </conditionalFormatting>
  <conditionalFormatting sqref="O17:O18">
    <cfRule type="cellIs" dxfId="588" priority="85" operator="greaterThan">
      <formula>0</formula>
    </cfRule>
  </conditionalFormatting>
  <conditionalFormatting sqref="P17:P18">
    <cfRule type="cellIs" dxfId="587" priority="88" operator="lessThan">
      <formula>0</formula>
    </cfRule>
  </conditionalFormatting>
  <conditionalFormatting sqref="Q17:Q18">
    <cfRule type="cellIs" dxfId="586" priority="86" operator="greaterThan">
      <formula>1</formula>
    </cfRule>
    <cfRule type="cellIs" dxfId="585" priority="87" operator="lessThan">
      <formula>0.8</formula>
    </cfRule>
  </conditionalFormatting>
  <conditionalFormatting sqref="R17:R18 AG17:AG18">
    <cfRule type="cellIs" dxfId="584" priority="89" operator="lessThan">
      <formula>0.8</formula>
    </cfRule>
  </conditionalFormatting>
  <conditionalFormatting sqref="O13">
    <cfRule type="cellIs" dxfId="583" priority="81" operator="greaterThan">
      <formula>0</formula>
    </cfRule>
  </conditionalFormatting>
  <conditionalFormatting sqref="P13">
    <cfRule type="cellIs" dxfId="582" priority="84" operator="lessThan">
      <formula>0</formula>
    </cfRule>
  </conditionalFormatting>
  <conditionalFormatting sqref="Q13">
    <cfRule type="cellIs" dxfId="581" priority="82" operator="greaterThan">
      <formula>1</formula>
    </cfRule>
    <cfRule type="cellIs" dxfId="580" priority="83" operator="lessThan">
      <formula>0.8</formula>
    </cfRule>
  </conditionalFormatting>
  <conditionalFormatting sqref="O70">
    <cfRule type="cellIs" dxfId="579" priority="76" operator="greaterThan">
      <formula>0</formula>
    </cfRule>
  </conditionalFormatting>
  <conditionalFormatting sqref="P70">
    <cfRule type="cellIs" dxfId="578" priority="79" operator="lessThan">
      <formula>0</formula>
    </cfRule>
  </conditionalFormatting>
  <conditionalFormatting sqref="Q70">
    <cfRule type="cellIs" dxfId="577" priority="77" operator="greaterThan">
      <formula>1</formula>
    </cfRule>
    <cfRule type="cellIs" dxfId="576" priority="78" operator="lessThan">
      <formula>0.8</formula>
    </cfRule>
  </conditionalFormatting>
  <conditionalFormatting sqref="R70 AG70">
    <cfRule type="cellIs" dxfId="575" priority="80" operator="lessThan">
      <formula>0.8</formula>
    </cfRule>
  </conditionalFormatting>
  <conditionalFormatting sqref="AG32 R32">
    <cfRule type="cellIs" dxfId="574" priority="75" operator="lessThan">
      <formula>0.8</formula>
    </cfRule>
  </conditionalFormatting>
  <conditionalFormatting sqref="O75">
    <cfRule type="cellIs" dxfId="573" priority="70" operator="greaterThan">
      <formula>0</formula>
    </cfRule>
  </conditionalFormatting>
  <conditionalFormatting sqref="P75 AE75">
    <cfRule type="cellIs" dxfId="572" priority="73" operator="lessThan">
      <formula>0</formula>
    </cfRule>
  </conditionalFormatting>
  <conditionalFormatting sqref="Q75 AF75">
    <cfRule type="cellIs" dxfId="571" priority="71" operator="greaterThan">
      <formula>1</formula>
    </cfRule>
    <cfRule type="cellIs" dxfId="570" priority="72" operator="lessThan">
      <formula>0.8</formula>
    </cfRule>
  </conditionalFormatting>
  <conditionalFormatting sqref="R75 AG75">
    <cfRule type="cellIs" dxfId="569" priority="74" operator="lessThan">
      <formula>0.8</formula>
    </cfRule>
  </conditionalFormatting>
  <conditionalFormatting sqref="O19:O20">
    <cfRule type="cellIs" dxfId="568" priority="65" operator="greaterThan">
      <formula>0</formula>
    </cfRule>
  </conditionalFormatting>
  <conditionalFormatting sqref="P19:P20">
    <cfRule type="cellIs" dxfId="567" priority="68" operator="lessThan">
      <formula>0</formula>
    </cfRule>
  </conditionalFormatting>
  <conditionalFormatting sqref="Q19:Q20">
    <cfRule type="cellIs" dxfId="566" priority="66" operator="greaterThan">
      <formula>1</formula>
    </cfRule>
    <cfRule type="cellIs" dxfId="565" priority="67" operator="lessThan">
      <formula>0.8</formula>
    </cfRule>
  </conditionalFormatting>
  <conditionalFormatting sqref="R19:R20 AG19:AG20">
    <cfRule type="cellIs" dxfId="564" priority="69" operator="lessThan">
      <formula>0.8</formula>
    </cfRule>
  </conditionalFormatting>
  <conditionalFormatting sqref="O58">
    <cfRule type="cellIs" dxfId="563" priority="59" operator="greaterThan">
      <formula>0</formula>
    </cfRule>
  </conditionalFormatting>
  <conditionalFormatting sqref="P58">
    <cfRule type="cellIs" dxfId="562" priority="63" operator="lessThan">
      <formula>0</formula>
    </cfRule>
  </conditionalFormatting>
  <conditionalFormatting sqref="Q58">
    <cfRule type="cellIs" dxfId="561" priority="60" operator="greaterThan">
      <formula>1</formula>
    </cfRule>
    <cfRule type="cellIs" dxfId="560" priority="61" operator="lessThan">
      <formula>0.8</formula>
    </cfRule>
  </conditionalFormatting>
  <conditionalFormatting sqref="R58 AG58">
    <cfRule type="cellIs" dxfId="559" priority="64" operator="lessThan">
      <formula>0.8</formula>
    </cfRule>
  </conditionalFormatting>
  <conditionalFormatting sqref="AG58">
    <cfRule type="cellIs" dxfId="558" priority="62" operator="lessThan">
      <formula>0.8</formula>
    </cfRule>
  </conditionalFormatting>
  <conditionalFormatting sqref="O59">
    <cfRule type="cellIs" dxfId="557" priority="53" operator="greaterThan">
      <formula>0</formula>
    </cfRule>
  </conditionalFormatting>
  <conditionalFormatting sqref="P59">
    <cfRule type="cellIs" dxfId="556" priority="57" operator="lessThan">
      <formula>0</formula>
    </cfRule>
  </conditionalFormatting>
  <conditionalFormatting sqref="Q59">
    <cfRule type="cellIs" dxfId="555" priority="54" operator="greaterThan">
      <formula>1</formula>
    </cfRule>
    <cfRule type="cellIs" dxfId="554" priority="55" operator="lessThan">
      <formula>0.8</formula>
    </cfRule>
  </conditionalFormatting>
  <conditionalFormatting sqref="R59 AG59">
    <cfRule type="cellIs" dxfId="553" priority="58" operator="lessThan">
      <formula>0.8</formula>
    </cfRule>
  </conditionalFormatting>
  <conditionalFormatting sqref="AG59">
    <cfRule type="cellIs" dxfId="552" priority="56" operator="lessThan">
      <formula>0.8</formula>
    </cfRule>
  </conditionalFormatting>
  <conditionalFormatting sqref="O71">
    <cfRule type="cellIs" dxfId="551" priority="48" operator="greaterThan">
      <formula>0</formula>
    </cfRule>
  </conditionalFormatting>
  <conditionalFormatting sqref="P71">
    <cfRule type="cellIs" dxfId="550" priority="51" operator="lessThan">
      <formula>0</formula>
    </cfRule>
  </conditionalFormatting>
  <conditionalFormatting sqref="Q71">
    <cfRule type="cellIs" dxfId="549" priority="49" operator="greaterThan">
      <formula>1</formula>
    </cfRule>
    <cfRule type="cellIs" dxfId="548" priority="50" operator="lessThan">
      <formula>0.8</formula>
    </cfRule>
  </conditionalFormatting>
  <conditionalFormatting sqref="AG71 R71">
    <cfRule type="cellIs" dxfId="547" priority="52" operator="lessThan">
      <formula>0.8</formula>
    </cfRule>
  </conditionalFormatting>
  <conditionalFormatting sqref="AG33 R33">
    <cfRule type="cellIs" dxfId="546" priority="47" operator="lessThan">
      <formula>0.8</formula>
    </cfRule>
  </conditionalFormatting>
  <conditionalFormatting sqref="AG35 R35">
    <cfRule type="cellIs" dxfId="545" priority="46" operator="lessThan">
      <formula>0.8</formula>
    </cfRule>
  </conditionalFormatting>
  <conditionalFormatting sqref="R31 AG31">
    <cfRule type="cellIs" dxfId="544" priority="45" operator="lessThan">
      <formula>0.8</formula>
    </cfRule>
  </conditionalFormatting>
  <conditionalFormatting sqref="AG31">
    <cfRule type="cellIs" dxfId="543" priority="44" operator="lessThan">
      <formula>0.8</formula>
    </cfRule>
  </conditionalFormatting>
  <conditionalFormatting sqref="O60">
    <cfRule type="cellIs" dxfId="542" priority="38" operator="greaterThan">
      <formula>0</formula>
    </cfRule>
  </conditionalFormatting>
  <conditionalFormatting sqref="P60">
    <cfRule type="cellIs" dxfId="541" priority="42" operator="lessThan">
      <formula>0</formula>
    </cfRule>
  </conditionalFormatting>
  <conditionalFormatting sqref="Q60">
    <cfRule type="cellIs" dxfId="540" priority="39" operator="greaterThan">
      <formula>1</formula>
    </cfRule>
    <cfRule type="cellIs" dxfId="539" priority="40" operator="lessThan">
      <formula>0.8</formula>
    </cfRule>
  </conditionalFormatting>
  <conditionalFormatting sqref="R60 AG60">
    <cfRule type="cellIs" dxfId="538" priority="43" operator="lessThan">
      <formula>0.8</formula>
    </cfRule>
  </conditionalFormatting>
  <conditionalFormatting sqref="AG60">
    <cfRule type="cellIs" dxfId="537" priority="41" operator="lessThan">
      <formula>0.8</formula>
    </cfRule>
  </conditionalFormatting>
  <conditionalFormatting sqref="O61">
    <cfRule type="cellIs" dxfId="536" priority="32" operator="greaterThan">
      <formula>0</formula>
    </cfRule>
  </conditionalFormatting>
  <conditionalFormatting sqref="P61">
    <cfRule type="cellIs" dxfId="535" priority="36" operator="lessThan">
      <formula>0</formula>
    </cfRule>
  </conditionalFormatting>
  <conditionalFormatting sqref="Q61">
    <cfRule type="cellIs" dxfId="534" priority="33" operator="greaterThan">
      <formula>1</formula>
    </cfRule>
    <cfRule type="cellIs" dxfId="533" priority="34" operator="lessThan">
      <formula>0.8</formula>
    </cfRule>
  </conditionalFormatting>
  <conditionalFormatting sqref="R61 AG61">
    <cfRule type="cellIs" dxfId="532" priority="37" operator="lessThan">
      <formula>0.8</formula>
    </cfRule>
  </conditionalFormatting>
  <conditionalFormatting sqref="AG61">
    <cfRule type="cellIs" dxfId="531" priority="35" operator="lessThan">
      <formula>0.8</formula>
    </cfRule>
  </conditionalFormatting>
  <conditionalFormatting sqref="O62">
    <cfRule type="cellIs" dxfId="530" priority="26" operator="greaterThan">
      <formula>0</formula>
    </cfRule>
  </conditionalFormatting>
  <conditionalFormatting sqref="P62">
    <cfRule type="cellIs" dxfId="529" priority="30" operator="lessThan">
      <formula>0</formula>
    </cfRule>
  </conditionalFormatting>
  <conditionalFormatting sqref="Q62">
    <cfRule type="cellIs" dxfId="528" priority="27" operator="greaterThan">
      <formula>1</formula>
    </cfRule>
    <cfRule type="cellIs" dxfId="527" priority="28" operator="lessThan">
      <formula>0.8</formula>
    </cfRule>
  </conditionalFormatting>
  <conditionalFormatting sqref="R62 AG62">
    <cfRule type="cellIs" dxfId="526" priority="31" operator="lessThan">
      <formula>0.8</formula>
    </cfRule>
  </conditionalFormatting>
  <conditionalFormatting sqref="AG62">
    <cfRule type="cellIs" dxfId="525" priority="29" operator="lessThan">
      <formula>0.8</formula>
    </cfRule>
  </conditionalFormatting>
  <conditionalFormatting sqref="O74">
    <cfRule type="cellIs" dxfId="524" priority="21" operator="greaterThan">
      <formula>0</formula>
    </cfRule>
  </conditionalFormatting>
  <conditionalFormatting sqref="P74 AE74">
    <cfRule type="cellIs" dxfId="523" priority="24" operator="lessThan">
      <formula>0</formula>
    </cfRule>
  </conditionalFormatting>
  <conditionalFormatting sqref="Q74 AF74">
    <cfRule type="cellIs" dxfId="522" priority="22" operator="greaterThan">
      <formula>1</formula>
    </cfRule>
    <cfRule type="cellIs" dxfId="521" priority="23" operator="lessThan">
      <formula>0.8</formula>
    </cfRule>
  </conditionalFormatting>
  <conditionalFormatting sqref="R74 AG74">
    <cfRule type="cellIs" dxfId="520" priority="25" operator="lessThan">
      <formula>0.8</formula>
    </cfRule>
  </conditionalFormatting>
  <conditionalFormatting sqref="O21">
    <cfRule type="cellIs" dxfId="519" priority="16" operator="greaterThan">
      <formula>0</formula>
    </cfRule>
  </conditionalFormatting>
  <conditionalFormatting sqref="P21">
    <cfRule type="cellIs" dxfId="518" priority="19" operator="lessThan">
      <formula>0</formula>
    </cfRule>
  </conditionalFormatting>
  <conditionalFormatting sqref="Q21">
    <cfRule type="cellIs" dxfId="517" priority="17" operator="greaterThan">
      <formula>1</formula>
    </cfRule>
    <cfRule type="cellIs" dxfId="516" priority="18" operator="lessThan">
      <formula>0.8</formula>
    </cfRule>
  </conditionalFormatting>
  <conditionalFormatting sqref="AG21 R21">
    <cfRule type="cellIs" dxfId="515" priority="20" operator="lessThan">
      <formula>0.8</formula>
    </cfRule>
  </conditionalFormatting>
  <conditionalFormatting sqref="O22:O23">
    <cfRule type="cellIs" dxfId="514" priority="11" operator="greaterThan">
      <formula>0</formula>
    </cfRule>
  </conditionalFormatting>
  <conditionalFormatting sqref="P22:P23">
    <cfRule type="cellIs" dxfId="513" priority="14" operator="lessThan">
      <formula>0</formula>
    </cfRule>
  </conditionalFormatting>
  <conditionalFormatting sqref="Q22:Q23">
    <cfRule type="cellIs" dxfId="512" priority="12" operator="greaterThan">
      <formula>1</formula>
    </cfRule>
    <cfRule type="cellIs" dxfId="511" priority="13" operator="lessThan">
      <formula>0.8</formula>
    </cfRule>
  </conditionalFormatting>
  <conditionalFormatting sqref="AG22 R22">
    <cfRule type="cellIs" dxfId="510" priority="15" operator="lessThan">
      <formula>0.8</formula>
    </cfRule>
  </conditionalFormatting>
  <conditionalFormatting sqref="P11">
    <cfRule type="cellIs" dxfId="509" priority="10" operator="lessThan">
      <formula>0</formula>
    </cfRule>
  </conditionalFormatting>
  <conditionalFormatting sqref="P24">
    <cfRule type="cellIs" dxfId="508" priority="9" operator="lessThan">
      <formula>0</formula>
    </cfRule>
  </conditionalFormatting>
  <conditionalFormatting sqref="P36">
    <cfRule type="cellIs" dxfId="507" priority="8" operator="lessThan">
      <formula>0</formula>
    </cfRule>
  </conditionalFormatting>
  <conditionalFormatting sqref="P43">
    <cfRule type="cellIs" dxfId="506" priority="7" operator="lessThan">
      <formula>0</formula>
    </cfRule>
  </conditionalFormatting>
  <conditionalFormatting sqref="P63">
    <cfRule type="cellIs" dxfId="505" priority="6" operator="lessThan">
      <formula>0</formula>
    </cfRule>
  </conditionalFormatting>
  <conditionalFormatting sqref="P72">
    <cfRule type="cellIs" dxfId="504" priority="5" operator="lessThan">
      <formula>0</formula>
    </cfRule>
  </conditionalFormatting>
  <conditionalFormatting sqref="P77">
    <cfRule type="cellIs" dxfId="503" priority="4" operator="lessThan">
      <formula>0</formula>
    </cfRule>
  </conditionalFormatting>
  <conditionalFormatting sqref="P84">
    <cfRule type="cellIs" dxfId="502" priority="3" operator="lessThan">
      <formula>0</formula>
    </cfRule>
  </conditionalFormatting>
  <conditionalFormatting sqref="AG23 R23">
    <cfRule type="cellIs" dxfId="501" priority="2" operator="lessThan">
      <formula>0.8</formula>
    </cfRule>
  </conditionalFormatting>
  <conditionalFormatting sqref="AG34 R34">
    <cfRule type="cellIs" dxfId="500" priority="1" operator="lessThan">
      <formula>0.8</formula>
    </cfRule>
  </conditionalFormatting>
  <dataValidations count="1">
    <dataValidation type="list" allowBlank="1" showInputMessage="1" showErrorMessage="1" sqref="AA5:AB9 AB10:AB11 AA10:AA76 AB13:AB73 AA77:AB8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607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608</v>
      </c>
      <c r="C3" s="478" t="str">
        <f>TEXT('0106 4度C'!A2,"yyyy.mm.ddaaaa")</f>
        <v>2026.01.06星期二</v>
      </c>
      <c r="D3" s="479"/>
      <c r="E3" s="56" t="s">
        <v>609</v>
      </c>
      <c r="F3" s="480">
        <f>'0106 4度C'!D1</f>
        <v>182805</v>
      </c>
      <c r="G3" s="481"/>
      <c r="H3" s="56" t="s">
        <v>610</v>
      </c>
      <c r="I3" s="482">
        <f>'0106 4度C'!F1</f>
        <v>6344311.9300000006</v>
      </c>
      <c r="J3" s="483"/>
      <c r="K3" s="57"/>
      <c r="L3" s="58"/>
      <c r="M3" s="59"/>
      <c r="N3" s="59"/>
    </row>
    <row r="4" spans="2:17" ht="28.5" customHeight="1">
      <c r="B4" s="484" t="s">
        <v>611</v>
      </c>
      <c r="C4" s="470" t="s">
        <v>612</v>
      </c>
      <c r="D4" s="471"/>
      <c r="E4" s="487" t="s">
        <v>613</v>
      </c>
      <c r="F4" s="488"/>
      <c r="G4" s="487" t="s">
        <v>614</v>
      </c>
      <c r="H4" s="488"/>
      <c r="I4" s="487" t="s">
        <v>615</v>
      </c>
      <c r="J4" s="488"/>
      <c r="K4" s="468" t="s">
        <v>616</v>
      </c>
      <c r="L4" s="469"/>
      <c r="M4" s="469" t="s">
        <v>617</v>
      </c>
      <c r="N4" s="469"/>
    </row>
    <row r="5" spans="2:17" ht="28.5" customHeight="1">
      <c r="B5" s="485"/>
      <c r="C5" s="470" t="s">
        <v>618</v>
      </c>
      <c r="D5" s="471"/>
      <c r="E5" s="470" t="s">
        <v>619</v>
      </c>
      <c r="F5" s="471"/>
      <c r="G5" s="472" t="s">
        <v>620</v>
      </c>
      <c r="H5" s="473"/>
      <c r="I5" s="474" t="s">
        <v>621</v>
      </c>
      <c r="J5" s="475"/>
      <c r="K5" s="60" t="s">
        <v>622</v>
      </c>
      <c r="L5" s="61" t="s">
        <v>623</v>
      </c>
      <c r="M5" s="60" t="s">
        <v>622</v>
      </c>
      <c r="N5" s="61" t="s">
        <v>624</v>
      </c>
    </row>
    <row r="6" spans="2:17" ht="28.5" customHeight="1">
      <c r="B6" s="485"/>
      <c r="C6" s="470" t="s">
        <v>144</v>
      </c>
      <c r="D6" s="471"/>
      <c r="E6" s="462">
        <f>AVERAGE(D13:M13)</f>
        <v>144.75961115046059</v>
      </c>
      <c r="F6" s="463">
        <f>AVERAGE(D31:O31,D13:J13)</f>
        <v>147.04678478303958</v>
      </c>
      <c r="G6" s="464">
        <f>AVERAGE(D13:J13)</f>
        <v>147.04678478303958</v>
      </c>
      <c r="H6" s="465"/>
      <c r="I6" s="464">
        <f>AVERAGE(K13:M13)</f>
        <v>139.42287267444294</v>
      </c>
      <c r="J6" s="465"/>
      <c r="K6" s="466">
        <f>'0106 4度C'!Y2</f>
        <v>0</v>
      </c>
      <c r="L6" s="451">
        <f>'0106 4度C'!Z2</f>
        <v>0</v>
      </c>
      <c r="M6" s="467">
        <f>'0106 4度C'!AC2</f>
        <v>44</v>
      </c>
      <c r="N6" s="451">
        <f>'0106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138.45136642685867</v>
      </c>
      <c r="F7" s="455">
        <f>AVERAGE(D32:O32,D14:J14)</f>
        <v>140.55274212882659</v>
      </c>
      <c r="G7" s="456">
        <f>AVERAGE(D14:J14)</f>
        <v>140.55274212882659</v>
      </c>
      <c r="H7" s="457"/>
      <c r="I7" s="456">
        <f>AVERAGE(K14:M14)</f>
        <v>133.54815645560026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0.95569586043713972</v>
      </c>
      <c r="F8" s="459">
        <f>AVERAGE(D15:J15,D33:O33)</f>
        <v>0.95474292933311333</v>
      </c>
      <c r="G8" s="460">
        <f>AVERAGE(D15:J15)</f>
        <v>0.95474292933311333</v>
      </c>
      <c r="H8" s="461"/>
      <c r="I8" s="460">
        <f>AVERAGE(K15:M15)</f>
        <v>0.95791936634653474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625</v>
      </c>
      <c r="N9" s="59"/>
      <c r="O9" s="59"/>
      <c r="P9" s="59"/>
      <c r="Q9" s="59"/>
    </row>
    <row r="10" spans="2:17" ht="30" customHeight="1">
      <c r="B10" s="434" t="s">
        <v>626</v>
      </c>
      <c r="C10" s="435"/>
      <c r="D10" s="436" t="s">
        <v>627</v>
      </c>
      <c r="E10" s="437"/>
      <c r="F10" s="437"/>
      <c r="G10" s="437"/>
      <c r="H10" s="437"/>
      <c r="I10" s="437"/>
      <c r="J10" s="438"/>
      <c r="K10" s="439" t="s">
        <v>628</v>
      </c>
      <c r="L10" s="440"/>
      <c r="M10" s="441"/>
      <c r="P10" s="65"/>
      <c r="Q10" s="65"/>
    </row>
    <row r="11" spans="2:17" ht="17.25" customHeight="1">
      <c r="B11" s="442" t="s">
        <v>629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630</v>
      </c>
      <c r="C13" s="72" t="s">
        <v>631</v>
      </c>
      <c r="D13" s="73">
        <f>SUMIFS('0106 4度C'!$K:$K,'0106 4度C'!$A:$A,"新豐6線",'0106 4度C'!$B:$B,"平均")</f>
        <v>108.69565217391305</v>
      </c>
      <c r="E13" s="74">
        <f>SUMIFS('0106 4度C'!$K:$K,'0106 4度C'!$A:$A,"新豐2線",'0106 4度C'!$B:$B,"平均")</f>
        <v>83.333333333333329</v>
      </c>
      <c r="F13" s="75">
        <f>SUMIFS('0106 4度C'!$K:$K,'0106 4度C'!$A:$A,"新豐5線",'0106 4度C'!$B:$B,"平均")</f>
        <v>109.99999999999999</v>
      </c>
      <c r="G13" s="75">
        <f>SUMIFS('0106 4度C'!$K:$K,'0106 4度C'!$A:$A,"新豐7線",'0106 4度C'!$B:$B,"平均")</f>
        <v>114.75409836065573</v>
      </c>
      <c r="H13" s="75">
        <f>SUMIFS('0106 4度C'!$K:$K,'0106 4度C'!$A:$A,"新豐3線",'0106 4度C'!$B:$B,"平均")</f>
        <v>267.24137931034483</v>
      </c>
      <c r="I13" s="75">
        <f>SUMIFS('0106 4度C'!$K:$K,'0106 4度C'!$A:$A,"新豐1線",'0106 4度C'!$B:$B,"平均")</f>
        <v>106.66666666666667</v>
      </c>
      <c r="J13" s="76">
        <f>SUMIFS('0106 4度C'!$K:$K,'0106 4度C'!$A:$A,"新豐10線",'0106 4度C'!$B:$B,"平均")</f>
        <v>238.63636363636363</v>
      </c>
      <c r="K13" s="77">
        <f>SUMIFS('0106 4度C'!$K:$K,'0106 4度C'!$A:$A,"新豐8線",'0106 4度C'!$B:$B,"平均")</f>
        <v>132.11009174311926</v>
      </c>
      <c r="L13" s="78">
        <f>SUMIFS('0106 4度C'!$K:$K,'0106 4度C'!$A:$A,"新豐9線",'0106 4度C'!$B:$B,"平均")</f>
        <v>137.70491803278691</v>
      </c>
      <c r="M13" s="76">
        <f>SUMIFS('0106 4度C'!$K:$K,'0106 4度C'!$A:$A,"新豐4線",'0106 4度C'!$B:$B,"平均")</f>
        <v>148.45360824742266</v>
      </c>
    </row>
    <row r="14" spans="2:17" ht="39.6" customHeight="1">
      <c r="B14" s="447"/>
      <c r="C14" s="79" t="s">
        <v>632</v>
      </c>
      <c r="D14" s="80">
        <f>SUMIFS('0106 4度C'!$N:$N,'0106 4度C'!$A:$A,"新豐6線",'0106 4度C'!$B:$B,"平均")</f>
        <v>104.10120699528656</v>
      </c>
      <c r="E14" s="81">
        <f>SUMIFS('0106 4度C'!$N:$N,'0106 4度C'!$A:$A,"新豐2線",'0106 4度C'!$B:$B,"平均")</f>
        <v>79.429211469534039</v>
      </c>
      <c r="F14" s="81">
        <f>SUMIFS('0106 4度C'!$N:$N,'0106 4度C'!$A:$A,"新豐5線",'0106 4度C'!$B:$B,"平均")</f>
        <v>105.65264408781644</v>
      </c>
      <c r="G14" s="81">
        <f>SUMIFS('0106 4度C'!$N:$N,'0106 4度C'!$A:$A,"新豐7線",'0106 4度C'!$B:$B,"平均")</f>
        <v>111.11460198486868</v>
      </c>
      <c r="H14" s="81">
        <f>SUMIFS('0106 4度C'!$N:$N,'0106 4度C'!$A:$A,"新豐3線",'0106 4度C'!$B:$B,"平均")</f>
        <v>256.22879476753104</v>
      </c>
      <c r="I14" s="81">
        <f>SUMIFS('0106 4度C'!$N:$N,'0106 4度C'!$A:$A,"新豐1線",'0106 4度C'!$B:$B,"平均")</f>
        <v>98.956500553217808</v>
      </c>
      <c r="J14" s="82">
        <f>SUMIFS('0106 4度C'!$N:$N,'0106 4度C'!$A:$A,"新豐10線",'0106 4度C'!$B:$B,"平均")</f>
        <v>228.38623504353168</v>
      </c>
      <c r="K14" s="83">
        <f>SUMIFS('0106 4度C'!$N:$N,'0106 4度C'!$A:$A,"新豐8線",'0106 4度C'!$B:$B,"平均")</f>
        <v>126.2252026307731</v>
      </c>
      <c r="L14" s="84">
        <f>SUMIFS('0106 4度C'!$N:$N,'0106 4度C'!$A:$A,"新豐9線",'0106 4度C'!$B:$B,"平均")</f>
        <v>132.72272947451827</v>
      </c>
      <c r="M14" s="82">
        <f>SUMIFS('0106 4度C'!$N:$N,'0106 4度C'!$A:$A,"新豐4線",'0106 4度C'!$B:$B,"平均")</f>
        <v>141.69653726150935</v>
      </c>
    </row>
    <row r="15" spans="2:17" ht="40.15" customHeight="1">
      <c r="B15" s="448"/>
      <c r="C15" s="85" t="s">
        <v>633</v>
      </c>
      <c r="D15" s="86">
        <f t="shared" ref="D15:M15" si="0">D14/D13</f>
        <v>0.95773110435663633</v>
      </c>
      <c r="E15" s="87">
        <f t="shared" si="0"/>
        <v>0.95315053763440849</v>
      </c>
      <c r="F15" s="87">
        <f t="shared" si="0"/>
        <v>0.9604785826165132</v>
      </c>
      <c r="G15" s="87">
        <f t="shared" si="0"/>
        <v>0.96828438872528433</v>
      </c>
      <c r="H15" s="87">
        <f t="shared" si="0"/>
        <v>0.95879161913011612</v>
      </c>
      <c r="I15" s="87">
        <f t="shared" si="0"/>
        <v>0.92771719268641695</v>
      </c>
      <c r="J15" s="88">
        <f t="shared" si="0"/>
        <v>0.95704708018241857</v>
      </c>
      <c r="K15" s="86">
        <f t="shared" si="0"/>
        <v>0.95545465880237979</v>
      </c>
      <c r="L15" s="87">
        <f t="shared" si="0"/>
        <v>0.96381982118400156</v>
      </c>
      <c r="M15" s="88">
        <f t="shared" si="0"/>
        <v>0.95448361905322276</v>
      </c>
    </row>
    <row r="16" spans="2:17" ht="17.25" customHeight="1">
      <c r="B16" s="449" t="s">
        <v>634</v>
      </c>
      <c r="C16" s="89" t="s">
        <v>635</v>
      </c>
      <c r="D16" s="90">
        <f>VLOOKUP("新豐6線",'0106 4度C'!$A:$T,19,0)</f>
        <v>0.70833333333333337</v>
      </c>
      <c r="E16" s="91">
        <f>VLOOKUP("新豐2線",'0106 4度C'!$A:$T,19,0)</f>
        <v>0.16666666666666666</v>
      </c>
      <c r="F16" s="91">
        <f>VLOOKUP("新豐5線",'0106 4度C'!$A:$T,19,0)</f>
        <v>0.20833333333333334</v>
      </c>
      <c r="G16" s="91">
        <f>VLOOKUP("新豐7線",'0106 4度C'!$A:$T,19,0)</f>
        <v>0.20833333333333334</v>
      </c>
      <c r="H16" s="91">
        <f>VLOOKUP("新豐3線",'0106 4度C'!$A:$T,19,0)</f>
        <v>8.3333333333333329E-2</v>
      </c>
      <c r="I16" s="91">
        <f>VLOOKUP("新豐1線",'0106 4度C'!$A:$T,19,0)</f>
        <v>0.20833333333333334</v>
      </c>
      <c r="J16" s="92">
        <f>VLOOKUP("新豐10線",'0106 4度C'!$A:$T,19,0)</f>
        <v>0.20833333333333334</v>
      </c>
      <c r="K16" s="93">
        <f>VLOOKUP("新豐8線",'0106 4度C'!$A:$T,19,0)</f>
        <v>8.3333333333333329E-2</v>
      </c>
      <c r="L16" s="94">
        <f>VLOOKUP("新豐9線",'0106 4度C'!$A:$T,19,0)</f>
        <v>8.3333333333333329E-2</v>
      </c>
      <c r="M16" s="95">
        <f>VLOOKUP("新豐4線",'0106 4度C'!$A:$T,19,0)</f>
        <v>8.3333333333333329E-2</v>
      </c>
    </row>
    <row r="17" spans="2:13" ht="17.25" customHeight="1">
      <c r="B17" s="450"/>
      <c r="C17" s="89" t="s">
        <v>636</v>
      </c>
      <c r="D17" s="93">
        <f>LOOKUP(2,1/(('0106 4度C'!$A:$A="新豐6線")*('0106 4度C'!$T:$T&lt;&gt;"")),'0106 4度C'!$T:$T)</f>
        <v>0.97291666666666665</v>
      </c>
      <c r="E17" s="91">
        <f>LOOKUP(2,1/(('0106 4度C'!$A:$A="新豐2線")*('0106 4度C'!$T:$T&lt;&gt;"")),'0106 4度C'!$T:$T)</f>
        <v>0.3979166666666667</v>
      </c>
      <c r="F17" s="91">
        <f>LOOKUP(2,1/(('0106 4度C'!$A:$A="新豐5線")*('0106 4度C'!$T:$T&lt;&gt;"")),'0106 4度C'!$T:$T)</f>
        <v>0.96875</v>
      </c>
      <c r="G17" s="91">
        <f>LOOKUP(2,1/(('0106 4度C'!$A:$A="新豐7線")*('0106 4度C'!$T:$T&lt;&gt;"")),'0106 4度C'!$T:$T)</f>
        <v>0.9805555555555554</v>
      </c>
      <c r="H17" s="91">
        <f>LOOKUP(2,1/(('0106 4度C'!$A:$A="新豐3線")*('0106 4度C'!$T:$T&lt;&gt;"")),'0106 4度C'!$T:$T)</f>
        <v>0.63263888888888864</v>
      </c>
      <c r="I17" s="91">
        <f>LOOKUP(2,1/(('0106 4度C'!$A:$A="新豐1線")*('0106 4度C'!$T:$T&lt;&gt;"")),'0106 4度C'!$T:$T)</f>
        <v>0.93749999999999989</v>
      </c>
      <c r="J17" s="92">
        <f>LOOKUP(2,1/(('0106 4度C'!$A:$A="新豐10線")*('0106 4度C'!$T:$T&lt;&gt;"")),'0106 4度C'!$T:$T)</f>
        <v>0.65763888888888866</v>
      </c>
      <c r="K17" s="90">
        <f>LOOKUP(2,1/(('0106 4度C'!$A:$A="新豐8線")*('0106 4度C'!$T:$T&lt;&gt;"")),'0106 4度C'!$T:$T)</f>
        <v>0.62777777777777766</v>
      </c>
      <c r="L17" s="91">
        <f>LOOKUP(2,1/(('0106 4度C'!$A:$A="新豐9線")*('0106 4度C'!$T:$T&lt;&gt;"")),'0106 4度C'!$T:$T)</f>
        <v>0.5083333333333333</v>
      </c>
      <c r="M17" s="92">
        <f>LOOKUP(2,1/(('0106 4度C'!$A:$A="新豐4線")*('0106 4度C'!$T:$T&lt;&gt;"")),'0106 4度C'!$T:$T)</f>
        <v>0.63124999999999987</v>
      </c>
    </row>
    <row r="18" spans="2:13" ht="17.25" customHeight="1">
      <c r="B18" s="428" t="s">
        <v>637</v>
      </c>
      <c r="C18" s="96" t="s">
        <v>638</v>
      </c>
      <c r="D18" s="97">
        <f>SUMIFS('0106 4度C'!$Y:$Y,'0106 4度C'!$A:$A,"新豐6線",'0106 4度C'!$B:$B,"平均")</f>
        <v>0</v>
      </c>
      <c r="E18" s="98">
        <f>SUMIFS('0106 4度C'!$Y:$Y,'0106 4度C'!$A:$A,"新豐2線",'0106 4度C'!$B:$B,"平均")</f>
        <v>0</v>
      </c>
      <c r="F18" s="98">
        <f>SUMIFS('0106 4度C'!$Y:$Y,'0106 4度C'!$A:$A,"新豐5線",'0106 4度C'!$B:$B,"平均")</f>
        <v>0</v>
      </c>
      <c r="G18" s="98">
        <f>SUMIFS('0106 4度C'!$Y:$Y,'0106 4度C'!$A:$A,"新豐7線",'0106 4度C'!$B:$B,"平均")</f>
        <v>0</v>
      </c>
      <c r="H18" s="98">
        <f>SUMIFS('0106 4度C'!$Y:$Y,'0106 4度C'!$A:$A,"新豐3線",'0106 4度C'!$B:$B,"平均")</f>
        <v>0</v>
      </c>
      <c r="I18" s="98">
        <f>SUMIFS('0106 4度C'!$Y:$Y,'0106 4度C'!$A:$A,"新豐1線",'0106 4度C'!$B:$B,"平均")</f>
        <v>0</v>
      </c>
      <c r="J18" s="99">
        <f>SUMIFS('0106 4度C'!$Y:$Y,'0106 4度C'!$A:$A,"新豐10線",'0106 4度C'!$B:$B,"平均")</f>
        <v>0</v>
      </c>
      <c r="K18" s="100">
        <f>SUMIFS('0106 4度C'!$Y:$Y,'0106 4度C'!$A:$A,"新豐8線",'0106 4度C'!$B:$B,"平均")</f>
        <v>0</v>
      </c>
      <c r="L18" s="98">
        <f>SUMIFS('0106 4度C'!$Y:$Y,'0106 4度C'!$A:$A,"新豐9線",'0106 4度C'!$B:$B,"平均")</f>
        <v>0</v>
      </c>
      <c r="M18" s="99">
        <f>SUMIFS('0106 4度C'!$Y:$Y,'0106 4度C'!$A:$A,"新豐4線",'0106 4度C'!$B:$B,"平均")</f>
        <v>0</v>
      </c>
    </row>
    <row r="19" spans="2:13" ht="17.25" customHeight="1">
      <c r="B19" s="429"/>
      <c r="C19" s="96" t="s">
        <v>639</v>
      </c>
      <c r="D19" s="97">
        <f>SUMIFS('0106 4度C'!$Z:$Z,'0106 4度C'!$A:$A,"新豐6線",'0106 4度C'!$B:$B,"平均")</f>
        <v>0</v>
      </c>
      <c r="E19" s="98">
        <f>SUMIFS('0106 4度C'!$Z:$Z,'0106 4度C'!$A:$A,"新豐2線",'0106 4度C'!$B:$B,"平均")</f>
        <v>0</v>
      </c>
      <c r="F19" s="98">
        <f>SUMIFS('0106 4度C'!$Z:$Z,'0106 4度C'!$A:$A,"新豐5線",'0106 4度C'!$B:$B,"平均")</f>
        <v>0</v>
      </c>
      <c r="G19" s="98">
        <f>SUMIFS('0106 4度C'!$Z:$Z,'0106 4度C'!$A:$A,"新豐7線",'0106 4度C'!$B:$B,"平均")</f>
        <v>0</v>
      </c>
      <c r="H19" s="98">
        <f>SUMIFS('0106 4度C'!$Z:$Z,'0106 4度C'!$A:$A,"新豐3線",'0106 4度C'!$B:$B,"平均")</f>
        <v>0</v>
      </c>
      <c r="I19" s="98">
        <f>SUMIFS('0106 4度C'!$Z:$Z,'0106 4度C'!$A:$A,"新豐1線",'0106 4度C'!$B:$B,"平均")</f>
        <v>0</v>
      </c>
      <c r="J19" s="99">
        <f>SUMIFS('0106 4度C'!$Z:$Z,'0106 4度C'!$A:$A,"新豐10線",'0106 4度C'!$B:$B,"平均")</f>
        <v>0</v>
      </c>
      <c r="K19" s="100">
        <f>SUMIFS('0106 4度C'!$Z:$Z,'0106 4度C'!$A:$A,"新豐8線",'0106 4度C'!$B:$B,"平均")</f>
        <v>0</v>
      </c>
      <c r="L19" s="98">
        <f>SUMIFS('0106 4度C'!$Z:$Z,'0106 4度C'!$A:$A,"新豐9線",'0106 4度C'!$B:$B,"平均")</f>
        <v>0</v>
      </c>
      <c r="M19" s="99">
        <f>SUMIFS('0106 4度C'!$Z:$Z,'0106 4度C'!$A:$A,"新豐4線",'0106 4度C'!$B:$B,"平均")</f>
        <v>0</v>
      </c>
    </row>
    <row r="20" spans="2:13" ht="17.25" customHeight="1">
      <c r="B20" s="428" t="s">
        <v>640</v>
      </c>
      <c r="C20" s="96" t="s">
        <v>641</v>
      </c>
      <c r="D20" s="97">
        <f>SUMIFS('0106 4度C'!$AC:$AC,'0106 4度C'!$A:$A,"新豐6線",'0106 4度C'!$B:$B,"平均")</f>
        <v>3</v>
      </c>
      <c r="E20" s="98">
        <f>SUMIFS('0106 4度C'!$AC:$AC,'0106 4度C'!$A:$A,"新豐2線",'0106 4度C'!$B:$B,"平均")</f>
        <v>2</v>
      </c>
      <c r="F20" s="98">
        <f>SUMIFS('0106 4度C'!$AC:$AC,'0106 4度C'!$A:$A,"新豐5線",'0106 4度C'!$B:$B,"平均")</f>
        <v>4</v>
      </c>
      <c r="G20" s="98">
        <f>SUMIFS('0106 4度C'!$AC:$AC,'0106 4度C'!$A:$A,"新豐7線",'0106 4度C'!$B:$B,"平均")</f>
        <v>5</v>
      </c>
      <c r="H20" s="98">
        <f>SUMIFS('0106 4度C'!$AC:$AC,'0106 4度C'!$A:$A,"新豐3線",'0106 4度C'!$B:$B,"平均")</f>
        <v>0</v>
      </c>
      <c r="I20" s="98">
        <f>SUMIFS('0106 4度C'!$AC:$AC,'0106 4度C'!$A:$A,"新豐1線",'0106 4度C'!$B:$B,"平均")</f>
        <v>5</v>
      </c>
      <c r="J20" s="99">
        <f>SUMIFS('0106 4度C'!$AC:$AC,'0106 4度C'!$A:$A,"新豐10線",'0106 4度C'!$B:$B,"平均")</f>
        <v>2</v>
      </c>
      <c r="K20" s="100">
        <f>SUMIFS('0106 4度C'!$AC:$AC,'0106 4度C'!$A:$A,"新豐8線",'0106 4度C'!$B:$B,"平均")</f>
        <v>8</v>
      </c>
      <c r="L20" s="98">
        <f>SUMIFS('0106 4度C'!$AC:$AC,'0106 4度C'!$A:$A,"新豐9線",'0106 4度C'!$B:$B,"平均")</f>
        <v>7</v>
      </c>
      <c r="M20" s="99">
        <f>SUMIFS('0106 4度C'!$AC:$AC,'0106 4度C'!$A:$A,"新豐4線",'0106 4度C'!$B:$B,"平均")</f>
        <v>8</v>
      </c>
    </row>
    <row r="21" spans="2:13" ht="17.25" customHeight="1">
      <c r="B21" s="429"/>
      <c r="C21" s="96" t="s">
        <v>642</v>
      </c>
      <c r="D21" s="97">
        <f>SUMIFS('0106 4度C'!$AD:$AD,'0106 4度C'!$A:$A,"新豐6線",'0106 4度C'!$B:$B,"平均")</f>
        <v>0</v>
      </c>
      <c r="E21" s="98">
        <f>SUMIFS('0106 4度C'!$AD:$AD,'0106 4度C'!$A:$A,"新豐2線",'0106 4度C'!$B:$B,"平均")</f>
        <v>0</v>
      </c>
      <c r="F21" s="98">
        <f>SUMIFS('0106 4度C'!$AD:$AD,'0106 4度C'!$A:$A,"新豐5線",'0106 4度C'!$B:$B,"平均")</f>
        <v>0</v>
      </c>
      <c r="G21" s="98">
        <f>SUMIFS('0106 4度C'!$AD:$AD,'0106 4度C'!$A:$A,"新豐7線",'0106 4度C'!$B:$B,"平均")</f>
        <v>0</v>
      </c>
      <c r="H21" s="98">
        <f>SUMIFS('0106 4度C'!$AD:$AD,'0106 4度C'!$A:$A,"新豐3線",'0106 4度C'!$B:$B,"平均")</f>
        <v>0</v>
      </c>
      <c r="I21" s="98">
        <f>SUMIFS('0106 4度C'!$AD:$AD,'0106 4度C'!$A:$A,"新豐1線",'0106 4度C'!$B:$B,"平均")</f>
        <v>0</v>
      </c>
      <c r="J21" s="99">
        <f>SUMIFS('0106 4度C'!$AD:$AD,'0106 4度C'!$A:$A,"新豐10線",'0106 4度C'!$B:$B,"平均")</f>
        <v>0</v>
      </c>
      <c r="K21" s="100">
        <f>SUMIFS('0106 4度C'!$AD:$AD,'0106 4度C'!$A:$A,"新豐8線",'0106 4度C'!$B:$B,"平均")</f>
        <v>0</v>
      </c>
      <c r="L21" s="98">
        <f>SUMIFS('0106 4度C'!$AD:$AD,'0106 4度C'!$A:$A,"新豐9線",'0106 4度C'!$B:$B,"平均")</f>
        <v>0</v>
      </c>
      <c r="M21" s="99">
        <f>SUMIFS('0106 4度C'!$AD:$AD,'0106 4度C'!$A:$A,"新豐4線",'0106 4度C'!$B:$B,"平均")</f>
        <v>0</v>
      </c>
    </row>
    <row r="22" spans="2:13" ht="17.25" customHeight="1">
      <c r="B22" s="430" t="s">
        <v>643</v>
      </c>
      <c r="C22" s="431"/>
      <c r="D22" s="101">
        <f>SUMIFS('0106 4度C'!$I:$I,'0106 4度C'!$A:$A,"新豐6線",'0106 4度C'!$B:$B,"平均")</f>
        <v>18.399999999999999</v>
      </c>
      <c r="E22" s="102">
        <f>SUMIFS('0106 4度C'!$I:$I,'0106 4度C'!$A:$A,"新豐2線",'0106 4度C'!$B:$B,"平均")</f>
        <v>18</v>
      </c>
      <c r="F22" s="102">
        <f>SUMIFS('0106 4度C'!$I:$I,'0106 4度C'!$A:$A,"新豐5線",'0106 4度C'!$B:$B,"平均")</f>
        <v>16.666666666666668</v>
      </c>
      <c r="G22" s="102">
        <f>SUMIFS('0106 4度C'!$I:$I,'0106 4度C'!$A:$A,"新豐7線",'0106 4度C'!$B:$B,"平均")</f>
        <v>16.636363636363637</v>
      </c>
      <c r="H22" s="102">
        <f>SUMIFS('0106 4度C'!$I:$I,'0106 4度C'!$A:$A,"新豐3線",'0106 4度C'!$B:$B,"平均")</f>
        <v>10.545454545454545</v>
      </c>
      <c r="I22" s="102">
        <f>SUMIFS('0106 4度C'!$I:$I,'0106 4度C'!$A:$A,"新豐1線",'0106 4度C'!$B:$B,"平均")</f>
        <v>18.75</v>
      </c>
      <c r="J22" s="103">
        <f>SUMIFS('0106 4度C'!$I:$I,'0106 4度C'!$A:$A,"新豐10線",'0106 4度C'!$B:$B,"平均")</f>
        <v>8.8000000000000007</v>
      </c>
      <c r="K22" s="101">
        <f>SUMIFS('0106 4度C'!$I:$I,'0106 4度C'!$A:$A,"新豐8線",'0106 4度C'!$B:$B,"平均")</f>
        <v>18.166666666666668</v>
      </c>
      <c r="L22" s="102">
        <f>SUMIFS('0106 4度C'!$I:$I,'0106 4度C'!$A:$A,"新豐9線",'0106 4度C'!$B:$B,"平均")</f>
        <v>17.428571428571427</v>
      </c>
      <c r="M22" s="103">
        <f>SUMIFS('0106 4度C'!$I:$I,'0106 4度C'!$A:$A,"新豐4線",'0106 4度C'!$B:$B,"平均")</f>
        <v>16.166666666666668</v>
      </c>
    </row>
    <row r="23" spans="2:13" ht="17.25" customHeight="1">
      <c r="B23" s="430" t="s">
        <v>644</v>
      </c>
      <c r="C23" s="431"/>
      <c r="D23" s="104" t="s">
        <v>157</v>
      </c>
      <c r="E23" s="105" t="s">
        <v>158</v>
      </c>
      <c r="F23" s="105" t="s">
        <v>645</v>
      </c>
      <c r="G23" s="105" t="s">
        <v>645</v>
      </c>
      <c r="H23" s="105" t="s">
        <v>159</v>
      </c>
      <c r="I23" s="105" t="s">
        <v>157</v>
      </c>
      <c r="J23" s="106" t="s">
        <v>159</v>
      </c>
      <c r="K23" s="104" t="s">
        <v>548</v>
      </c>
      <c r="L23" s="105" t="s">
        <v>646</v>
      </c>
      <c r="M23" s="106" t="s">
        <v>647</v>
      </c>
    </row>
    <row r="24" spans="2:13" ht="17.25" customHeight="1">
      <c r="B24" s="430" t="s">
        <v>648</v>
      </c>
      <c r="C24" s="431"/>
      <c r="D24" s="104"/>
      <c r="E24" s="105"/>
      <c r="F24" s="105" t="s">
        <v>649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650</v>
      </c>
      <c r="C25" s="433"/>
      <c r="D25" s="107"/>
      <c r="E25" s="108" t="s">
        <v>651</v>
      </c>
      <c r="F25" s="426" t="s">
        <v>652</v>
      </c>
      <c r="G25" s="427"/>
      <c r="H25" s="108" t="s">
        <v>653</v>
      </c>
      <c r="I25" s="108" t="s">
        <v>654</v>
      </c>
      <c r="J25" s="109" t="s">
        <v>655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5"/>
  <sheetViews>
    <sheetView zoomScale="80" zoomScaleNormal="80" workbookViewId="0">
      <pane ySplit="4" topLeftCell="A25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38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656</v>
      </c>
      <c r="B1" s="1"/>
      <c r="C1" s="2" t="s">
        <v>657</v>
      </c>
      <c r="D1" s="3">
        <f>SUM(F5:F84)</f>
        <v>182805</v>
      </c>
      <c r="E1" s="159" t="s">
        <v>658</v>
      </c>
      <c r="F1" s="1">
        <f>SUM(G5:G84)</f>
        <v>6344311.9300000006</v>
      </c>
      <c r="G1" s="1" t="s">
        <v>659</v>
      </c>
      <c r="H1" s="5">
        <f>L10+L13+L62+L71+L23+L77+L42+L50+L35+L84</f>
        <v>159.56038961038959</v>
      </c>
      <c r="I1" s="542" t="s">
        <v>660</v>
      </c>
      <c r="J1" s="542"/>
      <c r="K1" s="542"/>
      <c r="L1" s="542" t="s">
        <v>661</v>
      </c>
      <c r="M1" s="542"/>
      <c r="N1" s="542"/>
      <c r="O1" s="542" t="s">
        <v>662</v>
      </c>
      <c r="P1" s="542"/>
      <c r="Q1" s="542"/>
      <c r="R1" s="542"/>
      <c r="S1" s="542" t="s">
        <v>663</v>
      </c>
      <c r="T1" s="542"/>
      <c r="U1" s="542"/>
      <c r="V1" s="542"/>
      <c r="W1" s="542"/>
      <c r="X1" s="542"/>
      <c r="Y1" s="6" t="s">
        <v>664</v>
      </c>
      <c r="Z1" s="7" t="s">
        <v>665</v>
      </c>
      <c r="AA1" s="543" t="s">
        <v>666</v>
      </c>
      <c r="AB1" s="543"/>
      <c r="AC1" s="156" t="s">
        <v>664</v>
      </c>
      <c r="AD1" s="7" t="s">
        <v>667</v>
      </c>
      <c r="AE1" s="542" t="s">
        <v>668</v>
      </c>
      <c r="AF1" s="544"/>
      <c r="AG1" s="544"/>
    </row>
    <row r="2" spans="1:33" ht="26.25" customHeight="1">
      <c r="A2" s="49">
        <v>46028</v>
      </c>
      <c r="B2" s="50" t="s">
        <v>517</v>
      </c>
      <c r="C2" s="2" t="s">
        <v>630</v>
      </c>
      <c r="D2" s="10">
        <f>AVERAGE(N10,N13,N62,N71,N23,N77,N35,N42,N50,N84)</f>
        <v>138.45136642685867</v>
      </c>
      <c r="E2" s="11" t="s">
        <v>14</v>
      </c>
      <c r="F2" s="12">
        <f>F1/D1</f>
        <v>34.705352315308666</v>
      </c>
      <c r="G2" s="1" t="s">
        <v>15</v>
      </c>
      <c r="H2" s="171">
        <f>COUNT(H5:H84)</f>
        <v>11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SUM(Y10+Y13+Y23+Y35+Y42+Y50+Y62+Y71+Y77+Y84)</f>
        <v>0</v>
      </c>
      <c r="Z2" s="14">
        <f>SUM(Z10+Z13+Z23+Z35+Z42+Z50+Z62+Z71+Z77+Z84)</f>
        <v>0</v>
      </c>
      <c r="AA2" s="543"/>
      <c r="AB2" s="543"/>
      <c r="AC2" s="157">
        <v>44</v>
      </c>
      <c r="AD2" s="14">
        <f>SUM(AD10+AD13+AD23+AD35+AD42+AD50+AD62+AD71+AD77+AD84)</f>
        <v>0</v>
      </c>
      <c r="AE2" s="544"/>
      <c r="AF2" s="544"/>
      <c r="AG2" s="544"/>
    </row>
    <row r="3" spans="1:33" ht="40.5" customHeight="1">
      <c r="A3" s="491" t="s">
        <v>669</v>
      </c>
      <c r="B3" s="491" t="s">
        <v>670</v>
      </c>
      <c r="C3" s="491" t="s">
        <v>671</v>
      </c>
      <c r="D3" s="491"/>
      <c r="E3" s="540" t="s">
        <v>672</v>
      </c>
      <c r="F3" s="491" t="s">
        <v>673</v>
      </c>
      <c r="G3" s="540" t="s">
        <v>674</v>
      </c>
      <c r="H3" s="533" t="s">
        <v>675</v>
      </c>
      <c r="I3" s="531" t="s">
        <v>676</v>
      </c>
      <c r="J3" s="528" t="s">
        <v>677</v>
      </c>
      <c r="K3" s="538" t="s">
        <v>630</v>
      </c>
      <c r="L3" s="531" t="s">
        <v>676</v>
      </c>
      <c r="M3" s="528" t="s">
        <v>677</v>
      </c>
      <c r="N3" s="538" t="s">
        <v>630</v>
      </c>
      <c r="O3" s="531" t="s">
        <v>278</v>
      </c>
      <c r="P3" s="538" t="s">
        <v>13</v>
      </c>
      <c r="Q3" s="529" t="s">
        <v>678</v>
      </c>
      <c r="R3" s="507" t="s">
        <v>679</v>
      </c>
      <c r="S3" s="539" t="s">
        <v>27</v>
      </c>
      <c r="T3" s="539"/>
      <c r="U3" s="533" t="s">
        <v>28</v>
      </c>
      <c r="V3" s="533" t="s">
        <v>680</v>
      </c>
      <c r="W3" s="491" t="s">
        <v>681</v>
      </c>
      <c r="X3" s="491"/>
      <c r="Y3" s="534" t="s">
        <v>579</v>
      </c>
      <c r="Z3" s="495"/>
      <c r="AA3" s="535" t="s">
        <v>682</v>
      </c>
      <c r="AB3" s="536"/>
      <c r="AC3" s="534" t="s">
        <v>287</v>
      </c>
      <c r="AD3" s="495"/>
      <c r="AE3" s="528" t="s">
        <v>683</v>
      </c>
      <c r="AF3" s="529" t="s">
        <v>678</v>
      </c>
      <c r="AG3" s="507" t="s">
        <v>684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70" t="s">
        <v>37</v>
      </c>
      <c r="T4" s="170" t="s">
        <v>38</v>
      </c>
      <c r="U4" s="533"/>
      <c r="V4" s="533"/>
      <c r="W4" s="159" t="s">
        <v>685</v>
      </c>
      <c r="X4" s="159" t="s">
        <v>686</v>
      </c>
      <c r="Y4" s="162" t="s">
        <v>687</v>
      </c>
      <c r="Z4" s="162" t="s">
        <v>688</v>
      </c>
      <c r="AA4" s="537"/>
      <c r="AB4" s="536"/>
      <c r="AC4" s="162" t="s">
        <v>689</v>
      </c>
      <c r="AD4" s="162" t="s">
        <v>690</v>
      </c>
      <c r="AE4" s="528"/>
      <c r="AF4" s="529"/>
      <c r="AG4" s="507"/>
    </row>
    <row r="5" spans="1:33">
      <c r="A5" s="530" t="s">
        <v>691</v>
      </c>
      <c r="B5" s="42" t="s">
        <v>103</v>
      </c>
      <c r="C5" s="532" t="s">
        <v>120</v>
      </c>
      <c r="D5" s="532"/>
      <c r="E5" s="42">
        <v>50.67</v>
      </c>
      <c r="F5" s="170">
        <v>1434</v>
      </c>
      <c r="G5" s="159">
        <f t="shared" ref="G5:G9" si="0">E5*F5</f>
        <v>72660.78</v>
      </c>
      <c r="H5" s="125" t="s">
        <v>79</v>
      </c>
      <c r="I5" s="168">
        <v>17</v>
      </c>
      <c r="J5" s="37">
        <v>2000</v>
      </c>
      <c r="K5" s="17">
        <f t="shared" ref="K5:K68" si="1">J5/I5</f>
        <v>117.64705882352941</v>
      </c>
      <c r="L5" s="168">
        <v>17</v>
      </c>
      <c r="M5" s="18">
        <f t="shared" ref="M5:M9" si="2">F5/V5*60</f>
        <v>1912</v>
      </c>
      <c r="N5" s="17">
        <f t="shared" ref="N5:N68" si="3">M5/L5</f>
        <v>112.47058823529412</v>
      </c>
      <c r="O5" s="19">
        <f t="shared" ref="O5:O68" si="4">L5-I5</f>
        <v>0</v>
      </c>
      <c r="P5" s="20">
        <f t="shared" ref="P5:P68" si="5">N5-K5</f>
        <v>-5.1764705882352899</v>
      </c>
      <c r="Q5" s="158">
        <f t="shared" ref="Q5:Q68" si="6">N5/K5</f>
        <v>0.95600000000000007</v>
      </c>
      <c r="R5" s="489">
        <f>Q10</f>
        <v>0.95773110435663633</v>
      </c>
      <c r="S5" s="40">
        <v>0.70833333333333337</v>
      </c>
      <c r="T5" s="40">
        <v>0.73958333333333337</v>
      </c>
      <c r="U5" s="159"/>
      <c r="V5" s="169">
        <f t="shared" ref="V5:V9" si="7">(T5-S5)*24*60</f>
        <v>45</v>
      </c>
      <c r="W5" s="23"/>
      <c r="X5" s="24"/>
      <c r="Y5" s="24"/>
      <c r="Z5" s="24"/>
      <c r="AA5" s="491"/>
      <c r="AB5" s="491"/>
      <c r="AC5" s="154">
        <v>3</v>
      </c>
      <c r="AD5" s="25"/>
      <c r="AE5" s="19">
        <f t="shared" ref="AE5:AE68" si="8">M5-J5</f>
        <v>-88</v>
      </c>
      <c r="AF5" s="158">
        <f t="shared" ref="AF5:AF68" si="9">M5/J5</f>
        <v>0.95599999999999996</v>
      </c>
      <c r="AG5" s="489">
        <f>AF10</f>
        <v>0.95773110435663622</v>
      </c>
    </row>
    <row r="6" spans="1:33">
      <c r="A6" s="531" t="s">
        <v>692</v>
      </c>
      <c r="B6" s="42" t="s">
        <v>103</v>
      </c>
      <c r="C6" s="532" t="s">
        <v>121</v>
      </c>
      <c r="D6" s="532"/>
      <c r="E6" s="42">
        <v>54.09</v>
      </c>
      <c r="F6" s="170">
        <v>1496</v>
      </c>
      <c r="G6" s="159">
        <f t="shared" si="0"/>
        <v>80918.64</v>
      </c>
      <c r="H6" s="125" t="s">
        <v>79</v>
      </c>
      <c r="I6" s="168">
        <v>19</v>
      </c>
      <c r="J6" s="37">
        <v>2000</v>
      </c>
      <c r="K6" s="17">
        <f t="shared" si="1"/>
        <v>105.26315789473684</v>
      </c>
      <c r="L6" s="168">
        <v>19</v>
      </c>
      <c r="M6" s="18">
        <f t="shared" si="2"/>
        <v>1909.7872340425536</v>
      </c>
      <c r="N6" s="17">
        <f t="shared" si="3"/>
        <v>100.51511758118703</v>
      </c>
      <c r="O6" s="19">
        <f t="shared" si="4"/>
        <v>0</v>
      </c>
      <c r="P6" s="20">
        <f t="shared" si="5"/>
        <v>-4.7480403135498079</v>
      </c>
      <c r="Q6" s="158">
        <f t="shared" si="6"/>
        <v>0.95489361702127684</v>
      </c>
      <c r="R6" s="489"/>
      <c r="S6" s="40">
        <v>0.74513888888888891</v>
      </c>
      <c r="T6" s="40">
        <v>0.77777777777777779</v>
      </c>
      <c r="U6" s="159">
        <f t="shared" ref="U6:U9" si="10">IF(S6=TIME(17,0,0),"",(S6-T5)*24*60)</f>
        <v>7.9999999999999716</v>
      </c>
      <c r="V6" s="169">
        <f t="shared" si="7"/>
        <v>46.999999999999993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-90.212765957446436</v>
      </c>
      <c r="AF6" s="158">
        <f t="shared" si="9"/>
        <v>0.95489361702127673</v>
      </c>
      <c r="AG6" s="489"/>
    </row>
    <row r="7" spans="1:33">
      <c r="A7" s="531" t="s">
        <v>692</v>
      </c>
      <c r="B7" s="42" t="s">
        <v>103</v>
      </c>
      <c r="C7" s="523" t="s">
        <v>515</v>
      </c>
      <c r="D7" s="524"/>
      <c r="E7" s="42">
        <v>48.36</v>
      </c>
      <c r="F7" s="170">
        <v>1600</v>
      </c>
      <c r="G7" s="159">
        <f t="shared" si="0"/>
        <v>77376</v>
      </c>
      <c r="H7" s="125">
        <v>2</v>
      </c>
      <c r="I7" s="168">
        <v>21</v>
      </c>
      <c r="J7" s="37">
        <v>2000</v>
      </c>
      <c r="K7" s="17">
        <f t="shared" si="1"/>
        <v>95.238095238095241</v>
      </c>
      <c r="L7" s="168">
        <v>21</v>
      </c>
      <c r="M7" s="18">
        <f t="shared" si="2"/>
        <v>1920.0000000000005</v>
      </c>
      <c r="N7" s="17">
        <f t="shared" si="3"/>
        <v>91.428571428571445</v>
      </c>
      <c r="O7" s="19">
        <f t="shared" si="4"/>
        <v>0</v>
      </c>
      <c r="P7" s="20">
        <f t="shared" si="5"/>
        <v>-3.809523809523796</v>
      </c>
      <c r="Q7" s="158">
        <f t="shared" si="6"/>
        <v>0.96000000000000019</v>
      </c>
      <c r="R7" s="489"/>
      <c r="S7" s="40">
        <v>0.78263888888888888</v>
      </c>
      <c r="T7" s="40">
        <v>0.81736111111111109</v>
      </c>
      <c r="U7" s="159">
        <f t="shared" si="10"/>
        <v>6.9999999999999751</v>
      </c>
      <c r="V7" s="169">
        <f t="shared" si="7"/>
        <v>49.999999999999986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-79.999999999999545</v>
      </c>
      <c r="AF7" s="158">
        <f t="shared" si="9"/>
        <v>0.96000000000000019</v>
      </c>
      <c r="AG7" s="489"/>
    </row>
    <row r="8" spans="1:33">
      <c r="A8" s="531" t="s">
        <v>693</v>
      </c>
      <c r="B8" s="42" t="s">
        <v>103</v>
      </c>
      <c r="C8" s="523" t="s">
        <v>122</v>
      </c>
      <c r="D8" s="524"/>
      <c r="E8" s="42">
        <v>50.29</v>
      </c>
      <c r="F8" s="170">
        <v>1126</v>
      </c>
      <c r="G8" s="159">
        <f t="shared" si="0"/>
        <v>56626.54</v>
      </c>
      <c r="H8" s="125" t="s">
        <v>79</v>
      </c>
      <c r="I8" s="168">
        <v>16</v>
      </c>
      <c r="J8" s="37">
        <v>2000</v>
      </c>
      <c r="K8" s="17">
        <f t="shared" si="1"/>
        <v>125</v>
      </c>
      <c r="L8" s="168">
        <v>16</v>
      </c>
      <c r="M8" s="18">
        <f t="shared" si="2"/>
        <v>1930.2857142857122</v>
      </c>
      <c r="N8" s="17">
        <f t="shared" si="3"/>
        <v>120.64285714285701</v>
      </c>
      <c r="O8" s="19">
        <f t="shared" si="4"/>
        <v>0</v>
      </c>
      <c r="P8" s="20">
        <f t="shared" si="5"/>
        <v>-4.3571428571429891</v>
      </c>
      <c r="Q8" s="158">
        <f t="shared" si="6"/>
        <v>0.96514285714285608</v>
      </c>
      <c r="R8" s="489"/>
      <c r="S8" s="40">
        <v>0.82222222222222219</v>
      </c>
      <c r="T8" s="40">
        <v>0.84652777777777777</v>
      </c>
      <c r="U8" s="159">
        <f t="shared" si="10"/>
        <v>6.9999999999999751</v>
      </c>
      <c r="V8" s="169">
        <f t="shared" si="7"/>
        <v>35.000000000000036</v>
      </c>
      <c r="W8" s="23">
        <f>T8</f>
        <v>0.84652777777777777</v>
      </c>
      <c r="X8" s="23">
        <f>S9</f>
        <v>0.88541666666666663</v>
      </c>
      <c r="Y8" s="29"/>
      <c r="Z8" s="29"/>
      <c r="AA8" s="503"/>
      <c r="AB8" s="504"/>
      <c r="AC8" s="155"/>
      <c r="AD8" s="27"/>
      <c r="AE8" s="19">
        <f t="shared" si="8"/>
        <v>-69.714285714287826</v>
      </c>
      <c r="AF8" s="158">
        <f t="shared" si="9"/>
        <v>0.96514285714285608</v>
      </c>
      <c r="AG8" s="489"/>
    </row>
    <row r="9" spans="1:33">
      <c r="A9" s="531" t="s">
        <v>692</v>
      </c>
      <c r="B9" s="42" t="s">
        <v>103</v>
      </c>
      <c r="C9" s="523" t="s">
        <v>515</v>
      </c>
      <c r="D9" s="524"/>
      <c r="E9" s="42">
        <v>48.36</v>
      </c>
      <c r="F9" s="170">
        <v>4001</v>
      </c>
      <c r="G9" s="159">
        <f t="shared" si="0"/>
        <v>193488.36</v>
      </c>
      <c r="H9" s="125" t="s">
        <v>79</v>
      </c>
      <c r="I9" s="168">
        <v>21</v>
      </c>
      <c r="J9" s="37">
        <v>2000</v>
      </c>
      <c r="K9" s="17">
        <f t="shared" si="1"/>
        <v>95.238095238095241</v>
      </c>
      <c r="L9" s="168">
        <v>21</v>
      </c>
      <c r="M9" s="18">
        <f t="shared" si="2"/>
        <v>1905.2380952380947</v>
      </c>
      <c r="N9" s="17">
        <f t="shared" si="3"/>
        <v>90.725623582766417</v>
      </c>
      <c r="O9" s="19">
        <f t="shared" si="4"/>
        <v>0</v>
      </c>
      <c r="P9" s="20">
        <f t="shared" si="5"/>
        <v>-4.5124716553288238</v>
      </c>
      <c r="Q9" s="158">
        <f t="shared" si="6"/>
        <v>0.95261904761904737</v>
      </c>
      <c r="R9" s="489"/>
      <c r="S9" s="40">
        <v>0.88541666666666663</v>
      </c>
      <c r="T9" s="40">
        <v>0.97291666666666665</v>
      </c>
      <c r="U9" s="159">
        <f t="shared" si="10"/>
        <v>55.999999999999957</v>
      </c>
      <c r="V9" s="169">
        <f t="shared" si="7"/>
        <v>126.00000000000003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-94.761904761905271</v>
      </c>
      <c r="AF9" s="158">
        <f t="shared" si="9"/>
        <v>0.95261904761904737</v>
      </c>
      <c r="AG9" s="489"/>
    </row>
    <row r="10" spans="1:33">
      <c r="A10" s="531" t="s">
        <v>692</v>
      </c>
      <c r="B10" s="42" t="s">
        <v>694</v>
      </c>
      <c r="C10" s="494"/>
      <c r="D10" s="494"/>
      <c r="E10" s="161"/>
      <c r="F10" s="44"/>
      <c r="G10" s="17"/>
      <c r="H10" s="170"/>
      <c r="I10" s="30">
        <v>18.399999999999999</v>
      </c>
      <c r="J10" s="37">
        <v>2000</v>
      </c>
      <c r="K10" s="17">
        <f t="shared" si="1"/>
        <v>108.69565217391305</v>
      </c>
      <c r="L10" s="30">
        <v>18.399999999999999</v>
      </c>
      <c r="M10" s="18">
        <f>AVERAGE(M5:M9)</f>
        <v>1915.4622087132725</v>
      </c>
      <c r="N10" s="17">
        <f t="shared" si="3"/>
        <v>104.10120699528656</v>
      </c>
      <c r="O10" s="19">
        <f t="shared" si="4"/>
        <v>0</v>
      </c>
      <c r="P10" s="20">
        <f t="shared" si="5"/>
        <v>-4.5944451786264864</v>
      </c>
      <c r="Q10" s="158">
        <f t="shared" si="6"/>
        <v>0.95773110435663633</v>
      </c>
      <c r="R10" s="489"/>
      <c r="S10" s="40"/>
      <c r="T10" s="40"/>
      <c r="U10" s="159"/>
      <c r="V10" s="169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3</v>
      </c>
      <c r="AD10" s="31">
        <f>SUM(AD5:AD9)</f>
        <v>0</v>
      </c>
      <c r="AE10" s="19">
        <f t="shared" si="8"/>
        <v>-84.537791286727497</v>
      </c>
      <c r="AF10" s="158">
        <f t="shared" si="9"/>
        <v>0.95773110435663622</v>
      </c>
      <c r="AG10" s="489"/>
    </row>
    <row r="11" spans="1:33" ht="15.75" customHeight="1">
      <c r="A11" s="527" t="s">
        <v>695</v>
      </c>
      <c r="B11" s="42" t="s">
        <v>100</v>
      </c>
      <c r="C11" s="523" t="s">
        <v>124</v>
      </c>
      <c r="D11" s="524"/>
      <c r="E11" s="42">
        <v>39.619999999999997</v>
      </c>
      <c r="F11" s="170">
        <v>2866</v>
      </c>
      <c r="G11" s="159">
        <f t="shared" ref="G11:G12" si="11">E11*F11</f>
        <v>113550.92</v>
      </c>
      <c r="H11" s="125" t="s">
        <v>79</v>
      </c>
      <c r="I11" s="168">
        <v>19</v>
      </c>
      <c r="J11" s="37">
        <v>1500</v>
      </c>
      <c r="K11" s="17">
        <f t="shared" si="1"/>
        <v>78.94736842105263</v>
      </c>
      <c r="L11" s="168">
        <v>19</v>
      </c>
      <c r="M11" s="18">
        <f t="shared" ref="M11:M12" si="12">F11/V11*60</f>
        <v>1433</v>
      </c>
      <c r="N11" s="17">
        <f t="shared" si="3"/>
        <v>75.421052631578945</v>
      </c>
      <c r="O11" s="19">
        <f t="shared" si="4"/>
        <v>0</v>
      </c>
      <c r="P11" s="20">
        <f t="shared" si="5"/>
        <v>-3.526315789473685</v>
      </c>
      <c r="Q11" s="158">
        <f t="shared" si="6"/>
        <v>0.95533333333333337</v>
      </c>
      <c r="R11" s="489">
        <f>Q13</f>
        <v>0.95315053763440849</v>
      </c>
      <c r="S11" s="40">
        <v>0.16666666666666666</v>
      </c>
      <c r="T11" s="40">
        <v>0.25</v>
      </c>
      <c r="U11" s="159"/>
      <c r="V11" s="169">
        <f t="shared" ref="V11:V12" si="13">(T11-S11)*24*60</f>
        <v>120</v>
      </c>
      <c r="W11" s="23">
        <f>T11</f>
        <v>0.25</v>
      </c>
      <c r="X11" s="23">
        <f>S12</f>
        <v>0.26874999999999999</v>
      </c>
      <c r="Y11" s="23"/>
      <c r="Z11" s="23"/>
      <c r="AA11" s="491"/>
      <c r="AB11" s="491"/>
      <c r="AC11" s="154">
        <v>2</v>
      </c>
      <c r="AD11" s="25"/>
      <c r="AE11" s="19">
        <f t="shared" si="8"/>
        <v>-67</v>
      </c>
      <c r="AF11" s="158">
        <f t="shared" si="9"/>
        <v>0.95533333333333337</v>
      </c>
      <c r="AG11" s="489">
        <f>AF13</f>
        <v>0.95315053763440849</v>
      </c>
    </row>
    <row r="12" spans="1:33" ht="15.75" customHeight="1">
      <c r="A12" s="527" t="s">
        <v>695</v>
      </c>
      <c r="B12" s="42" t="s">
        <v>100</v>
      </c>
      <c r="C12" s="523" t="s">
        <v>125</v>
      </c>
      <c r="D12" s="524"/>
      <c r="E12" s="42">
        <v>39.799999999999997</v>
      </c>
      <c r="F12" s="170">
        <v>4422</v>
      </c>
      <c r="G12" s="159">
        <f t="shared" si="11"/>
        <v>175995.59999999998</v>
      </c>
      <c r="H12" s="125" t="s">
        <v>79</v>
      </c>
      <c r="I12" s="168">
        <v>17</v>
      </c>
      <c r="J12" s="37">
        <v>1500</v>
      </c>
      <c r="K12" s="17">
        <f t="shared" si="1"/>
        <v>88.235294117647058</v>
      </c>
      <c r="L12" s="168">
        <v>17</v>
      </c>
      <c r="M12" s="18">
        <f t="shared" si="12"/>
        <v>1426.4516129032254</v>
      </c>
      <c r="N12" s="17">
        <f t="shared" si="3"/>
        <v>83.908918406072075</v>
      </c>
      <c r="O12" s="19">
        <f t="shared" si="4"/>
        <v>0</v>
      </c>
      <c r="P12" s="20">
        <f t="shared" si="5"/>
        <v>-4.3263757115749826</v>
      </c>
      <c r="Q12" s="158">
        <f t="shared" si="6"/>
        <v>0.9509677419354835</v>
      </c>
      <c r="R12" s="489"/>
      <c r="S12" s="40">
        <v>0.26874999999999999</v>
      </c>
      <c r="T12" s="40">
        <v>0.3979166666666667</v>
      </c>
      <c r="U12" s="159">
        <f t="shared" ref="U12" si="14">IF(S12=TIME(17,0,0),"",(S12-T11)*24*60)</f>
        <v>26.999999999999986</v>
      </c>
      <c r="V12" s="169">
        <f t="shared" si="13"/>
        <v>186.00000000000006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-73.548387096774604</v>
      </c>
      <c r="AF12" s="158">
        <f t="shared" si="9"/>
        <v>0.95096774193548361</v>
      </c>
      <c r="AG12" s="489"/>
    </row>
    <row r="13" spans="1:33" ht="16.5" customHeight="1">
      <c r="A13" s="527" t="s">
        <v>696</v>
      </c>
      <c r="B13" s="42" t="s">
        <v>697</v>
      </c>
      <c r="C13" s="494"/>
      <c r="D13" s="494"/>
      <c r="E13" s="161"/>
      <c r="F13" s="37"/>
      <c r="G13" s="18"/>
      <c r="H13" s="170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1429.7258064516127</v>
      </c>
      <c r="N13" s="17">
        <f t="shared" si="3"/>
        <v>79.429211469534039</v>
      </c>
      <c r="O13" s="19">
        <f t="shared" si="4"/>
        <v>0</v>
      </c>
      <c r="P13" s="20">
        <f t="shared" si="5"/>
        <v>-3.9041218637992898</v>
      </c>
      <c r="Q13" s="158">
        <f t="shared" si="6"/>
        <v>0.95315053763440849</v>
      </c>
      <c r="R13" s="489"/>
      <c r="S13" s="40"/>
      <c r="T13" s="40"/>
      <c r="U13" s="17"/>
      <c r="V13" s="169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-70.274193548387302</v>
      </c>
      <c r="AF13" s="158">
        <f t="shared" si="9"/>
        <v>0.95315053763440849</v>
      </c>
      <c r="AG13" s="489"/>
    </row>
    <row r="14" spans="1:33" ht="16.5" customHeight="1">
      <c r="A14" s="525" t="s">
        <v>698</v>
      </c>
      <c r="B14" s="170" t="s">
        <v>126</v>
      </c>
      <c r="C14" s="515" t="s">
        <v>127</v>
      </c>
      <c r="D14" s="515"/>
      <c r="E14" s="42">
        <v>41</v>
      </c>
      <c r="F14" s="170">
        <v>2505</v>
      </c>
      <c r="G14" s="159">
        <f t="shared" ref="G14:G22" si="15">E14*F14</f>
        <v>102705</v>
      </c>
      <c r="H14" s="125" t="s">
        <v>79</v>
      </c>
      <c r="I14" s="168">
        <v>26</v>
      </c>
      <c r="J14" s="37">
        <v>1500</v>
      </c>
      <c r="K14" s="17">
        <f t="shared" si="1"/>
        <v>57.692307692307693</v>
      </c>
      <c r="L14" s="168">
        <v>26</v>
      </c>
      <c r="M14" s="18">
        <f t="shared" ref="M14:M22" si="16">F14/V14*60</f>
        <v>1431.4285714285716</v>
      </c>
      <c r="N14" s="17">
        <f t="shared" si="3"/>
        <v>55.054945054945058</v>
      </c>
      <c r="O14" s="19">
        <f t="shared" si="4"/>
        <v>0</v>
      </c>
      <c r="P14" s="20">
        <f t="shared" si="5"/>
        <v>-2.6373626373626351</v>
      </c>
      <c r="Q14" s="158">
        <f t="shared" si="6"/>
        <v>0.95428571428571429</v>
      </c>
      <c r="R14" s="489">
        <f>Q23</f>
        <v>0.9604785826165132</v>
      </c>
      <c r="S14" s="40">
        <v>0.20833333333333334</v>
      </c>
      <c r="T14" s="40">
        <v>0.28125</v>
      </c>
      <c r="U14" s="159"/>
      <c r="V14" s="169">
        <f t="shared" ref="V14:V22" si="17">(T14-S14)*24*60</f>
        <v>104.99999999999999</v>
      </c>
      <c r="W14" s="28"/>
      <c r="X14" s="28"/>
      <c r="Y14" s="28"/>
      <c r="Z14" s="28"/>
      <c r="AA14" s="491"/>
      <c r="AB14" s="491"/>
      <c r="AC14" s="154">
        <v>4</v>
      </c>
      <c r="AD14" s="25"/>
      <c r="AE14" s="19">
        <f t="shared" si="8"/>
        <v>-68.571428571428442</v>
      </c>
      <c r="AF14" s="158">
        <f t="shared" si="9"/>
        <v>0.9542857142857144</v>
      </c>
      <c r="AG14" s="489">
        <f>AF23</f>
        <v>0.9604785826165132</v>
      </c>
    </row>
    <row r="15" spans="1:33" ht="16.5" customHeight="1">
      <c r="A15" s="526" t="s">
        <v>698</v>
      </c>
      <c r="B15" s="170" t="s">
        <v>128</v>
      </c>
      <c r="C15" s="515" t="s">
        <v>129</v>
      </c>
      <c r="D15" s="515"/>
      <c r="E15" s="42">
        <v>72.400000000000006</v>
      </c>
      <c r="F15" s="170">
        <v>943</v>
      </c>
      <c r="G15" s="159">
        <f t="shared" si="15"/>
        <v>68273.200000000012</v>
      </c>
      <c r="H15" s="125" t="s">
        <v>79</v>
      </c>
      <c r="I15" s="168">
        <v>18</v>
      </c>
      <c r="J15" s="37">
        <v>1500</v>
      </c>
      <c r="K15" s="17">
        <f t="shared" si="1"/>
        <v>83.333333333333329</v>
      </c>
      <c r="L15" s="168">
        <v>18</v>
      </c>
      <c r="M15" s="18">
        <f t="shared" si="16"/>
        <v>1450.7692307692298</v>
      </c>
      <c r="N15" s="17">
        <f t="shared" si="3"/>
        <v>80.598290598290546</v>
      </c>
      <c r="O15" s="19">
        <f t="shared" si="4"/>
        <v>0</v>
      </c>
      <c r="P15" s="20">
        <f t="shared" si="5"/>
        <v>-2.7350427350427822</v>
      </c>
      <c r="Q15" s="158">
        <f t="shared" si="6"/>
        <v>0.96717948717948665</v>
      </c>
      <c r="R15" s="489"/>
      <c r="S15" s="40">
        <v>0.28472222222222221</v>
      </c>
      <c r="T15" s="40">
        <v>0.31180555555555556</v>
      </c>
      <c r="U15" s="159">
        <f t="shared" ref="U15:U22" si="18">IF(S15=TIME(17,0,0),"",(S15-T14)*24*60)</f>
        <v>4.9999999999999822</v>
      </c>
      <c r="V15" s="169">
        <f t="shared" si="17"/>
        <v>39.000000000000021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-49.230769230770193</v>
      </c>
      <c r="AF15" s="158">
        <f t="shared" si="9"/>
        <v>0.96717948717948654</v>
      </c>
      <c r="AG15" s="489"/>
    </row>
    <row r="16" spans="1:33" ht="16.5" customHeight="1">
      <c r="A16" s="526" t="s">
        <v>699</v>
      </c>
      <c r="B16" s="170" t="s">
        <v>130</v>
      </c>
      <c r="C16" s="515" t="s">
        <v>131</v>
      </c>
      <c r="D16" s="515"/>
      <c r="E16" s="42">
        <v>50.67</v>
      </c>
      <c r="F16" s="170">
        <v>1437</v>
      </c>
      <c r="G16" s="159">
        <f t="shared" si="15"/>
        <v>72812.790000000008</v>
      </c>
      <c r="H16" s="125" t="s">
        <v>79</v>
      </c>
      <c r="I16" s="168">
        <v>16</v>
      </c>
      <c r="J16" s="37">
        <v>1500</v>
      </c>
      <c r="K16" s="17">
        <f t="shared" si="1"/>
        <v>93.75</v>
      </c>
      <c r="L16" s="168">
        <v>16</v>
      </c>
      <c r="M16" s="18">
        <f t="shared" si="16"/>
        <v>1436.9999999999993</v>
      </c>
      <c r="N16" s="17">
        <f t="shared" si="3"/>
        <v>89.812499999999957</v>
      </c>
      <c r="O16" s="19">
        <f t="shared" si="4"/>
        <v>0</v>
      </c>
      <c r="P16" s="20">
        <f t="shared" si="5"/>
        <v>-3.9375000000000426</v>
      </c>
      <c r="Q16" s="158">
        <f t="shared" si="6"/>
        <v>0.95799999999999952</v>
      </c>
      <c r="R16" s="489"/>
      <c r="S16" s="40">
        <v>0.31736111111111109</v>
      </c>
      <c r="T16" s="40">
        <v>0.35902777777777778</v>
      </c>
      <c r="U16" s="159">
        <f t="shared" si="18"/>
        <v>7.9999999999999716</v>
      </c>
      <c r="V16" s="169">
        <f t="shared" si="17"/>
        <v>60.000000000000028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-63.000000000000682</v>
      </c>
      <c r="AF16" s="158">
        <f t="shared" si="9"/>
        <v>0.95799999999999952</v>
      </c>
      <c r="AG16" s="489"/>
    </row>
    <row r="17" spans="1:33" ht="16.5" customHeight="1">
      <c r="A17" s="526" t="s">
        <v>698</v>
      </c>
      <c r="B17" s="170" t="s">
        <v>103</v>
      </c>
      <c r="C17" s="515" t="s">
        <v>123</v>
      </c>
      <c r="D17" s="515"/>
      <c r="E17" s="42">
        <v>50.98</v>
      </c>
      <c r="F17" s="170">
        <v>900</v>
      </c>
      <c r="G17" s="159">
        <f t="shared" si="15"/>
        <v>45882</v>
      </c>
      <c r="H17" s="125">
        <v>2</v>
      </c>
      <c r="I17" s="168">
        <v>16</v>
      </c>
      <c r="J17" s="37">
        <v>2000</v>
      </c>
      <c r="K17" s="17">
        <f t="shared" si="1"/>
        <v>125</v>
      </c>
      <c r="L17" s="168">
        <v>16</v>
      </c>
      <c r="M17" s="18">
        <f t="shared" si="16"/>
        <v>1928.5714285714246</v>
      </c>
      <c r="N17" s="17">
        <f t="shared" si="3"/>
        <v>120.53571428571404</v>
      </c>
      <c r="O17" s="19">
        <f t="shared" si="4"/>
        <v>0</v>
      </c>
      <c r="P17" s="20">
        <f t="shared" si="5"/>
        <v>-4.464285714285964</v>
      </c>
      <c r="Q17" s="158">
        <f t="shared" si="6"/>
        <v>0.9642857142857123</v>
      </c>
      <c r="R17" s="489"/>
      <c r="S17" s="40">
        <v>0.70833333333333337</v>
      </c>
      <c r="T17" s="40">
        <v>0.72777777777777786</v>
      </c>
      <c r="U17" s="159" t="str">
        <f t="shared" si="18"/>
        <v/>
      </c>
      <c r="V17" s="169">
        <f t="shared" si="17"/>
        <v>28.00000000000006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-71.428571428575424</v>
      </c>
      <c r="AF17" s="158">
        <f t="shared" si="9"/>
        <v>0.9642857142857123</v>
      </c>
      <c r="AG17" s="489"/>
    </row>
    <row r="18" spans="1:33" ht="16.5" customHeight="1">
      <c r="A18" s="526" t="s">
        <v>698</v>
      </c>
      <c r="B18" s="170" t="s">
        <v>103</v>
      </c>
      <c r="C18" s="515" t="s">
        <v>132</v>
      </c>
      <c r="D18" s="515"/>
      <c r="E18" s="42">
        <v>50.92</v>
      </c>
      <c r="F18" s="170">
        <v>900</v>
      </c>
      <c r="G18" s="159">
        <f t="shared" si="15"/>
        <v>45828</v>
      </c>
      <c r="H18" s="125">
        <v>2</v>
      </c>
      <c r="I18" s="168">
        <v>15</v>
      </c>
      <c r="J18" s="37">
        <v>2000</v>
      </c>
      <c r="K18" s="17">
        <f t="shared" si="1"/>
        <v>133.33333333333334</v>
      </c>
      <c r="L18" s="168">
        <v>15</v>
      </c>
      <c r="M18" s="18">
        <f t="shared" si="16"/>
        <v>1928.5714285714246</v>
      </c>
      <c r="N18" s="17">
        <f t="shared" si="3"/>
        <v>128.5714285714283</v>
      </c>
      <c r="O18" s="19">
        <f t="shared" si="4"/>
        <v>0</v>
      </c>
      <c r="P18" s="20">
        <f t="shared" si="5"/>
        <v>-4.7619047619050434</v>
      </c>
      <c r="Q18" s="158">
        <f t="shared" si="6"/>
        <v>0.96428571428571219</v>
      </c>
      <c r="R18" s="489"/>
      <c r="S18" s="40">
        <v>0.73194444444444451</v>
      </c>
      <c r="T18" s="40">
        <v>0.75138888888888899</v>
      </c>
      <c r="U18" s="159">
        <f t="shared" si="18"/>
        <v>5.9999999999999787</v>
      </c>
      <c r="V18" s="169">
        <f t="shared" si="17"/>
        <v>28.00000000000006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-71.428571428575424</v>
      </c>
      <c r="AF18" s="158">
        <f t="shared" si="9"/>
        <v>0.9642857142857123</v>
      </c>
      <c r="AG18" s="489"/>
    </row>
    <row r="19" spans="1:33" ht="16.5" customHeight="1">
      <c r="A19" s="526" t="s">
        <v>698</v>
      </c>
      <c r="B19" s="170" t="s">
        <v>103</v>
      </c>
      <c r="C19" s="521" t="s">
        <v>133</v>
      </c>
      <c r="D19" s="522"/>
      <c r="E19" s="42">
        <v>50.67</v>
      </c>
      <c r="F19" s="170">
        <v>1855</v>
      </c>
      <c r="G19" s="159">
        <f t="shared" si="15"/>
        <v>93992.85</v>
      </c>
      <c r="H19" s="125" t="s">
        <v>79</v>
      </c>
      <c r="I19" s="168">
        <v>15</v>
      </c>
      <c r="J19" s="37">
        <v>2000</v>
      </c>
      <c r="K19" s="17">
        <f t="shared" si="1"/>
        <v>133.33333333333334</v>
      </c>
      <c r="L19" s="168">
        <v>15</v>
      </c>
      <c r="M19" s="18">
        <f t="shared" si="16"/>
        <v>1918.9655172413809</v>
      </c>
      <c r="N19" s="17">
        <f t="shared" si="3"/>
        <v>127.93103448275873</v>
      </c>
      <c r="O19" s="19">
        <f t="shared" si="4"/>
        <v>0</v>
      </c>
      <c r="P19" s="20">
        <f t="shared" si="5"/>
        <v>-5.4022988505746099</v>
      </c>
      <c r="Q19" s="158">
        <f t="shared" si="6"/>
        <v>0.95948275862069043</v>
      </c>
      <c r="R19" s="489"/>
      <c r="S19" s="40">
        <v>0.75555555555555565</v>
      </c>
      <c r="T19" s="40">
        <v>0.79583333333333339</v>
      </c>
      <c r="U19" s="159">
        <f t="shared" si="18"/>
        <v>5.9999999999999787</v>
      </c>
      <c r="V19" s="169">
        <f t="shared" si="17"/>
        <v>57.999999999999957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-81.034482758619106</v>
      </c>
      <c r="AF19" s="158">
        <f t="shared" si="9"/>
        <v>0.95948275862069043</v>
      </c>
      <c r="AG19" s="489"/>
    </row>
    <row r="20" spans="1:33" ht="16.5" customHeight="1">
      <c r="A20" s="526" t="s">
        <v>698</v>
      </c>
      <c r="B20" s="170" t="s">
        <v>103</v>
      </c>
      <c r="C20" s="166" t="s">
        <v>134</v>
      </c>
      <c r="D20" s="167"/>
      <c r="E20" s="42">
        <v>57.3</v>
      </c>
      <c r="F20" s="170">
        <v>2360</v>
      </c>
      <c r="G20" s="159">
        <f t="shared" si="15"/>
        <v>135228</v>
      </c>
      <c r="H20" s="125" t="s">
        <v>79</v>
      </c>
      <c r="I20" s="168">
        <v>13</v>
      </c>
      <c r="J20" s="37">
        <v>2000</v>
      </c>
      <c r="K20" s="17">
        <f t="shared" si="1"/>
        <v>153.84615384615384</v>
      </c>
      <c r="L20" s="168">
        <v>13</v>
      </c>
      <c r="M20" s="18">
        <f t="shared" si="16"/>
        <v>1913.513513513512</v>
      </c>
      <c r="N20" s="17">
        <f t="shared" si="3"/>
        <v>147.19334719334708</v>
      </c>
      <c r="O20" s="19">
        <f t="shared" si="4"/>
        <v>0</v>
      </c>
      <c r="P20" s="20">
        <f t="shared" si="5"/>
        <v>-6.6528066528067598</v>
      </c>
      <c r="Q20" s="158">
        <f t="shared" si="6"/>
        <v>0.95675675675675609</v>
      </c>
      <c r="R20" s="489"/>
      <c r="S20" s="40">
        <v>0.80069444444444449</v>
      </c>
      <c r="T20" s="40">
        <v>0.85208333333333341</v>
      </c>
      <c r="U20" s="159">
        <f t="shared" si="18"/>
        <v>6.9999999999999751</v>
      </c>
      <c r="V20" s="169">
        <f t="shared" si="17"/>
        <v>74.000000000000057</v>
      </c>
      <c r="W20" s="23">
        <f>T20</f>
        <v>0.85208333333333341</v>
      </c>
      <c r="X20" s="23">
        <f>S21</f>
        <v>0.89236111111111116</v>
      </c>
      <c r="Y20" s="26"/>
      <c r="Z20" s="26"/>
      <c r="AA20" s="503"/>
      <c r="AB20" s="504"/>
      <c r="AC20" s="154"/>
      <c r="AD20" s="25"/>
      <c r="AE20" s="19">
        <f t="shared" si="8"/>
        <v>-86.486486486488047</v>
      </c>
      <c r="AF20" s="158">
        <f t="shared" si="9"/>
        <v>0.95675675675675598</v>
      </c>
      <c r="AG20" s="489"/>
    </row>
    <row r="21" spans="1:33" ht="16.5" customHeight="1">
      <c r="A21" s="526" t="s">
        <v>699</v>
      </c>
      <c r="B21" s="170" t="s">
        <v>103</v>
      </c>
      <c r="C21" s="166" t="s">
        <v>123</v>
      </c>
      <c r="D21" s="167"/>
      <c r="E21" s="42">
        <v>50.98</v>
      </c>
      <c r="F21" s="170">
        <v>1658</v>
      </c>
      <c r="G21" s="159">
        <f t="shared" si="15"/>
        <v>84524.84</v>
      </c>
      <c r="H21" s="125" t="s">
        <v>79</v>
      </c>
      <c r="I21" s="168">
        <v>16</v>
      </c>
      <c r="J21" s="37">
        <v>2000</v>
      </c>
      <c r="K21" s="17">
        <f t="shared" si="1"/>
        <v>125</v>
      </c>
      <c r="L21" s="168">
        <v>16</v>
      </c>
      <c r="M21" s="18">
        <f t="shared" si="16"/>
        <v>1913.076923076924</v>
      </c>
      <c r="N21" s="17">
        <f t="shared" si="3"/>
        <v>119.56730769230775</v>
      </c>
      <c r="O21" s="19">
        <f t="shared" si="4"/>
        <v>0</v>
      </c>
      <c r="P21" s="20">
        <f t="shared" si="5"/>
        <v>-5.4326923076922498</v>
      </c>
      <c r="Q21" s="158">
        <f t="shared" si="6"/>
        <v>0.956538461538462</v>
      </c>
      <c r="R21" s="489"/>
      <c r="S21" s="40">
        <v>0.89236111111111116</v>
      </c>
      <c r="T21" s="40">
        <v>0.92847222222222225</v>
      </c>
      <c r="U21" s="159">
        <f t="shared" si="18"/>
        <v>57.999999999999957</v>
      </c>
      <c r="V21" s="169">
        <f t="shared" si="17"/>
        <v>51.999999999999972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-86.923076923075996</v>
      </c>
      <c r="AF21" s="158">
        <f t="shared" si="9"/>
        <v>0.956538461538462</v>
      </c>
      <c r="AG21" s="489"/>
    </row>
    <row r="22" spans="1:33" ht="16.5" customHeight="1">
      <c r="A22" s="526" t="s">
        <v>699</v>
      </c>
      <c r="B22" s="170" t="s">
        <v>103</v>
      </c>
      <c r="C22" s="521" t="s">
        <v>132</v>
      </c>
      <c r="D22" s="522"/>
      <c r="E22" s="42">
        <v>50.92</v>
      </c>
      <c r="F22" s="170">
        <v>1605</v>
      </c>
      <c r="G22" s="159">
        <f t="shared" si="15"/>
        <v>81726.600000000006</v>
      </c>
      <c r="H22" s="125" t="s">
        <v>79</v>
      </c>
      <c r="I22" s="168">
        <v>15</v>
      </c>
      <c r="J22" s="37">
        <v>2000</v>
      </c>
      <c r="K22" s="17">
        <f t="shared" si="1"/>
        <v>133.33333333333334</v>
      </c>
      <c r="L22" s="168">
        <v>15</v>
      </c>
      <c r="M22" s="18">
        <f t="shared" si="16"/>
        <v>1926.0000000000005</v>
      </c>
      <c r="N22" s="17">
        <f t="shared" si="3"/>
        <v>128.40000000000003</v>
      </c>
      <c r="O22" s="19">
        <f t="shared" si="4"/>
        <v>0</v>
      </c>
      <c r="P22" s="20">
        <f t="shared" si="5"/>
        <v>-4.9333333333333087</v>
      </c>
      <c r="Q22" s="158">
        <f t="shared" si="6"/>
        <v>0.96300000000000019</v>
      </c>
      <c r="R22" s="489"/>
      <c r="S22" s="40">
        <v>0.93402777777777779</v>
      </c>
      <c r="T22" s="40">
        <v>0.96875</v>
      </c>
      <c r="U22" s="159">
        <f t="shared" si="18"/>
        <v>7.9999999999999716</v>
      </c>
      <c r="V22" s="169">
        <f t="shared" si="17"/>
        <v>49.999999999999986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-73.999999999999545</v>
      </c>
      <c r="AF22" s="158">
        <f t="shared" si="9"/>
        <v>0.96300000000000019</v>
      </c>
      <c r="AG22" s="489"/>
    </row>
    <row r="23" spans="1:33" ht="16.5" customHeight="1">
      <c r="A23" s="526" t="s">
        <v>699</v>
      </c>
      <c r="B23" s="42" t="s">
        <v>700</v>
      </c>
      <c r="C23" s="494"/>
      <c r="D23" s="494"/>
      <c r="E23" s="161"/>
      <c r="F23" s="44"/>
      <c r="G23" s="17"/>
      <c r="H23" s="170"/>
      <c r="I23" s="30">
        <v>16.666666666666668</v>
      </c>
      <c r="J23" s="37">
        <v>1833.3333333333333</v>
      </c>
      <c r="K23" s="17">
        <f t="shared" si="1"/>
        <v>109.99999999999999</v>
      </c>
      <c r="L23" s="30">
        <v>16.666666666666668</v>
      </c>
      <c r="M23" s="18">
        <f>AVERAGE(M14:M22)</f>
        <v>1760.8774014636074</v>
      </c>
      <c r="N23" s="17">
        <f t="shared" si="3"/>
        <v>105.65264408781644</v>
      </c>
      <c r="O23" s="19">
        <f t="shared" si="4"/>
        <v>0</v>
      </c>
      <c r="P23" s="20">
        <f t="shared" si="5"/>
        <v>-4.347355912183545</v>
      </c>
      <c r="Q23" s="158">
        <f t="shared" si="6"/>
        <v>0.9604785826165132</v>
      </c>
      <c r="R23" s="489"/>
      <c r="S23" s="40"/>
      <c r="T23" s="40"/>
      <c r="U23" s="159"/>
      <c r="V23" s="169"/>
      <c r="W23" s="17"/>
      <c r="X23" s="17"/>
      <c r="Y23" s="31">
        <f>SUM(Y14:Y22)</f>
        <v>0</v>
      </c>
      <c r="Z23" s="31">
        <f>SUM(Z14:Z22)</f>
        <v>0</v>
      </c>
      <c r="AA23" s="495"/>
      <c r="AB23" s="495"/>
      <c r="AC23" s="31">
        <v>4</v>
      </c>
      <c r="AD23" s="31">
        <f>SUM(AD14:AD22)</f>
        <v>0</v>
      </c>
      <c r="AE23" s="19">
        <f t="shared" si="8"/>
        <v>-72.455931869725873</v>
      </c>
      <c r="AF23" s="158">
        <f t="shared" si="9"/>
        <v>0.9604785826165132</v>
      </c>
      <c r="AG23" s="489"/>
    </row>
    <row r="24" spans="1:33" ht="15.75" customHeight="1">
      <c r="A24" s="519" t="s">
        <v>701</v>
      </c>
      <c r="B24" s="42" t="s">
        <v>126</v>
      </c>
      <c r="C24" s="515" t="s">
        <v>135</v>
      </c>
      <c r="D24" s="515"/>
      <c r="E24" s="42">
        <v>43.14</v>
      </c>
      <c r="F24" s="170">
        <v>1060</v>
      </c>
      <c r="G24" s="159">
        <f t="shared" ref="G24:G34" si="19">E24*F24</f>
        <v>45728.4</v>
      </c>
      <c r="H24" s="125" t="s">
        <v>79</v>
      </c>
      <c r="I24" s="168">
        <v>17</v>
      </c>
      <c r="J24" s="37">
        <v>2000</v>
      </c>
      <c r="K24" s="17">
        <f t="shared" si="1"/>
        <v>117.64705882352941</v>
      </c>
      <c r="L24" s="168">
        <v>17</v>
      </c>
      <c r="M24" s="18">
        <f t="shared" ref="M24:M34" si="20">F24/V24*60</f>
        <v>1927.2727272727275</v>
      </c>
      <c r="N24" s="17">
        <f t="shared" si="3"/>
        <v>113.36898395721926</v>
      </c>
      <c r="O24" s="19">
        <f t="shared" si="4"/>
        <v>0</v>
      </c>
      <c r="P24" s="20">
        <f t="shared" si="5"/>
        <v>-4.2780748663101491</v>
      </c>
      <c r="Q24" s="158">
        <f t="shared" si="6"/>
        <v>0.96363636363636374</v>
      </c>
      <c r="R24" s="489">
        <f>Q35</f>
        <v>0.96828438872528433</v>
      </c>
      <c r="S24" s="40">
        <v>0.20833333333333334</v>
      </c>
      <c r="T24" s="40">
        <v>0.23125000000000001</v>
      </c>
      <c r="U24" s="159"/>
      <c r="V24" s="169">
        <f t="shared" ref="V24:V34" si="21">(T24-S24)*24*60</f>
        <v>33</v>
      </c>
      <c r="W24" s="28"/>
      <c r="X24" s="28"/>
      <c r="Y24" s="28"/>
      <c r="Z24" s="28"/>
      <c r="AA24" s="491"/>
      <c r="AB24" s="491"/>
      <c r="AC24" s="154">
        <v>5</v>
      </c>
      <c r="AD24" s="25"/>
      <c r="AE24" s="19">
        <f t="shared" si="8"/>
        <v>-72.727272727272521</v>
      </c>
      <c r="AF24" s="158">
        <f t="shared" si="9"/>
        <v>0.96363636363636374</v>
      </c>
      <c r="AG24" s="489">
        <f>AF35</f>
        <v>0.96828438872528433</v>
      </c>
    </row>
    <row r="25" spans="1:33" ht="15.75" customHeight="1">
      <c r="A25" s="520" t="s">
        <v>702</v>
      </c>
      <c r="B25" s="42" t="s">
        <v>130</v>
      </c>
      <c r="C25" s="515" t="s">
        <v>136</v>
      </c>
      <c r="D25" s="515"/>
      <c r="E25" s="42">
        <v>49.9</v>
      </c>
      <c r="F25" s="170">
        <v>1068</v>
      </c>
      <c r="G25" s="159">
        <f t="shared" si="19"/>
        <v>53293.2</v>
      </c>
      <c r="H25" s="125" t="s">
        <v>79</v>
      </c>
      <c r="I25" s="168">
        <v>17</v>
      </c>
      <c r="J25" s="37">
        <v>2000</v>
      </c>
      <c r="K25" s="17">
        <f t="shared" si="1"/>
        <v>117.64705882352941</v>
      </c>
      <c r="L25" s="168">
        <v>17</v>
      </c>
      <c r="M25" s="18">
        <f t="shared" si="20"/>
        <v>1941.818181818182</v>
      </c>
      <c r="N25" s="17">
        <f t="shared" si="3"/>
        <v>114.22459893048129</v>
      </c>
      <c r="O25" s="19">
        <f t="shared" si="4"/>
        <v>0</v>
      </c>
      <c r="P25" s="20">
        <f t="shared" si="5"/>
        <v>-3.4224598930481136</v>
      </c>
      <c r="Q25" s="158">
        <f t="shared" si="6"/>
        <v>0.97090909090909105</v>
      </c>
      <c r="R25" s="489"/>
      <c r="S25" s="40">
        <v>0.23541666666666669</v>
      </c>
      <c r="T25" s="40">
        <v>0.25833333333333336</v>
      </c>
      <c r="U25" s="159">
        <f t="shared" ref="U25:U34" si="22">IF(S25=TIME(17,0,0),"",(S25-T24)*24*60)</f>
        <v>6.0000000000000187</v>
      </c>
      <c r="V25" s="169">
        <f t="shared" si="21"/>
        <v>33</v>
      </c>
      <c r="W25" s="23"/>
      <c r="X25" s="159"/>
      <c r="Y25" s="159"/>
      <c r="Z25" s="159"/>
      <c r="AA25" s="491"/>
      <c r="AB25" s="491"/>
      <c r="AC25" s="154"/>
      <c r="AD25" s="25"/>
      <c r="AE25" s="19">
        <f t="shared" si="8"/>
        <v>-58.181818181818016</v>
      </c>
      <c r="AF25" s="158">
        <f t="shared" si="9"/>
        <v>0.97090909090909094</v>
      </c>
      <c r="AG25" s="489"/>
    </row>
    <row r="26" spans="1:33" ht="15.75" customHeight="1">
      <c r="A26" s="520" t="s">
        <v>702</v>
      </c>
      <c r="B26" s="42" t="s">
        <v>103</v>
      </c>
      <c r="C26" s="515" t="s">
        <v>137</v>
      </c>
      <c r="D26" s="515"/>
      <c r="E26" s="42">
        <v>57.73</v>
      </c>
      <c r="F26" s="170">
        <v>2742</v>
      </c>
      <c r="G26" s="159">
        <f t="shared" si="19"/>
        <v>158295.66</v>
      </c>
      <c r="H26" s="125" t="s">
        <v>79</v>
      </c>
      <c r="I26" s="168">
        <v>14</v>
      </c>
      <c r="J26" s="37">
        <v>2000</v>
      </c>
      <c r="K26" s="17">
        <f t="shared" si="1"/>
        <v>142.85714285714286</v>
      </c>
      <c r="L26" s="168">
        <v>14</v>
      </c>
      <c r="M26" s="18">
        <f t="shared" si="20"/>
        <v>1913.0232558139533</v>
      </c>
      <c r="N26" s="17">
        <f t="shared" si="3"/>
        <v>136.64451827242524</v>
      </c>
      <c r="O26" s="19">
        <f t="shared" si="4"/>
        <v>0</v>
      </c>
      <c r="P26" s="20">
        <f t="shared" si="5"/>
        <v>-6.2126245847176165</v>
      </c>
      <c r="Q26" s="158">
        <f t="shared" si="6"/>
        <v>0.95651162790697664</v>
      </c>
      <c r="R26" s="489"/>
      <c r="S26" s="40">
        <v>0.26250000000000001</v>
      </c>
      <c r="T26" s="40">
        <v>0.32222222222222224</v>
      </c>
      <c r="U26" s="159">
        <f t="shared" si="22"/>
        <v>5.9999999999999787</v>
      </c>
      <c r="V26" s="169">
        <f t="shared" si="21"/>
        <v>86.000000000000014</v>
      </c>
      <c r="W26" s="23"/>
      <c r="X26" s="159"/>
      <c r="Y26" s="159"/>
      <c r="Z26" s="159"/>
      <c r="AA26" s="491"/>
      <c r="AB26" s="491"/>
      <c r="AC26" s="154"/>
      <c r="AD26" s="25"/>
      <c r="AE26" s="19">
        <f t="shared" si="8"/>
        <v>-86.976744186046744</v>
      </c>
      <c r="AF26" s="158">
        <f t="shared" si="9"/>
        <v>0.95651162790697664</v>
      </c>
      <c r="AG26" s="489"/>
    </row>
    <row r="27" spans="1:33" ht="15.75" customHeight="1">
      <c r="A27" s="520" t="s">
        <v>56</v>
      </c>
      <c r="B27" s="42" t="s">
        <v>103</v>
      </c>
      <c r="C27" s="515" t="s">
        <v>138</v>
      </c>
      <c r="D27" s="515"/>
      <c r="E27" s="42">
        <v>53.68</v>
      </c>
      <c r="F27" s="170">
        <v>1702</v>
      </c>
      <c r="G27" s="159">
        <f t="shared" si="19"/>
        <v>91363.36</v>
      </c>
      <c r="H27" s="125" t="s">
        <v>79</v>
      </c>
      <c r="I27" s="168">
        <v>16</v>
      </c>
      <c r="J27" s="37">
        <v>2000</v>
      </c>
      <c r="K27" s="17">
        <f t="shared" si="1"/>
        <v>125</v>
      </c>
      <c r="L27" s="168">
        <v>16</v>
      </c>
      <c r="M27" s="18">
        <f t="shared" si="20"/>
        <v>1926.7924528301896</v>
      </c>
      <c r="N27" s="17">
        <f t="shared" si="3"/>
        <v>120.42452830188685</v>
      </c>
      <c r="O27" s="19">
        <f t="shared" si="4"/>
        <v>0</v>
      </c>
      <c r="P27" s="20">
        <f t="shared" si="5"/>
        <v>-4.575471698113148</v>
      </c>
      <c r="Q27" s="158">
        <f t="shared" si="6"/>
        <v>0.96339622641509481</v>
      </c>
      <c r="R27" s="489"/>
      <c r="S27" s="40">
        <v>0.3263888888888889</v>
      </c>
      <c r="T27" s="40">
        <v>0.36319444444444443</v>
      </c>
      <c r="U27" s="159">
        <f t="shared" si="22"/>
        <v>5.9999999999999787</v>
      </c>
      <c r="V27" s="169">
        <f t="shared" si="21"/>
        <v>52.999999999999972</v>
      </c>
      <c r="W27" s="23"/>
      <c r="X27" s="159"/>
      <c r="Y27" s="159"/>
      <c r="Z27" s="159"/>
      <c r="AA27" s="491"/>
      <c r="AB27" s="491"/>
      <c r="AC27" s="154"/>
      <c r="AD27" s="25"/>
      <c r="AE27" s="19">
        <f t="shared" si="8"/>
        <v>-73.207547169810368</v>
      </c>
      <c r="AF27" s="158">
        <f t="shared" si="9"/>
        <v>0.96339622641509481</v>
      </c>
      <c r="AG27" s="489"/>
    </row>
    <row r="28" spans="1:33" ht="15.75" customHeight="1">
      <c r="A28" s="520" t="s">
        <v>56</v>
      </c>
      <c r="B28" s="42" t="s">
        <v>103</v>
      </c>
      <c r="C28" s="515" t="s">
        <v>139</v>
      </c>
      <c r="D28" s="515"/>
      <c r="E28" s="42">
        <v>49.91</v>
      </c>
      <c r="F28" s="170">
        <v>951</v>
      </c>
      <c r="G28" s="159">
        <f t="shared" si="19"/>
        <v>47464.409999999996</v>
      </c>
      <c r="H28" s="125" t="s">
        <v>79</v>
      </c>
      <c r="I28" s="168">
        <v>17</v>
      </c>
      <c r="J28" s="37">
        <v>2000</v>
      </c>
      <c r="K28" s="17">
        <f t="shared" si="1"/>
        <v>117.64705882352941</v>
      </c>
      <c r="L28" s="168">
        <v>17</v>
      </c>
      <c r="M28" s="18">
        <f t="shared" si="20"/>
        <v>1967.5862068965532</v>
      </c>
      <c r="N28" s="17">
        <f t="shared" si="3"/>
        <v>115.74036511156196</v>
      </c>
      <c r="O28" s="19">
        <f t="shared" si="4"/>
        <v>0</v>
      </c>
      <c r="P28" s="20">
        <f t="shared" si="5"/>
        <v>-1.9066937119674492</v>
      </c>
      <c r="Q28" s="158">
        <f t="shared" si="6"/>
        <v>0.98379310344827664</v>
      </c>
      <c r="R28" s="489"/>
      <c r="S28" s="40">
        <v>0.36666666666666664</v>
      </c>
      <c r="T28" s="40">
        <v>0.38680555555555551</v>
      </c>
      <c r="U28" s="159">
        <f t="shared" si="22"/>
        <v>4.9999999999999822</v>
      </c>
      <c r="V28" s="169">
        <f t="shared" si="21"/>
        <v>28.999999999999979</v>
      </c>
      <c r="W28" s="23"/>
      <c r="X28" s="159"/>
      <c r="Y28" s="159"/>
      <c r="Z28" s="159"/>
      <c r="AA28" s="491"/>
      <c r="AB28" s="491"/>
      <c r="AC28" s="154"/>
      <c r="AD28" s="25"/>
      <c r="AE28" s="19">
        <f t="shared" si="8"/>
        <v>-32.413793103446778</v>
      </c>
      <c r="AF28" s="158">
        <f t="shared" si="9"/>
        <v>0.98379310344827664</v>
      </c>
      <c r="AG28" s="489"/>
    </row>
    <row r="29" spans="1:33" ht="15.75" customHeight="1">
      <c r="A29" s="520" t="s">
        <v>702</v>
      </c>
      <c r="B29" s="42" t="s">
        <v>103</v>
      </c>
      <c r="C29" s="515" t="s">
        <v>140</v>
      </c>
      <c r="D29" s="515"/>
      <c r="E29" s="42">
        <v>50.49</v>
      </c>
      <c r="F29" s="170">
        <v>600</v>
      </c>
      <c r="G29" s="159">
        <f t="shared" si="19"/>
        <v>30294</v>
      </c>
      <c r="H29" s="125">
        <v>2</v>
      </c>
      <c r="I29" s="168">
        <v>15</v>
      </c>
      <c r="J29" s="37">
        <v>2000</v>
      </c>
      <c r="K29" s="17">
        <f t="shared" si="1"/>
        <v>133.33333333333334</v>
      </c>
      <c r="L29" s="168">
        <v>15</v>
      </c>
      <c r="M29" s="18">
        <f t="shared" si="20"/>
        <v>2000.000000000007</v>
      </c>
      <c r="N29" s="17">
        <f t="shared" si="3"/>
        <v>133.3333333333338</v>
      </c>
      <c r="O29" s="19">
        <f t="shared" si="4"/>
        <v>0</v>
      </c>
      <c r="P29" s="20">
        <f t="shared" si="5"/>
        <v>4.5474735088646412E-13</v>
      </c>
      <c r="Q29" s="158">
        <f t="shared" si="6"/>
        <v>1.0000000000000033</v>
      </c>
      <c r="R29" s="489"/>
      <c r="S29" s="40">
        <v>0.70833333333333337</v>
      </c>
      <c r="T29" s="40">
        <v>0.72083333333333333</v>
      </c>
      <c r="U29" s="159" t="str">
        <f t="shared" si="22"/>
        <v/>
      </c>
      <c r="V29" s="169">
        <f t="shared" si="21"/>
        <v>17.999999999999936</v>
      </c>
      <c r="W29" s="23"/>
      <c r="X29" s="28"/>
      <c r="Y29" s="28"/>
      <c r="Z29" s="28"/>
      <c r="AA29" s="491"/>
      <c r="AB29" s="491"/>
      <c r="AC29" s="154"/>
      <c r="AD29" s="25"/>
      <c r="AE29" s="19">
        <f t="shared" si="8"/>
        <v>7.0485839387401938E-12</v>
      </c>
      <c r="AF29" s="158">
        <f t="shared" si="9"/>
        <v>1.0000000000000036</v>
      </c>
      <c r="AG29" s="489"/>
    </row>
    <row r="30" spans="1:33" ht="15.75" customHeight="1">
      <c r="A30" s="520" t="s">
        <v>56</v>
      </c>
      <c r="B30" s="42" t="s">
        <v>103</v>
      </c>
      <c r="C30" s="515" t="s">
        <v>141</v>
      </c>
      <c r="D30" s="515"/>
      <c r="E30" s="42">
        <v>57.73</v>
      </c>
      <c r="F30" s="170">
        <v>1317</v>
      </c>
      <c r="G30" s="159">
        <f t="shared" si="19"/>
        <v>76030.409999999989</v>
      </c>
      <c r="H30" s="125" t="s">
        <v>79</v>
      </c>
      <c r="I30" s="168">
        <v>16</v>
      </c>
      <c r="J30" s="37">
        <v>1500</v>
      </c>
      <c r="K30" s="17">
        <f t="shared" si="1"/>
        <v>93.75</v>
      </c>
      <c r="L30" s="168">
        <v>16</v>
      </c>
      <c r="M30" s="18">
        <f t="shared" si="20"/>
        <v>1436.7272727272737</v>
      </c>
      <c r="N30" s="17">
        <f t="shared" si="3"/>
        <v>89.795454545454604</v>
      </c>
      <c r="O30" s="19">
        <f t="shared" si="4"/>
        <v>0</v>
      </c>
      <c r="P30" s="20">
        <f t="shared" si="5"/>
        <v>-3.9545454545453964</v>
      </c>
      <c r="Q30" s="158">
        <f t="shared" si="6"/>
        <v>0.95781818181818246</v>
      </c>
      <c r="R30" s="489"/>
      <c r="S30" s="40">
        <v>0.72638888888888886</v>
      </c>
      <c r="T30" s="40">
        <v>0.76458333333333328</v>
      </c>
      <c r="U30" s="159">
        <f t="shared" si="22"/>
        <v>7.9999999999999716</v>
      </c>
      <c r="V30" s="169">
        <f t="shared" si="21"/>
        <v>54.999999999999964</v>
      </c>
      <c r="W30" s="23"/>
      <c r="X30" s="28"/>
      <c r="Y30" s="29"/>
      <c r="Z30" s="29"/>
      <c r="AA30" s="503"/>
      <c r="AB30" s="504"/>
      <c r="AC30" s="154"/>
      <c r="AD30" s="25"/>
      <c r="AE30" s="19">
        <f t="shared" si="8"/>
        <v>-63.272727272726343</v>
      </c>
      <c r="AF30" s="158">
        <f t="shared" si="9"/>
        <v>0.95781818181818246</v>
      </c>
      <c r="AG30" s="489"/>
    </row>
    <row r="31" spans="1:33" ht="15.75" customHeight="1">
      <c r="A31" s="520" t="s">
        <v>702</v>
      </c>
      <c r="B31" s="42" t="s">
        <v>103</v>
      </c>
      <c r="C31" s="521" t="s">
        <v>108</v>
      </c>
      <c r="D31" s="522"/>
      <c r="E31" s="42">
        <v>54.29</v>
      </c>
      <c r="F31" s="170">
        <v>900</v>
      </c>
      <c r="G31" s="159">
        <f t="shared" si="19"/>
        <v>48861</v>
      </c>
      <c r="H31" s="125">
        <v>2</v>
      </c>
      <c r="I31" s="168">
        <v>20</v>
      </c>
      <c r="J31" s="37">
        <v>2000</v>
      </c>
      <c r="K31" s="17">
        <f t="shared" si="1"/>
        <v>100</v>
      </c>
      <c r="L31" s="168">
        <v>20</v>
      </c>
      <c r="M31" s="18">
        <f t="shared" si="20"/>
        <v>1928.5714285714246</v>
      </c>
      <c r="N31" s="17">
        <f t="shared" si="3"/>
        <v>96.428571428571232</v>
      </c>
      <c r="O31" s="19">
        <f t="shared" si="4"/>
        <v>0</v>
      </c>
      <c r="P31" s="20">
        <f t="shared" si="5"/>
        <v>-3.5714285714287684</v>
      </c>
      <c r="Q31" s="158">
        <f t="shared" si="6"/>
        <v>0.9642857142857123</v>
      </c>
      <c r="R31" s="489"/>
      <c r="S31" s="40">
        <v>0.76944444444444438</v>
      </c>
      <c r="T31" s="40">
        <v>0.78888888888888886</v>
      </c>
      <c r="U31" s="159">
        <f t="shared" si="22"/>
        <v>6.9999999999999751</v>
      </c>
      <c r="V31" s="169">
        <f t="shared" si="21"/>
        <v>28.00000000000006</v>
      </c>
      <c r="W31" s="23"/>
      <c r="X31" s="23"/>
      <c r="Y31" s="26"/>
      <c r="Z31" s="26"/>
      <c r="AA31" s="503"/>
      <c r="AB31" s="504"/>
      <c r="AC31" s="154"/>
      <c r="AD31" s="25"/>
      <c r="AE31" s="19">
        <f t="shared" si="8"/>
        <v>-71.428571428575424</v>
      </c>
      <c r="AF31" s="158">
        <f t="shared" si="9"/>
        <v>0.9642857142857123</v>
      </c>
      <c r="AG31" s="489"/>
    </row>
    <row r="32" spans="1:33" ht="15.75" customHeight="1">
      <c r="A32" s="520" t="s">
        <v>702</v>
      </c>
      <c r="B32" s="42" t="s">
        <v>103</v>
      </c>
      <c r="C32" s="521" t="s">
        <v>142</v>
      </c>
      <c r="D32" s="522"/>
      <c r="E32" s="42">
        <v>53.68</v>
      </c>
      <c r="F32" s="170">
        <v>2217</v>
      </c>
      <c r="G32" s="159">
        <f t="shared" si="19"/>
        <v>119008.56</v>
      </c>
      <c r="H32" s="125" t="s">
        <v>79</v>
      </c>
      <c r="I32" s="168">
        <v>16</v>
      </c>
      <c r="J32" s="37">
        <v>1500</v>
      </c>
      <c r="K32" s="17">
        <f t="shared" si="1"/>
        <v>93.75</v>
      </c>
      <c r="L32" s="168">
        <v>16</v>
      </c>
      <c r="M32" s="18">
        <f t="shared" si="20"/>
        <v>1430.3225806451615</v>
      </c>
      <c r="N32" s="17">
        <f t="shared" si="3"/>
        <v>89.395161290322591</v>
      </c>
      <c r="O32" s="19">
        <f t="shared" si="4"/>
        <v>0</v>
      </c>
      <c r="P32" s="20">
        <f t="shared" si="5"/>
        <v>-4.3548387096774093</v>
      </c>
      <c r="Q32" s="158">
        <f t="shared" si="6"/>
        <v>0.95354838709677425</v>
      </c>
      <c r="R32" s="489"/>
      <c r="S32" s="40">
        <v>0.79236111111111107</v>
      </c>
      <c r="T32" s="40">
        <v>0.8569444444444444</v>
      </c>
      <c r="U32" s="159">
        <f t="shared" si="22"/>
        <v>4.9999999999999822</v>
      </c>
      <c r="V32" s="169">
        <f t="shared" si="21"/>
        <v>92.999999999999986</v>
      </c>
      <c r="W32" s="23">
        <f>T32</f>
        <v>0.8569444444444444</v>
      </c>
      <c r="X32" s="23">
        <f>S33</f>
        <v>0.89583333333333326</v>
      </c>
      <c r="Y32" s="26"/>
      <c r="Z32" s="26"/>
      <c r="AA32" s="503"/>
      <c r="AB32" s="504"/>
      <c r="AC32" s="154"/>
      <c r="AD32" s="25"/>
      <c r="AE32" s="19">
        <f t="shared" si="8"/>
        <v>-69.677419354838548</v>
      </c>
      <c r="AF32" s="158">
        <f t="shared" si="9"/>
        <v>0.95354838709677425</v>
      </c>
      <c r="AG32" s="489"/>
    </row>
    <row r="33" spans="1:33" ht="15.75" customHeight="1">
      <c r="A33" s="520" t="s">
        <v>56</v>
      </c>
      <c r="B33" s="42" t="s">
        <v>103</v>
      </c>
      <c r="C33" s="521" t="s">
        <v>140</v>
      </c>
      <c r="D33" s="522"/>
      <c r="E33" s="42">
        <v>50.49</v>
      </c>
      <c r="F33" s="170">
        <v>1580</v>
      </c>
      <c r="G33" s="159">
        <f t="shared" si="19"/>
        <v>79774.2</v>
      </c>
      <c r="H33" s="125" t="s">
        <v>79</v>
      </c>
      <c r="I33" s="168">
        <v>15</v>
      </c>
      <c r="J33" s="37">
        <v>2000</v>
      </c>
      <c r="K33" s="17">
        <f t="shared" si="1"/>
        <v>133.33333333333334</v>
      </c>
      <c r="L33" s="168">
        <v>15</v>
      </c>
      <c r="M33" s="18">
        <f t="shared" si="20"/>
        <v>1934.6938775510209</v>
      </c>
      <c r="N33" s="17">
        <f t="shared" si="3"/>
        <v>128.97959183673473</v>
      </c>
      <c r="O33" s="19">
        <f t="shared" si="4"/>
        <v>0</v>
      </c>
      <c r="P33" s="20">
        <f t="shared" si="5"/>
        <v>-4.3537414965986159</v>
      </c>
      <c r="Q33" s="158">
        <f t="shared" si="6"/>
        <v>0.96734693877551037</v>
      </c>
      <c r="R33" s="489"/>
      <c r="S33" s="40">
        <v>0.89583333333333326</v>
      </c>
      <c r="T33" s="40">
        <v>0.92986111111111103</v>
      </c>
      <c r="U33" s="159">
        <f t="shared" si="22"/>
        <v>55.999999999999957</v>
      </c>
      <c r="V33" s="169">
        <f t="shared" si="21"/>
        <v>48.999999999999986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-65.306122448979067</v>
      </c>
      <c r="AF33" s="158">
        <f t="shared" si="9"/>
        <v>0.96734693877551048</v>
      </c>
      <c r="AG33" s="489"/>
    </row>
    <row r="34" spans="1:33" ht="15.75" customHeight="1">
      <c r="A34" s="520" t="s">
        <v>702</v>
      </c>
      <c r="B34" s="42" t="s">
        <v>103</v>
      </c>
      <c r="C34" s="521" t="s">
        <v>108</v>
      </c>
      <c r="D34" s="522"/>
      <c r="E34" s="42">
        <v>54.29</v>
      </c>
      <c r="F34" s="170">
        <v>2152</v>
      </c>
      <c r="G34" s="159">
        <f t="shared" si="19"/>
        <v>116832.08</v>
      </c>
      <c r="H34" s="125" t="s">
        <v>79</v>
      </c>
      <c r="I34" s="168">
        <v>20</v>
      </c>
      <c r="J34" s="37">
        <v>2000</v>
      </c>
      <c r="K34" s="17">
        <f t="shared" si="1"/>
        <v>100</v>
      </c>
      <c r="L34" s="168">
        <v>20</v>
      </c>
      <c r="M34" s="18">
        <f t="shared" si="20"/>
        <v>1927.1641791044799</v>
      </c>
      <c r="N34" s="17">
        <f t="shared" si="3"/>
        <v>96.358208955224001</v>
      </c>
      <c r="O34" s="19">
        <f t="shared" si="4"/>
        <v>0</v>
      </c>
      <c r="P34" s="20">
        <f t="shared" si="5"/>
        <v>-3.6417910447759994</v>
      </c>
      <c r="Q34" s="158">
        <f t="shared" si="6"/>
        <v>0.96358208955224001</v>
      </c>
      <c r="R34" s="489"/>
      <c r="S34" s="40">
        <v>0.93402777777777768</v>
      </c>
      <c r="T34" s="40">
        <v>0.9805555555555554</v>
      </c>
      <c r="U34" s="159">
        <f t="shared" si="22"/>
        <v>5.9999999999999787</v>
      </c>
      <c r="V34" s="169">
        <f t="shared" si="21"/>
        <v>66.999999999999915</v>
      </c>
      <c r="W34" s="23"/>
      <c r="X34" s="23"/>
      <c r="Y34" s="26"/>
      <c r="Z34" s="26"/>
      <c r="AA34" s="503"/>
      <c r="AB34" s="504"/>
      <c r="AC34" s="154"/>
      <c r="AD34" s="25"/>
      <c r="AE34" s="19">
        <f t="shared" si="8"/>
        <v>-72.835820895520101</v>
      </c>
      <c r="AF34" s="158">
        <f t="shared" si="9"/>
        <v>0.9635820895522399</v>
      </c>
      <c r="AG34" s="489"/>
    </row>
    <row r="35" spans="1:33" ht="15.75" customHeight="1">
      <c r="A35" s="520" t="s">
        <v>56</v>
      </c>
      <c r="B35" s="42" t="s">
        <v>703</v>
      </c>
      <c r="C35" s="494"/>
      <c r="D35" s="494"/>
      <c r="E35" s="161"/>
      <c r="F35" s="170"/>
      <c r="G35" s="159"/>
      <c r="H35" s="170"/>
      <c r="I35" s="30">
        <v>16.636363636363637</v>
      </c>
      <c r="J35" s="37">
        <v>1909.090909090909</v>
      </c>
      <c r="K35" s="17">
        <f t="shared" si="1"/>
        <v>114.75409836065573</v>
      </c>
      <c r="L35" s="30">
        <v>16.636363636363637</v>
      </c>
      <c r="M35" s="18">
        <f>AVERAGE(M24:M34)</f>
        <v>1848.5429239300881</v>
      </c>
      <c r="N35" s="17">
        <f t="shared" si="3"/>
        <v>111.11460198486868</v>
      </c>
      <c r="O35" s="19">
        <f t="shared" si="4"/>
        <v>0</v>
      </c>
      <c r="P35" s="20">
        <f t="shared" si="5"/>
        <v>-3.6394963757870471</v>
      </c>
      <c r="Q35" s="158">
        <f t="shared" si="6"/>
        <v>0.96828438872528433</v>
      </c>
      <c r="R35" s="489"/>
      <c r="S35" s="40"/>
      <c r="T35" s="40"/>
      <c r="U35" s="17"/>
      <c r="V35" s="169"/>
      <c r="W35" s="17"/>
      <c r="X35" s="17"/>
      <c r="Y35" s="31">
        <f>SUM(Y24:Y34)</f>
        <v>0</v>
      </c>
      <c r="Z35" s="31">
        <f>SUM(Z24:Z34)</f>
        <v>0</v>
      </c>
      <c r="AA35" s="495"/>
      <c r="AB35" s="495"/>
      <c r="AC35" s="31">
        <v>5</v>
      </c>
      <c r="AD35" s="31">
        <f>SUM(AD24:AD34)</f>
        <v>0</v>
      </c>
      <c r="AE35" s="19">
        <f t="shared" si="8"/>
        <v>-60.547985160820872</v>
      </c>
      <c r="AF35" s="158">
        <f t="shared" si="9"/>
        <v>0.96828438872528433</v>
      </c>
      <c r="AG35" s="489"/>
    </row>
    <row r="36" spans="1:33" ht="15.75" customHeight="1">
      <c r="A36" s="518" t="s">
        <v>704</v>
      </c>
      <c r="B36" s="42" t="s">
        <v>80</v>
      </c>
      <c r="C36" s="515" t="s">
        <v>81</v>
      </c>
      <c r="D36" s="515"/>
      <c r="E36" s="42">
        <v>31.29</v>
      </c>
      <c r="F36" s="170">
        <v>3600</v>
      </c>
      <c r="G36" s="159">
        <f t="shared" ref="G36:G41" si="23">E36*F36</f>
        <v>112644</v>
      </c>
      <c r="H36" s="125">
        <v>2</v>
      </c>
      <c r="I36" s="168">
        <v>18</v>
      </c>
      <c r="J36" s="37">
        <v>2400</v>
      </c>
      <c r="K36" s="17">
        <f t="shared" si="1"/>
        <v>133.33333333333334</v>
      </c>
      <c r="L36" s="168">
        <v>18</v>
      </c>
      <c r="M36" s="18">
        <f t="shared" ref="M36:M41" si="24">F36/V36*60</f>
        <v>2297.8723404255315</v>
      </c>
      <c r="N36" s="17">
        <f t="shared" si="3"/>
        <v>127.65957446808508</v>
      </c>
      <c r="O36" s="19">
        <f t="shared" si="4"/>
        <v>0</v>
      </c>
      <c r="P36" s="20">
        <f t="shared" si="5"/>
        <v>-5.67375886524826</v>
      </c>
      <c r="Q36" s="158">
        <f t="shared" si="6"/>
        <v>0.95744680851063801</v>
      </c>
      <c r="R36" s="489">
        <f>Q42</f>
        <v>0.95545465880237979</v>
      </c>
      <c r="S36" s="40">
        <v>8.3333333333333329E-2</v>
      </c>
      <c r="T36" s="40">
        <v>0.14861111111111111</v>
      </c>
      <c r="U36" s="159"/>
      <c r="V36" s="169">
        <f t="shared" ref="V36:V41" si="25">(T36-S36)*24*60</f>
        <v>94.000000000000014</v>
      </c>
      <c r="W36" s="23">
        <f>T36</f>
        <v>0.14861111111111111</v>
      </c>
      <c r="X36" s="23">
        <f>S37</f>
        <v>0.16666666666666666</v>
      </c>
      <c r="Y36" s="23"/>
      <c r="Z36" s="23"/>
      <c r="AA36" s="491"/>
      <c r="AB36" s="491"/>
      <c r="AC36" s="154">
        <v>8</v>
      </c>
      <c r="AD36" s="25"/>
      <c r="AE36" s="19">
        <f t="shared" si="8"/>
        <v>-102.12765957446845</v>
      </c>
      <c r="AF36" s="158">
        <f t="shared" si="9"/>
        <v>0.95744680851063813</v>
      </c>
      <c r="AG36" s="489">
        <f>AF42</f>
        <v>0.95545465880237979</v>
      </c>
    </row>
    <row r="37" spans="1:33" ht="15.75" customHeight="1">
      <c r="A37" s="518" t="s">
        <v>704</v>
      </c>
      <c r="B37" s="42" t="s">
        <v>80</v>
      </c>
      <c r="C37" s="515" t="s">
        <v>82</v>
      </c>
      <c r="D37" s="515"/>
      <c r="E37" s="42">
        <v>26.2</v>
      </c>
      <c r="F37" s="170">
        <v>4819</v>
      </c>
      <c r="G37" s="159">
        <f t="shared" si="23"/>
        <v>126257.8</v>
      </c>
      <c r="H37" s="125" t="s">
        <v>79</v>
      </c>
      <c r="I37" s="168">
        <v>20</v>
      </c>
      <c r="J37" s="37">
        <v>2400</v>
      </c>
      <c r="K37" s="17">
        <f t="shared" si="1"/>
        <v>120</v>
      </c>
      <c r="L37" s="168">
        <v>20</v>
      </c>
      <c r="M37" s="18">
        <f t="shared" si="24"/>
        <v>2294.761904761905</v>
      </c>
      <c r="N37" s="17">
        <f t="shared" si="3"/>
        <v>114.73809523809526</v>
      </c>
      <c r="O37" s="19">
        <f t="shared" si="4"/>
        <v>0</v>
      </c>
      <c r="P37" s="20">
        <f t="shared" si="5"/>
        <v>-5.261904761904745</v>
      </c>
      <c r="Q37" s="158">
        <f t="shared" si="6"/>
        <v>0.95615079365079381</v>
      </c>
      <c r="R37" s="489"/>
      <c r="S37" s="40">
        <v>0.16666666666666666</v>
      </c>
      <c r="T37" s="40">
        <v>0.25416666666666665</v>
      </c>
      <c r="U37" s="159">
        <f t="shared" ref="U37:U41" si="26">(S37-T36)*24*60</f>
        <v>25.999999999999986</v>
      </c>
      <c r="V37" s="169">
        <f t="shared" si="25"/>
        <v>125.99999999999997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-105.23809523809496</v>
      </c>
      <c r="AF37" s="158">
        <f t="shared" si="9"/>
        <v>0.95615079365079381</v>
      </c>
      <c r="AG37" s="489"/>
    </row>
    <row r="38" spans="1:33" ht="15.75" customHeight="1">
      <c r="A38" s="518" t="s">
        <v>59</v>
      </c>
      <c r="B38" s="42" t="s">
        <v>80</v>
      </c>
      <c r="C38" s="515" t="s">
        <v>83</v>
      </c>
      <c r="D38" s="515"/>
      <c r="E38" s="42">
        <v>25.99</v>
      </c>
      <c r="F38" s="170">
        <v>4386</v>
      </c>
      <c r="G38" s="159">
        <f t="shared" si="23"/>
        <v>113992.14</v>
      </c>
      <c r="H38" s="125" t="s">
        <v>79</v>
      </c>
      <c r="I38" s="168">
        <v>14</v>
      </c>
      <c r="J38" s="37">
        <v>2400</v>
      </c>
      <c r="K38" s="17">
        <f t="shared" si="1"/>
        <v>171.42857142857142</v>
      </c>
      <c r="L38" s="168">
        <v>14</v>
      </c>
      <c r="M38" s="18">
        <f t="shared" si="24"/>
        <v>2288.347826086957</v>
      </c>
      <c r="N38" s="17">
        <f t="shared" si="3"/>
        <v>163.45341614906835</v>
      </c>
      <c r="O38" s="19">
        <f t="shared" si="4"/>
        <v>0</v>
      </c>
      <c r="P38" s="20">
        <f t="shared" si="5"/>
        <v>-7.9751552795030705</v>
      </c>
      <c r="Q38" s="158">
        <f t="shared" si="6"/>
        <v>0.95347826086956544</v>
      </c>
      <c r="R38" s="489"/>
      <c r="S38" s="40">
        <v>0.25972222222222219</v>
      </c>
      <c r="T38" s="40">
        <v>0.33958333333333329</v>
      </c>
      <c r="U38" s="159">
        <f t="shared" si="26"/>
        <v>7.9999999999999716</v>
      </c>
      <c r="V38" s="169">
        <f t="shared" si="25"/>
        <v>114.99999999999999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-111.65217391304304</v>
      </c>
      <c r="AF38" s="158">
        <f t="shared" si="9"/>
        <v>0.95347826086956544</v>
      </c>
      <c r="AG38" s="489"/>
    </row>
    <row r="39" spans="1:33" ht="15.75" customHeight="1">
      <c r="A39" s="518" t="s">
        <v>704</v>
      </c>
      <c r="B39" s="42" t="s">
        <v>80</v>
      </c>
      <c r="C39" s="515" t="s">
        <v>84</v>
      </c>
      <c r="D39" s="515"/>
      <c r="E39" s="42">
        <v>20.52</v>
      </c>
      <c r="F39" s="170">
        <v>4350</v>
      </c>
      <c r="G39" s="159">
        <f t="shared" si="23"/>
        <v>89262</v>
      </c>
      <c r="H39" s="125" t="s">
        <v>79</v>
      </c>
      <c r="I39" s="168">
        <v>18</v>
      </c>
      <c r="J39" s="37">
        <v>2400</v>
      </c>
      <c r="K39" s="17">
        <f t="shared" si="1"/>
        <v>133.33333333333334</v>
      </c>
      <c r="L39" s="168">
        <v>18</v>
      </c>
      <c r="M39" s="18">
        <f t="shared" si="24"/>
        <v>2289.4736842105262</v>
      </c>
      <c r="N39" s="17">
        <f t="shared" si="3"/>
        <v>127.19298245614034</v>
      </c>
      <c r="O39" s="19">
        <f t="shared" si="4"/>
        <v>0</v>
      </c>
      <c r="P39" s="20">
        <f t="shared" si="5"/>
        <v>-6.1403508771930007</v>
      </c>
      <c r="Q39" s="158">
        <f t="shared" si="6"/>
        <v>0.95394736842105254</v>
      </c>
      <c r="R39" s="489"/>
      <c r="S39" s="40">
        <v>0.34444444444444439</v>
      </c>
      <c r="T39" s="40">
        <v>0.42361111111111105</v>
      </c>
      <c r="U39" s="159">
        <f t="shared" si="26"/>
        <v>6.9999999999999751</v>
      </c>
      <c r="V39" s="169">
        <f t="shared" si="25"/>
        <v>114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-110.52631578947376</v>
      </c>
      <c r="AF39" s="158">
        <f t="shared" si="9"/>
        <v>0.95394736842105265</v>
      </c>
      <c r="AG39" s="489"/>
    </row>
    <row r="40" spans="1:33" ht="15.75" customHeight="1">
      <c r="A40" s="518" t="s">
        <v>704</v>
      </c>
      <c r="B40" s="42" t="s">
        <v>80</v>
      </c>
      <c r="C40" s="515" t="s">
        <v>85</v>
      </c>
      <c r="D40" s="515"/>
      <c r="E40" s="42">
        <v>25.98</v>
      </c>
      <c r="F40" s="170">
        <v>3644</v>
      </c>
      <c r="G40" s="159">
        <f t="shared" si="23"/>
        <v>94671.12</v>
      </c>
      <c r="H40" s="125" t="s">
        <v>79</v>
      </c>
      <c r="I40" s="168">
        <v>21</v>
      </c>
      <c r="J40" s="37">
        <v>2400</v>
      </c>
      <c r="K40" s="17">
        <f t="shared" si="1"/>
        <v>114.28571428571429</v>
      </c>
      <c r="L40" s="168">
        <v>21</v>
      </c>
      <c r="M40" s="18">
        <f t="shared" si="24"/>
        <v>2301.4736842105267</v>
      </c>
      <c r="N40" s="17">
        <f t="shared" si="3"/>
        <v>109.59398496240604</v>
      </c>
      <c r="O40" s="19">
        <f t="shared" si="4"/>
        <v>0</v>
      </c>
      <c r="P40" s="20">
        <f t="shared" si="5"/>
        <v>-4.6917293233082518</v>
      </c>
      <c r="Q40" s="158">
        <f t="shared" si="6"/>
        <v>0.95894736842105277</v>
      </c>
      <c r="R40" s="489"/>
      <c r="S40" s="40">
        <v>0.42847222222222214</v>
      </c>
      <c r="T40" s="40">
        <v>0.49444444444444435</v>
      </c>
      <c r="U40" s="159">
        <f t="shared" si="26"/>
        <v>6.9999999999999751</v>
      </c>
      <c r="V40" s="169">
        <f t="shared" si="25"/>
        <v>94.999999999999986</v>
      </c>
      <c r="W40" s="23">
        <f>T40</f>
        <v>0.49444444444444435</v>
      </c>
      <c r="X40" s="23">
        <f>S41</f>
        <v>0.53333333333333321</v>
      </c>
      <c r="Y40" s="23"/>
      <c r="Z40" s="23"/>
      <c r="AA40" s="491"/>
      <c r="AB40" s="491"/>
      <c r="AC40" s="154"/>
      <c r="AD40" s="25"/>
      <c r="AE40" s="19">
        <f t="shared" si="8"/>
        <v>-98.526315789473301</v>
      </c>
      <c r="AF40" s="158">
        <f t="shared" si="9"/>
        <v>0.95894736842105277</v>
      </c>
      <c r="AG40" s="489"/>
    </row>
    <row r="41" spans="1:33" ht="15.75" customHeight="1">
      <c r="A41" s="518" t="s">
        <v>59</v>
      </c>
      <c r="B41" s="42" t="s">
        <v>80</v>
      </c>
      <c r="C41" s="515" t="s">
        <v>81</v>
      </c>
      <c r="D41" s="515"/>
      <c r="E41" s="42">
        <v>31.29</v>
      </c>
      <c r="F41" s="170">
        <v>5183</v>
      </c>
      <c r="G41" s="159">
        <f t="shared" si="23"/>
        <v>162176.07</v>
      </c>
      <c r="H41" s="125" t="s">
        <v>79</v>
      </c>
      <c r="I41" s="168">
        <v>18</v>
      </c>
      <c r="J41" s="37">
        <v>2400</v>
      </c>
      <c r="K41" s="17">
        <f t="shared" si="1"/>
        <v>133.33333333333334</v>
      </c>
      <c r="L41" s="168">
        <v>18</v>
      </c>
      <c r="M41" s="18">
        <f t="shared" si="24"/>
        <v>2286.6176470588234</v>
      </c>
      <c r="N41" s="17">
        <f t="shared" si="3"/>
        <v>127.03431372549019</v>
      </c>
      <c r="O41" s="19">
        <f t="shared" si="4"/>
        <v>0</v>
      </c>
      <c r="P41" s="20">
        <f t="shared" si="5"/>
        <v>-6.2990196078431495</v>
      </c>
      <c r="Q41" s="158">
        <f t="shared" si="6"/>
        <v>0.95275735294117636</v>
      </c>
      <c r="R41" s="489"/>
      <c r="S41" s="40">
        <v>0.53333333333333321</v>
      </c>
      <c r="T41" s="40">
        <v>0.62777777777777766</v>
      </c>
      <c r="U41" s="159">
        <f t="shared" si="26"/>
        <v>55.999999999999957</v>
      </c>
      <c r="V41" s="169">
        <f t="shared" si="25"/>
        <v>136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-113.38235294117658</v>
      </c>
      <c r="AF41" s="158">
        <f t="shared" si="9"/>
        <v>0.95275735294117647</v>
      </c>
      <c r="AG41" s="489"/>
    </row>
    <row r="42" spans="1:33" ht="15.75" customHeight="1">
      <c r="A42" s="518" t="s">
        <v>59</v>
      </c>
      <c r="B42" s="42" t="s">
        <v>703</v>
      </c>
      <c r="C42" s="494"/>
      <c r="D42" s="494"/>
      <c r="E42" s="161"/>
      <c r="F42" s="170"/>
      <c r="G42" s="159"/>
      <c r="H42" s="170"/>
      <c r="I42" s="30">
        <v>18.166666666666668</v>
      </c>
      <c r="J42" s="37">
        <v>2400</v>
      </c>
      <c r="K42" s="17">
        <f t="shared" si="1"/>
        <v>132.11009174311926</v>
      </c>
      <c r="L42" s="30">
        <v>18.166666666666668</v>
      </c>
      <c r="M42" s="18">
        <f>AVERAGE(M36:M41)</f>
        <v>2293.0911811257115</v>
      </c>
      <c r="N42" s="17">
        <f t="shared" si="3"/>
        <v>126.2252026307731</v>
      </c>
      <c r="O42" s="19">
        <f t="shared" si="4"/>
        <v>0</v>
      </c>
      <c r="P42" s="20">
        <f t="shared" si="5"/>
        <v>-5.8848891123461584</v>
      </c>
      <c r="Q42" s="158">
        <f t="shared" si="6"/>
        <v>0.95545465880237979</v>
      </c>
      <c r="R42" s="489"/>
      <c r="S42" s="40"/>
      <c r="T42" s="40"/>
      <c r="U42" s="159"/>
      <c r="V42" s="169"/>
      <c r="W42" s="159"/>
      <c r="X42" s="159"/>
      <c r="Y42" s="31">
        <f>SUM(Y36:Y41)</f>
        <v>0</v>
      </c>
      <c r="Z42" s="31">
        <f>SUM(Z36:Z41)</f>
        <v>0</v>
      </c>
      <c r="AA42" s="495"/>
      <c r="AB42" s="495"/>
      <c r="AC42" s="31">
        <v>8</v>
      </c>
      <c r="AD42" s="31">
        <f>SUM(AD36:AD41)</f>
        <v>0</v>
      </c>
      <c r="AE42" s="19">
        <f t="shared" si="8"/>
        <v>-106.9088188742885</v>
      </c>
      <c r="AF42" s="158">
        <f t="shared" si="9"/>
        <v>0.95545465880237979</v>
      </c>
      <c r="AG42" s="489"/>
    </row>
    <row r="43" spans="1:33" ht="15.75" customHeight="1">
      <c r="A43" s="516" t="s">
        <v>61</v>
      </c>
      <c r="B43" s="42" t="s">
        <v>80</v>
      </c>
      <c r="C43" s="490" t="s">
        <v>86</v>
      </c>
      <c r="D43" s="490"/>
      <c r="E43" s="42">
        <v>22.69</v>
      </c>
      <c r="F43" s="170">
        <v>771</v>
      </c>
      <c r="G43" s="159">
        <f t="shared" ref="G43:G49" si="27">E43*F43</f>
        <v>17493.990000000002</v>
      </c>
      <c r="H43" s="125" t="s">
        <v>79</v>
      </c>
      <c r="I43" s="168">
        <v>15</v>
      </c>
      <c r="J43" s="37">
        <v>2400</v>
      </c>
      <c r="K43" s="17">
        <f t="shared" si="1"/>
        <v>160</v>
      </c>
      <c r="L43" s="168">
        <v>15</v>
      </c>
      <c r="M43" s="18">
        <f t="shared" ref="M43:M49" si="28">F43/V43*60</f>
        <v>2313.0000000000009</v>
      </c>
      <c r="N43" s="17">
        <f t="shared" si="3"/>
        <v>154.20000000000007</v>
      </c>
      <c r="O43" s="19">
        <f t="shared" si="4"/>
        <v>0</v>
      </c>
      <c r="P43" s="20">
        <f t="shared" si="5"/>
        <v>-5.7999999999999261</v>
      </c>
      <c r="Q43" s="158">
        <f t="shared" si="6"/>
        <v>0.96375000000000044</v>
      </c>
      <c r="R43" s="489">
        <f>Q50</f>
        <v>0.96381982118400156</v>
      </c>
      <c r="S43" s="40">
        <v>8.3333333333333329E-2</v>
      </c>
      <c r="T43" s="40">
        <v>9.722222222222221E-2</v>
      </c>
      <c r="U43" s="159"/>
      <c r="V43" s="169">
        <f t="shared" ref="V43:V49" si="29">(T43-S43)*24*60</f>
        <v>19.999999999999989</v>
      </c>
      <c r="W43" s="28">
        <f>T43</f>
        <v>9.722222222222221E-2</v>
      </c>
      <c r="X43" s="28">
        <f>S44</f>
        <v>0.1173611111111111</v>
      </c>
      <c r="Y43" s="28"/>
      <c r="Z43" s="28"/>
      <c r="AA43" s="491"/>
      <c r="AB43" s="491"/>
      <c r="AC43" s="154">
        <v>7</v>
      </c>
      <c r="AD43" s="25"/>
      <c r="AE43" s="19">
        <f t="shared" si="8"/>
        <v>-86.999999999999091</v>
      </c>
      <c r="AF43" s="158">
        <f t="shared" si="9"/>
        <v>0.96375000000000033</v>
      </c>
      <c r="AG43" s="489">
        <f>AF50</f>
        <v>0.96381982118400178</v>
      </c>
    </row>
    <row r="44" spans="1:33" ht="15.75" customHeight="1">
      <c r="A44" s="516" t="s">
        <v>61</v>
      </c>
      <c r="B44" s="42" t="s">
        <v>80</v>
      </c>
      <c r="C44" s="490" t="s">
        <v>87</v>
      </c>
      <c r="D44" s="490"/>
      <c r="E44" s="42">
        <v>26.2</v>
      </c>
      <c r="F44" s="170">
        <v>6187</v>
      </c>
      <c r="G44" s="159">
        <f t="shared" si="27"/>
        <v>162099.4</v>
      </c>
      <c r="H44" s="125" t="s">
        <v>79</v>
      </c>
      <c r="I44" s="168">
        <v>18</v>
      </c>
      <c r="J44" s="37">
        <v>2400</v>
      </c>
      <c r="K44" s="17">
        <f t="shared" si="1"/>
        <v>133.33333333333334</v>
      </c>
      <c r="L44" s="168">
        <v>18</v>
      </c>
      <c r="M44" s="18">
        <f t="shared" si="28"/>
        <v>2291.4814814814818</v>
      </c>
      <c r="N44" s="17">
        <f t="shared" si="3"/>
        <v>127.30452674897121</v>
      </c>
      <c r="O44" s="19">
        <f t="shared" si="4"/>
        <v>0</v>
      </c>
      <c r="P44" s="20">
        <f t="shared" si="5"/>
        <v>-6.0288065843621297</v>
      </c>
      <c r="Q44" s="158">
        <f t="shared" si="6"/>
        <v>0.95478395061728405</v>
      </c>
      <c r="R44" s="489"/>
      <c r="S44" s="40">
        <v>0.1173611111111111</v>
      </c>
      <c r="T44" s="40">
        <v>0.2298611111111111</v>
      </c>
      <c r="U44" s="159">
        <f t="shared" ref="U44:U49" si="30">(S44-T43)*24*60</f>
        <v>28.999999999999996</v>
      </c>
      <c r="V44" s="169">
        <f t="shared" si="29"/>
        <v>162</v>
      </c>
      <c r="W44" s="159"/>
      <c r="X44" s="159"/>
      <c r="Y44" s="159"/>
      <c r="Z44" s="159"/>
      <c r="AA44" s="491"/>
      <c r="AB44" s="491"/>
      <c r="AC44" s="154"/>
      <c r="AD44" s="25"/>
      <c r="AE44" s="19">
        <f t="shared" si="8"/>
        <v>-108.51851851851825</v>
      </c>
      <c r="AF44" s="158">
        <f t="shared" si="9"/>
        <v>0.95478395061728405</v>
      </c>
      <c r="AG44" s="489"/>
    </row>
    <row r="45" spans="1:33">
      <c r="A45" s="517" t="s">
        <v>61</v>
      </c>
      <c r="B45" s="42" t="s">
        <v>80</v>
      </c>
      <c r="C45" s="490" t="s">
        <v>88</v>
      </c>
      <c r="D45" s="490"/>
      <c r="E45" s="42">
        <v>26.18</v>
      </c>
      <c r="F45" s="170">
        <v>2563</v>
      </c>
      <c r="G45" s="159">
        <f t="shared" si="27"/>
        <v>67099.34</v>
      </c>
      <c r="H45" s="125" t="s">
        <v>79</v>
      </c>
      <c r="I45" s="168">
        <v>19</v>
      </c>
      <c r="J45" s="37">
        <v>2400</v>
      </c>
      <c r="K45" s="17">
        <f t="shared" si="1"/>
        <v>126.31578947368421</v>
      </c>
      <c r="L45" s="168">
        <v>19</v>
      </c>
      <c r="M45" s="18">
        <f t="shared" si="28"/>
        <v>2295.2238805970132</v>
      </c>
      <c r="N45" s="17">
        <f t="shared" si="3"/>
        <v>120.80125687352701</v>
      </c>
      <c r="O45" s="19">
        <f t="shared" si="4"/>
        <v>0</v>
      </c>
      <c r="P45" s="20">
        <f t="shared" si="5"/>
        <v>-5.5145326001571959</v>
      </c>
      <c r="Q45" s="158">
        <f t="shared" si="6"/>
        <v>0.95634328358208887</v>
      </c>
      <c r="R45" s="489"/>
      <c r="S45" s="40">
        <v>0.23333333333333331</v>
      </c>
      <c r="T45" s="40">
        <v>0.27986111111111112</v>
      </c>
      <c r="U45" s="159">
        <f t="shared" si="30"/>
        <v>4.9999999999999822</v>
      </c>
      <c r="V45" s="169">
        <f t="shared" si="29"/>
        <v>67.000000000000043</v>
      </c>
      <c r="W45" s="159"/>
      <c r="X45" s="159"/>
      <c r="Y45" s="159"/>
      <c r="Z45" s="159"/>
      <c r="AA45" s="491"/>
      <c r="AB45" s="491"/>
      <c r="AC45" s="154"/>
      <c r="AD45" s="25"/>
      <c r="AE45" s="19">
        <f t="shared" si="8"/>
        <v>-104.77611940298675</v>
      </c>
      <c r="AF45" s="158">
        <f t="shared" si="9"/>
        <v>0.95634328358208887</v>
      </c>
      <c r="AG45" s="489"/>
    </row>
    <row r="46" spans="1:33">
      <c r="A46" s="517" t="s">
        <v>61</v>
      </c>
      <c r="B46" s="42" t="s">
        <v>80</v>
      </c>
      <c r="C46" s="490" t="s">
        <v>89</v>
      </c>
      <c r="D46" s="490"/>
      <c r="E46" s="42">
        <v>26.39</v>
      </c>
      <c r="F46" s="170">
        <v>6025</v>
      </c>
      <c r="G46" s="159">
        <f t="shared" si="27"/>
        <v>158999.75</v>
      </c>
      <c r="H46" s="125" t="s">
        <v>79</v>
      </c>
      <c r="I46" s="168">
        <v>19</v>
      </c>
      <c r="J46" s="37">
        <v>2400</v>
      </c>
      <c r="K46" s="17">
        <f t="shared" si="1"/>
        <v>126.31578947368421</v>
      </c>
      <c r="L46" s="168">
        <v>19</v>
      </c>
      <c r="M46" s="18">
        <f t="shared" si="28"/>
        <v>2287.9746835443038</v>
      </c>
      <c r="N46" s="17">
        <f t="shared" si="3"/>
        <v>120.41972018654231</v>
      </c>
      <c r="O46" s="19">
        <f t="shared" si="4"/>
        <v>0</v>
      </c>
      <c r="P46" s="20">
        <f t="shared" si="5"/>
        <v>-5.8960692871418985</v>
      </c>
      <c r="Q46" s="158">
        <f t="shared" si="6"/>
        <v>0.95332278481012667</v>
      </c>
      <c r="R46" s="489"/>
      <c r="S46" s="40">
        <v>0.28402777777777777</v>
      </c>
      <c r="T46" s="40">
        <v>0.39374999999999999</v>
      </c>
      <c r="U46" s="159">
        <f t="shared" si="30"/>
        <v>5.9999999999999787</v>
      </c>
      <c r="V46" s="169">
        <f t="shared" si="29"/>
        <v>158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-112.02531645569616</v>
      </c>
      <c r="AF46" s="158">
        <f t="shared" si="9"/>
        <v>0.95332278481012656</v>
      </c>
      <c r="AG46" s="489"/>
    </row>
    <row r="47" spans="1:33">
      <c r="A47" s="517" t="s">
        <v>61</v>
      </c>
      <c r="B47" s="42" t="s">
        <v>80</v>
      </c>
      <c r="C47" s="490" t="s">
        <v>90</v>
      </c>
      <c r="D47" s="490"/>
      <c r="E47" s="42">
        <v>22.69</v>
      </c>
      <c r="F47" s="170">
        <v>2579</v>
      </c>
      <c r="G47" s="159">
        <f t="shared" si="27"/>
        <v>58517.51</v>
      </c>
      <c r="H47" s="125" t="s">
        <v>79</v>
      </c>
      <c r="I47" s="168">
        <v>15</v>
      </c>
      <c r="J47" s="37">
        <v>2400</v>
      </c>
      <c r="K47" s="17">
        <f t="shared" si="1"/>
        <v>160</v>
      </c>
      <c r="L47" s="168">
        <v>15</v>
      </c>
      <c r="M47" s="18">
        <f t="shared" si="28"/>
        <v>2309.5522388059699</v>
      </c>
      <c r="N47" s="17">
        <f t="shared" si="3"/>
        <v>153.97014925373134</v>
      </c>
      <c r="O47" s="19">
        <f t="shared" si="4"/>
        <v>0</v>
      </c>
      <c r="P47" s="20">
        <f t="shared" si="5"/>
        <v>-6.0298507462686644</v>
      </c>
      <c r="Q47" s="158">
        <f t="shared" si="6"/>
        <v>0.96231343283582083</v>
      </c>
      <c r="R47" s="489"/>
      <c r="S47" s="40">
        <v>0.39791666666666664</v>
      </c>
      <c r="T47" s="40">
        <v>0.44444444444444442</v>
      </c>
      <c r="U47" s="159">
        <f t="shared" si="30"/>
        <v>5.9999999999999787</v>
      </c>
      <c r="V47" s="169">
        <f t="shared" si="29"/>
        <v>67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-90.447761194030136</v>
      </c>
      <c r="AF47" s="158">
        <f t="shared" si="9"/>
        <v>0.96231343283582083</v>
      </c>
      <c r="AG47" s="489"/>
    </row>
    <row r="48" spans="1:33">
      <c r="A48" s="517" t="s">
        <v>61</v>
      </c>
      <c r="B48" s="42" t="s">
        <v>80</v>
      </c>
      <c r="C48" s="490" t="s">
        <v>91</v>
      </c>
      <c r="D48" s="490"/>
      <c r="E48" s="42">
        <v>24.45</v>
      </c>
      <c r="F48" s="170">
        <v>2658</v>
      </c>
      <c r="G48" s="159">
        <f t="shared" si="27"/>
        <v>64988.1</v>
      </c>
      <c r="H48" s="125" t="s">
        <v>79</v>
      </c>
      <c r="I48" s="168">
        <v>20</v>
      </c>
      <c r="J48" s="37">
        <v>2400</v>
      </c>
      <c r="K48" s="17">
        <f t="shared" si="1"/>
        <v>120</v>
      </c>
      <c r="L48" s="168">
        <v>20</v>
      </c>
      <c r="M48" s="18">
        <f t="shared" si="28"/>
        <v>2311.304347826087</v>
      </c>
      <c r="N48" s="17">
        <f t="shared" si="3"/>
        <v>115.56521739130434</v>
      </c>
      <c r="O48" s="19">
        <f t="shared" si="4"/>
        <v>0</v>
      </c>
      <c r="P48" s="20">
        <f t="shared" si="5"/>
        <v>-4.4347826086956559</v>
      </c>
      <c r="Q48" s="158">
        <f t="shared" si="6"/>
        <v>0.96304347826086956</v>
      </c>
      <c r="R48" s="489"/>
      <c r="S48" s="40">
        <v>0.44791666666666663</v>
      </c>
      <c r="T48" s="40">
        <v>0.49583333333333329</v>
      </c>
      <c r="U48" s="159">
        <f t="shared" si="30"/>
        <v>4.9999999999999822</v>
      </c>
      <c r="V48" s="169">
        <f t="shared" si="29"/>
        <v>69</v>
      </c>
      <c r="W48" s="23"/>
      <c r="X48" s="23"/>
      <c r="Y48" s="23"/>
      <c r="Z48" s="23"/>
      <c r="AA48" s="491"/>
      <c r="AB48" s="491"/>
      <c r="AC48" s="154"/>
      <c r="AD48" s="25"/>
      <c r="AE48" s="19">
        <f t="shared" si="8"/>
        <v>-88.695652173913004</v>
      </c>
      <c r="AF48" s="158">
        <f t="shared" si="9"/>
        <v>0.96304347826086956</v>
      </c>
      <c r="AG48" s="489"/>
    </row>
    <row r="49" spans="1:33">
      <c r="A49" s="517" t="s">
        <v>61</v>
      </c>
      <c r="B49" s="42" t="s">
        <v>80</v>
      </c>
      <c r="C49" s="490" t="s">
        <v>92</v>
      </c>
      <c r="D49" s="490"/>
      <c r="E49" s="42">
        <v>28.51</v>
      </c>
      <c r="F49" s="170">
        <v>437</v>
      </c>
      <c r="G49" s="159">
        <f t="shared" si="27"/>
        <v>12458.87</v>
      </c>
      <c r="H49" s="125" t="s">
        <v>79</v>
      </c>
      <c r="I49" s="168">
        <v>16</v>
      </c>
      <c r="J49" s="37">
        <v>2400</v>
      </c>
      <c r="K49" s="17">
        <f t="shared" si="1"/>
        <v>150</v>
      </c>
      <c r="L49" s="168">
        <v>16</v>
      </c>
      <c r="M49" s="18">
        <f t="shared" si="28"/>
        <v>2383.6363636363722</v>
      </c>
      <c r="N49" s="17">
        <f t="shared" si="3"/>
        <v>148.97727272727326</v>
      </c>
      <c r="O49" s="19">
        <f t="shared" si="4"/>
        <v>0</v>
      </c>
      <c r="P49" s="20">
        <f t="shared" si="5"/>
        <v>-1.0227272727267405</v>
      </c>
      <c r="Q49" s="158">
        <f t="shared" si="6"/>
        <v>0.99318181818182172</v>
      </c>
      <c r="R49" s="489"/>
      <c r="S49" s="40">
        <v>0.50069444444444444</v>
      </c>
      <c r="T49" s="40">
        <v>0.5083333333333333</v>
      </c>
      <c r="U49" s="159">
        <f t="shared" si="30"/>
        <v>7.0000000000000551</v>
      </c>
      <c r="V49" s="169">
        <f t="shared" si="29"/>
        <v>10.999999999999961</v>
      </c>
      <c r="W49" s="23"/>
      <c r="X49" s="23"/>
      <c r="Y49" s="26"/>
      <c r="Z49" s="26"/>
      <c r="AA49" s="503"/>
      <c r="AB49" s="504"/>
      <c r="AC49" s="154"/>
      <c r="AD49" s="25"/>
      <c r="AE49" s="19">
        <f t="shared" si="8"/>
        <v>-16.363636363627847</v>
      </c>
      <c r="AF49" s="158">
        <f t="shared" si="9"/>
        <v>0.99318181818182172</v>
      </c>
      <c r="AG49" s="489"/>
    </row>
    <row r="50" spans="1:33">
      <c r="A50" s="517" t="s">
        <v>705</v>
      </c>
      <c r="B50" s="44" t="s">
        <v>703</v>
      </c>
      <c r="C50" s="494"/>
      <c r="D50" s="494"/>
      <c r="E50" s="161"/>
      <c r="F50" s="44"/>
      <c r="G50" s="17"/>
      <c r="H50" s="170"/>
      <c r="I50" s="30">
        <v>17.428571428571427</v>
      </c>
      <c r="J50" s="37">
        <v>2400</v>
      </c>
      <c r="K50" s="17">
        <f t="shared" si="1"/>
        <v>137.70491803278691</v>
      </c>
      <c r="L50" s="30">
        <v>17.428571428571427</v>
      </c>
      <c r="M50" s="18">
        <f>AVERAGE(M43:M49)</f>
        <v>2313.1675708416042</v>
      </c>
      <c r="N50" s="17">
        <f t="shared" si="3"/>
        <v>132.72272947451827</v>
      </c>
      <c r="O50" s="19">
        <f t="shared" si="4"/>
        <v>0</v>
      </c>
      <c r="P50" s="20">
        <f t="shared" si="5"/>
        <v>-4.9821885582686321</v>
      </c>
      <c r="Q50" s="158">
        <f t="shared" si="6"/>
        <v>0.96381982118400156</v>
      </c>
      <c r="R50" s="489"/>
      <c r="S50" s="40"/>
      <c r="T50" s="40"/>
      <c r="U50" s="17"/>
      <c r="V50" s="169"/>
      <c r="W50" s="17"/>
      <c r="X50" s="17"/>
      <c r="Y50" s="31">
        <f>SUM(Y43:Y49)</f>
        <v>0</v>
      </c>
      <c r="Z50" s="31">
        <f>SUM(Z43:Z49)</f>
        <v>0</v>
      </c>
      <c r="AA50" s="495"/>
      <c r="AB50" s="495"/>
      <c r="AC50" s="31">
        <v>7</v>
      </c>
      <c r="AD50" s="31">
        <f>SUM(AD43:AD49)</f>
        <v>0</v>
      </c>
      <c r="AE50" s="19">
        <f t="shared" si="8"/>
        <v>-86.832429158395826</v>
      </c>
      <c r="AF50" s="158">
        <f t="shared" si="9"/>
        <v>0.96381982118400178</v>
      </c>
      <c r="AG50" s="489"/>
    </row>
    <row r="51" spans="1:33" ht="15.75" customHeight="1">
      <c r="A51" s="512" t="s">
        <v>706</v>
      </c>
      <c r="B51" s="42" t="s">
        <v>93</v>
      </c>
      <c r="C51" s="501" t="s">
        <v>94</v>
      </c>
      <c r="D51" s="502"/>
      <c r="E51" s="42">
        <v>21.13</v>
      </c>
      <c r="F51" s="170">
        <v>3100</v>
      </c>
      <c r="G51" s="159">
        <f t="shared" ref="G51:G61" si="31">E51*F51</f>
        <v>65503</v>
      </c>
      <c r="H51" s="125">
        <v>2</v>
      </c>
      <c r="I51" s="168">
        <v>10</v>
      </c>
      <c r="J51" s="37">
        <v>3000</v>
      </c>
      <c r="K51" s="17">
        <f t="shared" si="1"/>
        <v>300</v>
      </c>
      <c r="L51" s="168">
        <v>10</v>
      </c>
      <c r="M51" s="18">
        <f t="shared" ref="M51:M61" si="32">F51/V51*60</f>
        <v>2861.5384615384619</v>
      </c>
      <c r="N51" s="18">
        <f t="shared" si="3"/>
        <v>286.15384615384619</v>
      </c>
      <c r="O51" s="19">
        <f t="shared" si="4"/>
        <v>0</v>
      </c>
      <c r="P51" s="20">
        <f t="shared" si="5"/>
        <v>-13.846153846153811</v>
      </c>
      <c r="Q51" s="158">
        <f t="shared" si="6"/>
        <v>0.95384615384615401</v>
      </c>
      <c r="R51" s="509">
        <f>Q62</f>
        <v>0.95879161913011612</v>
      </c>
      <c r="S51" s="40">
        <v>8.3333333333333329E-2</v>
      </c>
      <c r="T51" s="40">
        <v>0.12847222222222221</v>
      </c>
      <c r="U51" s="28"/>
      <c r="V51" s="169">
        <f t="shared" ref="V51:V61" si="33">(T51-S51)*24*60</f>
        <v>64.999999999999986</v>
      </c>
      <c r="W51" s="23">
        <f>T51</f>
        <v>0.12847222222222221</v>
      </c>
      <c r="X51" s="23">
        <f>S52</f>
        <v>0.14583333333333329</v>
      </c>
      <c r="Y51" s="26"/>
      <c r="Z51" s="26"/>
      <c r="AA51" s="503"/>
      <c r="AB51" s="504"/>
      <c r="AC51" s="154" t="s">
        <v>79</v>
      </c>
      <c r="AD51" s="25"/>
      <c r="AE51" s="19">
        <f t="shared" si="8"/>
        <v>-138.46153846153811</v>
      </c>
      <c r="AF51" s="158">
        <f t="shared" si="9"/>
        <v>0.95384615384615401</v>
      </c>
      <c r="AG51" s="509">
        <f>AF62</f>
        <v>0.95879161913011623</v>
      </c>
    </row>
    <row r="52" spans="1:33" ht="15.75" customHeight="1">
      <c r="A52" s="513" t="s">
        <v>706</v>
      </c>
      <c r="B52" s="42" t="s">
        <v>93</v>
      </c>
      <c r="C52" s="501" t="s">
        <v>95</v>
      </c>
      <c r="D52" s="502"/>
      <c r="E52" s="42">
        <v>27.17</v>
      </c>
      <c r="F52" s="170">
        <v>3900</v>
      </c>
      <c r="G52" s="159">
        <f t="shared" si="31"/>
        <v>105963</v>
      </c>
      <c r="H52" s="125">
        <v>2</v>
      </c>
      <c r="I52" s="168">
        <v>10</v>
      </c>
      <c r="J52" s="37">
        <v>3000</v>
      </c>
      <c r="K52" s="17">
        <f t="shared" si="1"/>
        <v>300</v>
      </c>
      <c r="L52" s="168">
        <v>10</v>
      </c>
      <c r="M52" s="18">
        <f t="shared" si="32"/>
        <v>2853.6585365853662</v>
      </c>
      <c r="N52" s="18">
        <f t="shared" si="3"/>
        <v>285.36585365853659</v>
      </c>
      <c r="O52" s="19">
        <f t="shared" si="4"/>
        <v>0</v>
      </c>
      <c r="P52" s="20">
        <f t="shared" si="5"/>
        <v>-14.634146341463406</v>
      </c>
      <c r="Q52" s="158">
        <f t="shared" si="6"/>
        <v>0.95121951219512202</v>
      </c>
      <c r="R52" s="510"/>
      <c r="S52" s="40">
        <v>0.14583333333333329</v>
      </c>
      <c r="T52" s="40">
        <v>0.20277777777777772</v>
      </c>
      <c r="U52" s="159">
        <f t="shared" ref="U52:U61" si="34">(S52-T51)*24*60</f>
        <v>24.99999999999995</v>
      </c>
      <c r="V52" s="169">
        <f t="shared" si="33"/>
        <v>81.999999999999986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-146.34146341463384</v>
      </c>
      <c r="AF52" s="158">
        <f t="shared" si="9"/>
        <v>0.95121951219512202</v>
      </c>
      <c r="AG52" s="510"/>
    </row>
    <row r="53" spans="1:33" ht="15.75" customHeight="1">
      <c r="A53" s="513" t="s">
        <v>65</v>
      </c>
      <c r="B53" s="42" t="s">
        <v>93</v>
      </c>
      <c r="C53" s="501" t="s">
        <v>96</v>
      </c>
      <c r="D53" s="502"/>
      <c r="E53" s="42">
        <v>35.119999999999997</v>
      </c>
      <c r="F53" s="170">
        <v>4938</v>
      </c>
      <c r="G53" s="159">
        <f t="shared" si="31"/>
        <v>173422.56</v>
      </c>
      <c r="H53" s="125" t="s">
        <v>79</v>
      </c>
      <c r="I53" s="168">
        <v>10</v>
      </c>
      <c r="J53" s="37">
        <v>3000</v>
      </c>
      <c r="K53" s="17">
        <f t="shared" si="1"/>
        <v>300</v>
      </c>
      <c r="L53" s="168">
        <v>10</v>
      </c>
      <c r="M53" s="18">
        <f t="shared" si="32"/>
        <v>2876.5048543689322</v>
      </c>
      <c r="N53" s="18">
        <f t="shared" si="3"/>
        <v>287.65048543689323</v>
      </c>
      <c r="O53" s="19">
        <f t="shared" si="4"/>
        <v>0</v>
      </c>
      <c r="P53" s="20">
        <f t="shared" si="5"/>
        <v>-12.349514563106766</v>
      </c>
      <c r="Q53" s="158">
        <f t="shared" si="6"/>
        <v>0.95883495145631081</v>
      </c>
      <c r="R53" s="510"/>
      <c r="S53" s="40">
        <v>0.20833333333333329</v>
      </c>
      <c r="T53" s="40">
        <v>0.27986111111111106</v>
      </c>
      <c r="U53" s="159">
        <f t="shared" si="34"/>
        <v>8.0000000000000107</v>
      </c>
      <c r="V53" s="169">
        <f t="shared" si="33"/>
        <v>103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-123.49514563106777</v>
      </c>
      <c r="AF53" s="158">
        <f t="shared" si="9"/>
        <v>0.9588349514563107</v>
      </c>
      <c r="AG53" s="510"/>
    </row>
    <row r="54" spans="1:33" ht="15.75" customHeight="1">
      <c r="A54" s="513" t="s">
        <v>65</v>
      </c>
      <c r="B54" s="42" t="s">
        <v>93</v>
      </c>
      <c r="C54" s="501" t="s">
        <v>97</v>
      </c>
      <c r="D54" s="502"/>
      <c r="E54" s="42">
        <v>31</v>
      </c>
      <c r="F54" s="170">
        <v>1455</v>
      </c>
      <c r="G54" s="159">
        <f t="shared" si="31"/>
        <v>45105</v>
      </c>
      <c r="H54" s="125" t="s">
        <v>79</v>
      </c>
      <c r="I54" s="168">
        <v>13</v>
      </c>
      <c r="J54" s="37">
        <v>2000</v>
      </c>
      <c r="K54" s="17">
        <f t="shared" si="1"/>
        <v>153.84615384615384</v>
      </c>
      <c r="L54" s="168">
        <v>13</v>
      </c>
      <c r="M54" s="18">
        <f t="shared" si="32"/>
        <v>1940.0000000000002</v>
      </c>
      <c r="N54" s="18">
        <f t="shared" si="3"/>
        <v>149.23076923076925</v>
      </c>
      <c r="O54" s="19">
        <f t="shared" si="4"/>
        <v>0</v>
      </c>
      <c r="P54" s="20">
        <f t="shared" si="5"/>
        <v>-4.6153846153845848</v>
      </c>
      <c r="Q54" s="158">
        <f t="shared" si="6"/>
        <v>0.9700000000000002</v>
      </c>
      <c r="R54" s="510"/>
      <c r="S54" s="40">
        <v>0.28402777777777771</v>
      </c>
      <c r="T54" s="40">
        <v>0.31527777777777771</v>
      </c>
      <c r="U54" s="159">
        <f t="shared" si="34"/>
        <v>5.9999999999999787</v>
      </c>
      <c r="V54" s="169">
        <f t="shared" si="33"/>
        <v>45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-59.999999999999773</v>
      </c>
      <c r="AF54" s="158">
        <f t="shared" si="9"/>
        <v>0.97000000000000008</v>
      </c>
      <c r="AG54" s="510"/>
    </row>
    <row r="55" spans="1:33" ht="15.75" customHeight="1">
      <c r="A55" s="513" t="s">
        <v>706</v>
      </c>
      <c r="B55" s="42" t="s">
        <v>93</v>
      </c>
      <c r="C55" s="501" t="s">
        <v>98</v>
      </c>
      <c r="D55" s="502"/>
      <c r="E55" s="42">
        <v>37.880000000000003</v>
      </c>
      <c r="F55" s="170">
        <v>2032</v>
      </c>
      <c r="G55" s="159">
        <f t="shared" si="31"/>
        <v>76972.160000000003</v>
      </c>
      <c r="H55" s="125" t="s">
        <v>79</v>
      </c>
      <c r="I55" s="168">
        <v>14</v>
      </c>
      <c r="J55" s="37">
        <v>2000</v>
      </c>
      <c r="K55" s="17">
        <f t="shared" si="1"/>
        <v>142.85714285714286</v>
      </c>
      <c r="L55" s="168">
        <v>14</v>
      </c>
      <c r="M55" s="18">
        <f t="shared" si="32"/>
        <v>1904.9999999999995</v>
      </c>
      <c r="N55" s="18">
        <f t="shared" si="3"/>
        <v>136.07142857142853</v>
      </c>
      <c r="O55" s="19">
        <f t="shared" si="4"/>
        <v>0</v>
      </c>
      <c r="P55" s="20">
        <f t="shared" si="5"/>
        <v>-6.7857142857143344</v>
      </c>
      <c r="Q55" s="158">
        <f t="shared" si="6"/>
        <v>0.95249999999999968</v>
      </c>
      <c r="R55" s="510"/>
      <c r="S55" s="40">
        <v>0.32013888888888881</v>
      </c>
      <c r="T55" s="40">
        <v>0.36458333333333326</v>
      </c>
      <c r="U55" s="159">
        <f t="shared" si="34"/>
        <v>6.9999999999999751</v>
      </c>
      <c r="V55" s="169">
        <f t="shared" si="33"/>
        <v>64.000000000000014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-95.000000000000455</v>
      </c>
      <c r="AF55" s="158">
        <f t="shared" si="9"/>
        <v>0.95249999999999979</v>
      </c>
      <c r="AG55" s="510"/>
    </row>
    <row r="56" spans="1:33" ht="15.75" customHeight="1">
      <c r="A56" s="513" t="s">
        <v>65</v>
      </c>
      <c r="B56" s="42" t="s">
        <v>93</v>
      </c>
      <c r="C56" s="501" t="s">
        <v>99</v>
      </c>
      <c r="D56" s="502"/>
      <c r="E56" s="42">
        <v>32.020000000000003</v>
      </c>
      <c r="F56" s="170">
        <v>2255</v>
      </c>
      <c r="G56" s="159">
        <f t="shared" si="31"/>
        <v>72205.100000000006</v>
      </c>
      <c r="H56" s="125" t="s">
        <v>79</v>
      </c>
      <c r="I56" s="168">
        <v>11</v>
      </c>
      <c r="J56" s="37">
        <v>3000</v>
      </c>
      <c r="K56" s="17">
        <f t="shared" si="1"/>
        <v>272.72727272727275</v>
      </c>
      <c r="L56" s="168">
        <v>11</v>
      </c>
      <c r="M56" s="18">
        <f t="shared" si="32"/>
        <v>2878.7234042553196</v>
      </c>
      <c r="N56" s="18">
        <f t="shared" si="3"/>
        <v>261.7021276595745</v>
      </c>
      <c r="O56" s="19">
        <f t="shared" si="4"/>
        <v>0</v>
      </c>
      <c r="P56" s="20">
        <f t="shared" si="5"/>
        <v>-11.025145067698247</v>
      </c>
      <c r="Q56" s="158">
        <f t="shared" si="6"/>
        <v>0.95957446808510638</v>
      </c>
      <c r="R56" s="510"/>
      <c r="S56" s="40">
        <v>0.3701388888888888</v>
      </c>
      <c r="T56" s="40">
        <v>0.40277777777777768</v>
      </c>
      <c r="U56" s="159">
        <f t="shared" si="34"/>
        <v>7.9999999999999716</v>
      </c>
      <c r="V56" s="169">
        <f t="shared" si="33"/>
        <v>46.999999999999993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-121.27659574468044</v>
      </c>
      <c r="AF56" s="158">
        <f t="shared" si="9"/>
        <v>0.95957446808510649</v>
      </c>
      <c r="AG56" s="510"/>
    </row>
    <row r="57" spans="1:33" ht="15.75" customHeight="1">
      <c r="A57" s="513" t="s">
        <v>706</v>
      </c>
      <c r="B57" s="42" t="s">
        <v>93</v>
      </c>
      <c r="C57" s="501" t="s">
        <v>114</v>
      </c>
      <c r="D57" s="502"/>
      <c r="E57" s="42">
        <v>36.14</v>
      </c>
      <c r="F57" s="170">
        <v>1296</v>
      </c>
      <c r="G57" s="159">
        <f t="shared" si="31"/>
        <v>46837.440000000002</v>
      </c>
      <c r="H57" s="125" t="s">
        <v>79</v>
      </c>
      <c r="I57" s="168">
        <v>9</v>
      </c>
      <c r="J57" s="37">
        <v>3000</v>
      </c>
      <c r="K57" s="17">
        <f t="shared" si="1"/>
        <v>333.33333333333331</v>
      </c>
      <c r="L57" s="168">
        <v>9</v>
      </c>
      <c r="M57" s="18">
        <f t="shared" si="32"/>
        <v>2880.0000000000018</v>
      </c>
      <c r="N57" s="18">
        <f t="shared" si="3"/>
        <v>320.00000000000023</v>
      </c>
      <c r="O57" s="19">
        <f t="shared" si="4"/>
        <v>0</v>
      </c>
      <c r="P57" s="20">
        <f t="shared" si="5"/>
        <v>-13.333333333333087</v>
      </c>
      <c r="Q57" s="158">
        <f t="shared" si="6"/>
        <v>0.96000000000000074</v>
      </c>
      <c r="R57" s="510"/>
      <c r="S57" s="40">
        <v>0.40763888888888877</v>
      </c>
      <c r="T57" s="40">
        <v>0.42638888888888876</v>
      </c>
      <c r="U57" s="159">
        <f t="shared" si="34"/>
        <v>6.9999999999999751</v>
      </c>
      <c r="V57" s="169">
        <f t="shared" si="33"/>
        <v>26.999999999999986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-119.99999999999818</v>
      </c>
      <c r="AF57" s="158">
        <f t="shared" si="9"/>
        <v>0.96000000000000063</v>
      </c>
      <c r="AG57" s="510"/>
    </row>
    <row r="58" spans="1:33" ht="15.75" customHeight="1">
      <c r="A58" s="513" t="s">
        <v>65</v>
      </c>
      <c r="B58" s="42" t="s">
        <v>93</v>
      </c>
      <c r="C58" s="501" t="s">
        <v>112</v>
      </c>
      <c r="D58" s="502"/>
      <c r="E58" s="42">
        <v>35.869999999999997</v>
      </c>
      <c r="F58" s="170">
        <v>3184</v>
      </c>
      <c r="G58" s="159">
        <f t="shared" si="31"/>
        <v>114210.07999999999</v>
      </c>
      <c r="H58" s="125" t="s">
        <v>79</v>
      </c>
      <c r="I58" s="168">
        <v>9</v>
      </c>
      <c r="J58" s="37">
        <v>3000</v>
      </c>
      <c r="K58" s="17">
        <f t="shared" si="1"/>
        <v>333.33333333333331</v>
      </c>
      <c r="L58" s="168">
        <v>9</v>
      </c>
      <c r="M58" s="18">
        <f t="shared" si="32"/>
        <v>2894.5454545454545</v>
      </c>
      <c r="N58" s="18">
        <f t="shared" si="3"/>
        <v>321.61616161616161</v>
      </c>
      <c r="O58" s="19">
        <f t="shared" si="4"/>
        <v>0</v>
      </c>
      <c r="P58" s="20">
        <f t="shared" si="5"/>
        <v>-11.717171717171709</v>
      </c>
      <c r="Q58" s="158">
        <f t="shared" si="6"/>
        <v>0.96484848484848484</v>
      </c>
      <c r="R58" s="510"/>
      <c r="S58" s="40">
        <v>0.4319444444444443</v>
      </c>
      <c r="T58" s="40">
        <v>0.47777777777777763</v>
      </c>
      <c r="U58" s="159">
        <f t="shared" si="34"/>
        <v>7.9999999999999716</v>
      </c>
      <c r="V58" s="169">
        <f t="shared" si="33"/>
        <v>66</v>
      </c>
      <c r="W58" s="23"/>
      <c r="X58" s="23"/>
      <c r="Y58" s="26"/>
      <c r="Z58" s="26"/>
      <c r="AA58" s="503"/>
      <c r="AB58" s="504"/>
      <c r="AC58" s="154" t="s">
        <v>79</v>
      </c>
      <c r="AD58" s="25"/>
      <c r="AE58" s="19">
        <f t="shared" si="8"/>
        <v>-105.4545454545455</v>
      </c>
      <c r="AF58" s="158">
        <f t="shared" si="9"/>
        <v>0.96484848484848484</v>
      </c>
      <c r="AG58" s="510"/>
    </row>
    <row r="59" spans="1:33" ht="15.75" customHeight="1">
      <c r="A59" s="513" t="s">
        <v>65</v>
      </c>
      <c r="B59" s="42" t="s">
        <v>93</v>
      </c>
      <c r="C59" s="501" t="s">
        <v>113</v>
      </c>
      <c r="D59" s="502"/>
      <c r="E59" s="42">
        <v>34.36</v>
      </c>
      <c r="F59" s="170">
        <v>1810</v>
      </c>
      <c r="G59" s="159">
        <f t="shared" si="31"/>
        <v>62191.6</v>
      </c>
      <c r="H59" s="125" t="s">
        <v>79</v>
      </c>
      <c r="I59" s="168">
        <v>10</v>
      </c>
      <c r="J59" s="37">
        <v>3000</v>
      </c>
      <c r="K59" s="17">
        <f t="shared" si="1"/>
        <v>300</v>
      </c>
      <c r="L59" s="168">
        <v>10</v>
      </c>
      <c r="M59" s="18">
        <f t="shared" si="32"/>
        <v>2857.8947368421032</v>
      </c>
      <c r="N59" s="18">
        <f t="shared" si="3"/>
        <v>285.78947368421029</v>
      </c>
      <c r="O59" s="19">
        <f t="shared" si="4"/>
        <v>0</v>
      </c>
      <c r="P59" s="20">
        <f t="shared" si="5"/>
        <v>-14.210526315789707</v>
      </c>
      <c r="Q59" s="158">
        <f t="shared" si="6"/>
        <v>0.95263157894736761</v>
      </c>
      <c r="R59" s="510"/>
      <c r="S59" s="40">
        <v>0.48263888888888873</v>
      </c>
      <c r="T59" s="40">
        <v>0.50902777777777763</v>
      </c>
      <c r="U59" s="159">
        <f t="shared" si="34"/>
        <v>6.9999999999999751</v>
      </c>
      <c r="V59" s="169">
        <f t="shared" si="33"/>
        <v>38.000000000000028</v>
      </c>
      <c r="W59" s="23">
        <f>T59</f>
        <v>0.50902777777777763</v>
      </c>
      <c r="X59" s="23">
        <f>S60</f>
        <v>0.54861111111111094</v>
      </c>
      <c r="Y59" s="26"/>
      <c r="Z59" s="26"/>
      <c r="AA59" s="503"/>
      <c r="AB59" s="504"/>
      <c r="AC59" s="154" t="s">
        <v>79</v>
      </c>
      <c r="AD59" s="25"/>
      <c r="AE59" s="19">
        <f t="shared" si="8"/>
        <v>-142.10526315789684</v>
      </c>
      <c r="AF59" s="158">
        <f t="shared" si="9"/>
        <v>0.95263157894736772</v>
      </c>
      <c r="AG59" s="510"/>
    </row>
    <row r="60" spans="1:33" ht="15.75" customHeight="1">
      <c r="A60" s="513" t="s">
        <v>65</v>
      </c>
      <c r="B60" s="42" t="s">
        <v>93</v>
      </c>
      <c r="C60" s="501" t="s">
        <v>95</v>
      </c>
      <c r="D60" s="502"/>
      <c r="E60" s="42">
        <v>27.17</v>
      </c>
      <c r="F60" s="170">
        <v>3055</v>
      </c>
      <c r="G60" s="159">
        <f t="shared" si="31"/>
        <v>83004.350000000006</v>
      </c>
      <c r="H60" s="125" t="s">
        <v>79</v>
      </c>
      <c r="I60" s="168">
        <v>10</v>
      </c>
      <c r="J60" s="37">
        <v>3000</v>
      </c>
      <c r="K60" s="17">
        <f t="shared" si="1"/>
        <v>300</v>
      </c>
      <c r="L60" s="168">
        <v>10</v>
      </c>
      <c r="M60" s="18">
        <f t="shared" si="32"/>
        <v>2864.0625000000032</v>
      </c>
      <c r="N60" s="18">
        <f t="shared" si="3"/>
        <v>286.40625000000034</v>
      </c>
      <c r="O60" s="19">
        <f t="shared" si="4"/>
        <v>0</v>
      </c>
      <c r="P60" s="20">
        <f t="shared" si="5"/>
        <v>-13.593749999999659</v>
      </c>
      <c r="Q60" s="158">
        <f t="shared" si="6"/>
        <v>0.95468750000000113</v>
      </c>
      <c r="R60" s="510"/>
      <c r="S60" s="40">
        <v>0.54861111111111094</v>
      </c>
      <c r="T60" s="40">
        <v>0.59305555555555534</v>
      </c>
      <c r="U60" s="159">
        <f t="shared" si="34"/>
        <v>56.999999999999957</v>
      </c>
      <c r="V60" s="169">
        <f t="shared" si="33"/>
        <v>63.999999999999929</v>
      </c>
      <c r="W60" s="23"/>
      <c r="X60" s="23"/>
      <c r="Y60" s="26"/>
      <c r="Z60" s="26"/>
      <c r="AA60" s="503"/>
      <c r="AB60" s="504"/>
      <c r="AC60" s="154" t="s">
        <v>79</v>
      </c>
      <c r="AD60" s="25"/>
      <c r="AE60" s="19">
        <f t="shared" si="8"/>
        <v>-135.93749999999682</v>
      </c>
      <c r="AF60" s="158">
        <f t="shared" si="9"/>
        <v>0.95468750000000102</v>
      </c>
      <c r="AG60" s="510"/>
    </row>
    <row r="61" spans="1:33" ht="15.75" customHeight="1">
      <c r="A61" s="513" t="s">
        <v>65</v>
      </c>
      <c r="B61" s="42" t="s">
        <v>93</v>
      </c>
      <c r="C61" s="501" t="s">
        <v>94</v>
      </c>
      <c r="D61" s="502"/>
      <c r="E61" s="42">
        <v>21.13</v>
      </c>
      <c r="F61" s="170">
        <v>2377</v>
      </c>
      <c r="G61" s="159">
        <f t="shared" si="31"/>
        <v>50226.009999999995</v>
      </c>
      <c r="H61" s="125" t="s">
        <v>79</v>
      </c>
      <c r="I61" s="168">
        <v>10</v>
      </c>
      <c r="J61" s="37">
        <v>3000</v>
      </c>
      <c r="K61" s="17">
        <f t="shared" si="1"/>
        <v>300</v>
      </c>
      <c r="L61" s="168">
        <v>10</v>
      </c>
      <c r="M61" s="18">
        <f t="shared" si="32"/>
        <v>2910.61224489796</v>
      </c>
      <c r="N61" s="18">
        <f t="shared" si="3"/>
        <v>291.06122448979602</v>
      </c>
      <c r="O61" s="19">
        <f t="shared" si="4"/>
        <v>0</v>
      </c>
      <c r="P61" s="20">
        <f t="shared" si="5"/>
        <v>-8.9387755102039819</v>
      </c>
      <c r="Q61" s="158">
        <f t="shared" si="6"/>
        <v>0.97020408163265337</v>
      </c>
      <c r="R61" s="510"/>
      <c r="S61" s="40">
        <v>0.59861111111111087</v>
      </c>
      <c r="T61" s="40">
        <v>0.63263888888888864</v>
      </c>
      <c r="U61" s="159">
        <f t="shared" si="34"/>
        <v>7.9999999999999716</v>
      </c>
      <c r="V61" s="169">
        <f t="shared" si="33"/>
        <v>48.999999999999986</v>
      </c>
      <c r="W61" s="23"/>
      <c r="X61" s="23"/>
      <c r="Y61" s="26"/>
      <c r="Z61" s="26"/>
      <c r="AA61" s="503"/>
      <c r="AB61" s="504"/>
      <c r="AC61" s="154" t="s">
        <v>79</v>
      </c>
      <c r="AD61" s="25"/>
      <c r="AE61" s="19">
        <f t="shared" si="8"/>
        <v>-89.387755102040046</v>
      </c>
      <c r="AF61" s="158">
        <f t="shared" si="9"/>
        <v>0.97020408163265337</v>
      </c>
      <c r="AG61" s="510"/>
    </row>
    <row r="62" spans="1:33" ht="15.75" customHeight="1">
      <c r="A62" s="514" t="s">
        <v>65</v>
      </c>
      <c r="B62" s="42" t="s">
        <v>71</v>
      </c>
      <c r="C62" s="492"/>
      <c r="D62" s="493"/>
      <c r="E62" s="160"/>
      <c r="F62" s="170"/>
      <c r="G62" s="159"/>
      <c r="H62" s="170"/>
      <c r="I62" s="30">
        <v>10.545454545454545</v>
      </c>
      <c r="J62" s="37">
        <v>2818.181818181818</v>
      </c>
      <c r="K62" s="17">
        <f t="shared" si="1"/>
        <v>267.24137931034483</v>
      </c>
      <c r="L62" s="30">
        <v>10.545454545454545</v>
      </c>
      <c r="M62" s="18">
        <f>AVERAGE(M51:M61)</f>
        <v>2702.0491084576001</v>
      </c>
      <c r="N62" s="17">
        <f t="shared" si="3"/>
        <v>256.22879476753104</v>
      </c>
      <c r="O62" s="19">
        <f t="shared" si="4"/>
        <v>0</v>
      </c>
      <c r="P62" s="20">
        <f t="shared" si="5"/>
        <v>-11.012584542813784</v>
      </c>
      <c r="Q62" s="158">
        <f t="shared" si="6"/>
        <v>0.95879161913011612</v>
      </c>
      <c r="R62" s="511"/>
      <c r="S62" s="40"/>
      <c r="T62" s="40"/>
      <c r="U62" s="159"/>
      <c r="V62" s="169"/>
      <c r="W62" s="23"/>
      <c r="X62" s="23"/>
      <c r="Y62" s="31">
        <f>SUM(Y51:Y61)</f>
        <v>0</v>
      </c>
      <c r="Z62" s="31">
        <f>SUM(Z51:Z61)</f>
        <v>0</v>
      </c>
      <c r="AA62" s="505"/>
      <c r="AB62" s="506"/>
      <c r="AC62" s="31">
        <v>0</v>
      </c>
      <c r="AD62" s="31">
        <f>SUM(AD51:AD61)</f>
        <v>0</v>
      </c>
      <c r="AE62" s="19">
        <f t="shared" si="8"/>
        <v>-116.13270972421788</v>
      </c>
      <c r="AF62" s="158">
        <f t="shared" si="9"/>
        <v>0.95879161913011623</v>
      </c>
      <c r="AG62" s="511"/>
    </row>
    <row r="63" spans="1:33" ht="15.75" customHeight="1">
      <c r="A63" s="507" t="s">
        <v>67</v>
      </c>
      <c r="B63" s="42" t="s">
        <v>100</v>
      </c>
      <c r="C63" s="490" t="s">
        <v>101</v>
      </c>
      <c r="D63" s="490"/>
      <c r="E63" s="42">
        <v>46</v>
      </c>
      <c r="F63" s="46">
        <v>1404</v>
      </c>
      <c r="G63" s="159">
        <f t="shared" ref="G63:G70" si="35">E63*F63</f>
        <v>64584</v>
      </c>
      <c r="H63" s="125" t="s">
        <v>79</v>
      </c>
      <c r="I63" s="168">
        <v>17</v>
      </c>
      <c r="J63" s="37">
        <v>2000</v>
      </c>
      <c r="K63" s="17">
        <f t="shared" si="1"/>
        <v>117.64705882352941</v>
      </c>
      <c r="L63" s="168">
        <v>17</v>
      </c>
      <c r="M63" s="18">
        <f t="shared" ref="M63:M70" si="36">F63/V63*60</f>
        <v>1914.5454545454545</v>
      </c>
      <c r="N63" s="18">
        <f t="shared" si="3"/>
        <v>112.62032085561498</v>
      </c>
      <c r="O63" s="19">
        <f t="shared" si="4"/>
        <v>0</v>
      </c>
      <c r="P63" s="20">
        <f t="shared" si="5"/>
        <v>-5.0267379679144284</v>
      </c>
      <c r="Q63" s="158">
        <f t="shared" si="6"/>
        <v>0.95727272727272739</v>
      </c>
      <c r="R63" s="489">
        <f>Q71</f>
        <v>0.92771719268641695</v>
      </c>
      <c r="S63" s="40">
        <v>0.20833333333333334</v>
      </c>
      <c r="T63" s="40">
        <v>0.2388888888888889</v>
      </c>
      <c r="U63" s="28"/>
      <c r="V63" s="169">
        <f t="shared" ref="V63:V70" si="37">(T63-S63)*24*60</f>
        <v>44</v>
      </c>
      <c r="W63" s="28"/>
      <c r="X63" s="28"/>
      <c r="Y63" s="28"/>
      <c r="Z63" s="28"/>
      <c r="AA63" s="491"/>
      <c r="AB63" s="491"/>
      <c r="AC63" s="154">
        <v>5</v>
      </c>
      <c r="AD63" s="25"/>
      <c r="AE63" s="19">
        <f t="shared" si="8"/>
        <v>-85.454545454545496</v>
      </c>
      <c r="AF63" s="158">
        <f t="shared" si="9"/>
        <v>0.95727272727272728</v>
      </c>
      <c r="AG63" s="489">
        <f>AF71</f>
        <v>0.92771719268641695</v>
      </c>
    </row>
    <row r="64" spans="1:33" ht="15.75" customHeight="1">
      <c r="A64" s="507" t="s">
        <v>67</v>
      </c>
      <c r="B64" s="42" t="s">
        <v>100</v>
      </c>
      <c r="C64" s="490" t="s">
        <v>102</v>
      </c>
      <c r="D64" s="490"/>
      <c r="E64" s="42">
        <v>46</v>
      </c>
      <c r="F64" s="46">
        <v>1464</v>
      </c>
      <c r="G64" s="159">
        <f t="shared" si="35"/>
        <v>67344</v>
      </c>
      <c r="H64" s="125" t="s">
        <v>79</v>
      </c>
      <c r="I64" s="168">
        <v>17</v>
      </c>
      <c r="J64" s="37">
        <v>2000</v>
      </c>
      <c r="K64" s="17">
        <f t="shared" si="1"/>
        <v>117.64705882352941</v>
      </c>
      <c r="L64" s="168">
        <v>17</v>
      </c>
      <c r="M64" s="18">
        <f t="shared" si="36"/>
        <v>1909.5652173913043</v>
      </c>
      <c r="N64" s="18">
        <f t="shared" si="3"/>
        <v>112.32736572890025</v>
      </c>
      <c r="O64" s="19">
        <f t="shared" si="4"/>
        <v>0</v>
      </c>
      <c r="P64" s="20">
        <f t="shared" si="5"/>
        <v>-5.3196930946291587</v>
      </c>
      <c r="Q64" s="158">
        <f t="shared" si="6"/>
        <v>0.95478260869565212</v>
      </c>
      <c r="R64" s="489"/>
      <c r="S64" s="40">
        <v>0.24375000000000002</v>
      </c>
      <c r="T64" s="40">
        <v>0.27569444444444446</v>
      </c>
      <c r="U64" s="159">
        <f t="shared" ref="U64:U70" si="38">IF(S64=TIME(17,0,0),"",(S64-T63)*24*60)</f>
        <v>7.0000000000000151</v>
      </c>
      <c r="V64" s="169">
        <f t="shared" si="37"/>
        <v>46</v>
      </c>
      <c r="W64" s="23"/>
      <c r="X64" s="23"/>
      <c r="Y64" s="23"/>
      <c r="Z64" s="23"/>
      <c r="AA64" s="491"/>
      <c r="AB64" s="491"/>
      <c r="AC64" s="154"/>
      <c r="AD64" s="25"/>
      <c r="AE64" s="19">
        <f t="shared" si="8"/>
        <v>-90.434782608695741</v>
      </c>
      <c r="AF64" s="158">
        <f t="shared" si="9"/>
        <v>0.95478260869565212</v>
      </c>
      <c r="AG64" s="489"/>
    </row>
    <row r="65" spans="1:33" ht="15.75" customHeight="1">
      <c r="A65" s="507" t="s">
        <v>67</v>
      </c>
      <c r="B65" s="42" t="s">
        <v>103</v>
      </c>
      <c r="C65" s="501" t="s">
        <v>105</v>
      </c>
      <c r="D65" s="502"/>
      <c r="E65" s="42">
        <v>56.43</v>
      </c>
      <c r="F65" s="46">
        <v>2278</v>
      </c>
      <c r="G65" s="159">
        <f t="shared" si="35"/>
        <v>128547.54</v>
      </c>
      <c r="H65" s="125" t="s">
        <v>79</v>
      </c>
      <c r="I65" s="168">
        <v>22</v>
      </c>
      <c r="J65" s="37">
        <v>2000</v>
      </c>
      <c r="K65" s="17">
        <f t="shared" si="1"/>
        <v>90.909090909090907</v>
      </c>
      <c r="L65" s="168">
        <v>22</v>
      </c>
      <c r="M65" s="18">
        <f t="shared" si="36"/>
        <v>1666.8292682926824</v>
      </c>
      <c r="N65" s="18">
        <f t="shared" si="3"/>
        <v>75.764966740576469</v>
      </c>
      <c r="O65" s="19">
        <f t="shared" si="4"/>
        <v>0</v>
      </c>
      <c r="P65" s="20">
        <f t="shared" si="5"/>
        <v>-15.144124168514438</v>
      </c>
      <c r="Q65" s="158">
        <f t="shared" si="6"/>
        <v>0.8334146341463412</v>
      </c>
      <c r="R65" s="489"/>
      <c r="S65" s="40">
        <v>0.27916666666666667</v>
      </c>
      <c r="T65" s="40">
        <v>0.33611111111111114</v>
      </c>
      <c r="U65" s="159">
        <f t="shared" si="38"/>
        <v>4.9999999999999822</v>
      </c>
      <c r="V65" s="169">
        <f t="shared" si="37"/>
        <v>82.000000000000028</v>
      </c>
      <c r="W65" s="23"/>
      <c r="X65" s="23"/>
      <c r="Y65" s="26"/>
      <c r="Z65" s="26"/>
      <c r="AA65" s="491"/>
      <c r="AB65" s="491"/>
      <c r="AC65" s="154"/>
      <c r="AD65" s="25"/>
      <c r="AE65" s="19">
        <f t="shared" si="8"/>
        <v>-333.1707317073176</v>
      </c>
      <c r="AF65" s="158">
        <f t="shared" si="9"/>
        <v>0.8334146341463412</v>
      </c>
      <c r="AG65" s="489"/>
    </row>
    <row r="66" spans="1:33" ht="15.75" customHeight="1">
      <c r="A66" s="507" t="s">
        <v>67</v>
      </c>
      <c r="B66" s="42" t="s">
        <v>103</v>
      </c>
      <c r="C66" s="163" t="s">
        <v>518</v>
      </c>
      <c r="D66" s="164"/>
      <c r="E66" s="42">
        <v>49.44</v>
      </c>
      <c r="F66" s="46">
        <v>3020</v>
      </c>
      <c r="G66" s="159">
        <f t="shared" si="35"/>
        <v>149308.79999999999</v>
      </c>
      <c r="H66" s="125" t="s">
        <v>79</v>
      </c>
      <c r="I66" s="168">
        <v>25</v>
      </c>
      <c r="J66" s="37">
        <v>2000</v>
      </c>
      <c r="K66" s="17">
        <f t="shared" si="1"/>
        <v>80</v>
      </c>
      <c r="L66" s="168">
        <v>25</v>
      </c>
      <c r="M66" s="18">
        <f t="shared" si="36"/>
        <v>1677.7777777777776</v>
      </c>
      <c r="N66" s="18">
        <f t="shared" si="3"/>
        <v>67.1111111111111</v>
      </c>
      <c r="O66" s="19">
        <f t="shared" si="4"/>
        <v>0</v>
      </c>
      <c r="P66" s="20">
        <f t="shared" si="5"/>
        <v>-12.8888888888889</v>
      </c>
      <c r="Q66" s="158">
        <f t="shared" si="6"/>
        <v>0.8388888888888888</v>
      </c>
      <c r="R66" s="489"/>
      <c r="S66" s="40">
        <v>0.34027777777777779</v>
      </c>
      <c r="T66" s="40">
        <v>0.4152777777777778</v>
      </c>
      <c r="U66" s="159">
        <f t="shared" si="38"/>
        <v>5.9999999999999787</v>
      </c>
      <c r="V66" s="169">
        <f t="shared" si="37"/>
        <v>108.00000000000001</v>
      </c>
      <c r="W66" s="23"/>
      <c r="X66" s="23"/>
      <c r="Y66" s="26"/>
      <c r="Z66" s="26"/>
      <c r="AA66" s="491"/>
      <c r="AB66" s="491"/>
      <c r="AC66" s="154"/>
      <c r="AD66" s="25"/>
      <c r="AE66" s="19">
        <f t="shared" si="8"/>
        <v>-322.2222222222224</v>
      </c>
      <c r="AF66" s="158">
        <f t="shared" si="9"/>
        <v>0.8388888888888888</v>
      </c>
      <c r="AG66" s="489"/>
    </row>
    <row r="67" spans="1:33" ht="15.75" customHeight="1">
      <c r="A67" s="507" t="s">
        <v>67</v>
      </c>
      <c r="B67" s="42" t="s">
        <v>103</v>
      </c>
      <c r="C67" s="163" t="s">
        <v>106</v>
      </c>
      <c r="D67" s="164"/>
      <c r="E67" s="42">
        <v>55.56</v>
      </c>
      <c r="F67" s="46">
        <v>2077</v>
      </c>
      <c r="G67" s="159">
        <f t="shared" si="35"/>
        <v>115398.12000000001</v>
      </c>
      <c r="H67" s="125" t="s">
        <v>79</v>
      </c>
      <c r="I67" s="168">
        <v>17</v>
      </c>
      <c r="J67" s="37">
        <v>2000</v>
      </c>
      <c r="K67" s="17">
        <f t="shared" si="1"/>
        <v>117.64705882352941</v>
      </c>
      <c r="L67" s="168">
        <v>17</v>
      </c>
      <c r="M67" s="18">
        <f t="shared" si="36"/>
        <v>1917.2307692307713</v>
      </c>
      <c r="N67" s="18">
        <f t="shared" si="3"/>
        <v>112.77828054298655</v>
      </c>
      <c r="O67" s="19">
        <f t="shared" si="4"/>
        <v>0</v>
      </c>
      <c r="P67" s="20">
        <f t="shared" si="5"/>
        <v>-4.8687782805428554</v>
      </c>
      <c r="Q67" s="158">
        <f t="shared" si="6"/>
        <v>0.95861538461538576</v>
      </c>
      <c r="R67" s="489"/>
      <c r="S67" s="40">
        <v>0.70833333333333337</v>
      </c>
      <c r="T67" s="40">
        <v>0.75347222222222221</v>
      </c>
      <c r="U67" s="159" t="str">
        <f t="shared" si="38"/>
        <v/>
      </c>
      <c r="V67" s="169">
        <f t="shared" si="37"/>
        <v>64.999999999999929</v>
      </c>
      <c r="W67" s="23"/>
      <c r="X67" s="23"/>
      <c r="Y67" s="26"/>
      <c r="Z67" s="26"/>
      <c r="AA67" s="491"/>
      <c r="AB67" s="491"/>
      <c r="AC67" s="154"/>
      <c r="AD67" s="25"/>
      <c r="AE67" s="19">
        <f t="shared" si="8"/>
        <v>-82.76923076922867</v>
      </c>
      <c r="AF67" s="158">
        <f t="shared" si="9"/>
        <v>0.95861538461538565</v>
      </c>
      <c r="AG67" s="489"/>
    </row>
    <row r="68" spans="1:33" ht="15.75" customHeight="1">
      <c r="A68" s="507" t="s">
        <v>67</v>
      </c>
      <c r="B68" s="42" t="s">
        <v>103</v>
      </c>
      <c r="C68" s="501" t="s">
        <v>107</v>
      </c>
      <c r="D68" s="502"/>
      <c r="E68" s="42">
        <v>55.32</v>
      </c>
      <c r="F68" s="46">
        <v>1505</v>
      </c>
      <c r="G68" s="159">
        <f t="shared" si="35"/>
        <v>83256.600000000006</v>
      </c>
      <c r="H68" s="125" t="s">
        <v>79</v>
      </c>
      <c r="I68" s="168">
        <v>15</v>
      </c>
      <c r="J68" s="37">
        <v>2000</v>
      </c>
      <c r="K68" s="17">
        <f t="shared" si="1"/>
        <v>133.33333333333334</v>
      </c>
      <c r="L68" s="168">
        <v>15</v>
      </c>
      <c r="M68" s="18">
        <f t="shared" si="36"/>
        <v>1921.2765957446813</v>
      </c>
      <c r="N68" s="18">
        <f t="shared" si="3"/>
        <v>128.08510638297875</v>
      </c>
      <c r="O68" s="19">
        <f t="shared" si="4"/>
        <v>0</v>
      </c>
      <c r="P68" s="20">
        <f t="shared" si="5"/>
        <v>-5.2482269503545922</v>
      </c>
      <c r="Q68" s="158">
        <f t="shared" si="6"/>
        <v>0.96063829787234056</v>
      </c>
      <c r="R68" s="489"/>
      <c r="S68" s="40">
        <v>0.75902777777777775</v>
      </c>
      <c r="T68" s="40">
        <v>0.79166666666666663</v>
      </c>
      <c r="U68" s="159">
        <f t="shared" si="38"/>
        <v>7.9999999999999716</v>
      </c>
      <c r="V68" s="169">
        <f t="shared" si="37"/>
        <v>46.999999999999993</v>
      </c>
      <c r="W68" s="23"/>
      <c r="X68" s="23"/>
      <c r="Y68" s="26"/>
      <c r="Z68" s="26"/>
      <c r="AA68" s="503"/>
      <c r="AB68" s="504"/>
      <c r="AC68" s="154"/>
      <c r="AD68" s="25"/>
      <c r="AE68" s="19">
        <f t="shared" si="8"/>
        <v>-78.723404255318655</v>
      </c>
      <c r="AF68" s="158">
        <f t="shared" si="9"/>
        <v>0.96063829787234067</v>
      </c>
      <c r="AG68" s="489"/>
    </row>
    <row r="69" spans="1:33" ht="15.75" customHeight="1">
      <c r="A69" s="507" t="s">
        <v>67</v>
      </c>
      <c r="B69" s="42" t="s">
        <v>103</v>
      </c>
      <c r="C69" s="501" t="s">
        <v>516</v>
      </c>
      <c r="D69" s="502"/>
      <c r="E69" s="42">
        <v>48.36</v>
      </c>
      <c r="F69" s="46">
        <v>1600</v>
      </c>
      <c r="G69" s="159">
        <f t="shared" si="35"/>
        <v>77376</v>
      </c>
      <c r="H69" s="125">
        <v>2</v>
      </c>
      <c r="I69" s="168">
        <v>16</v>
      </c>
      <c r="J69" s="37">
        <v>2000</v>
      </c>
      <c r="K69" s="17">
        <f t="shared" ref="K69:K84" si="39">J69/I69</f>
        <v>125</v>
      </c>
      <c r="L69" s="168">
        <v>16</v>
      </c>
      <c r="M69" s="18">
        <f t="shared" si="36"/>
        <v>1920.0000000000005</v>
      </c>
      <c r="N69" s="18">
        <f t="shared" ref="N69:N84" si="40">M69/L69</f>
        <v>120.00000000000003</v>
      </c>
      <c r="O69" s="19">
        <f t="shared" ref="O69:O84" si="41">L69-I69</f>
        <v>0</v>
      </c>
      <c r="P69" s="20">
        <f t="shared" ref="P69:P84" si="42">N69-K69</f>
        <v>-4.9999999999999716</v>
      </c>
      <c r="Q69" s="158">
        <f t="shared" ref="Q69:Q84" si="43">N69/K69</f>
        <v>0.96000000000000019</v>
      </c>
      <c r="R69" s="489"/>
      <c r="S69" s="40">
        <v>0.79583333333333328</v>
      </c>
      <c r="T69" s="40">
        <v>0.83055555555555549</v>
      </c>
      <c r="U69" s="159">
        <f t="shared" si="38"/>
        <v>5.9999999999999787</v>
      </c>
      <c r="V69" s="169">
        <f t="shared" si="37"/>
        <v>49.999999999999986</v>
      </c>
      <c r="W69" s="23">
        <f>T69</f>
        <v>0.83055555555555549</v>
      </c>
      <c r="X69" s="23">
        <f>S70</f>
        <v>0.87083333333333324</v>
      </c>
      <c r="Y69" s="26"/>
      <c r="Z69" s="26"/>
      <c r="AA69" s="503"/>
      <c r="AB69" s="504"/>
      <c r="AC69" s="154"/>
      <c r="AD69" s="25"/>
      <c r="AE69" s="19">
        <f t="shared" ref="AE69:AE84" si="44">M69-J69</f>
        <v>-79.999999999999545</v>
      </c>
      <c r="AF69" s="158">
        <f t="shared" ref="AF69:AF84" si="45">M69/J69</f>
        <v>0.96000000000000019</v>
      </c>
      <c r="AG69" s="489"/>
    </row>
    <row r="70" spans="1:33" ht="15.75" customHeight="1">
      <c r="A70" s="507" t="s">
        <v>67</v>
      </c>
      <c r="B70" s="42" t="s">
        <v>103</v>
      </c>
      <c r="C70" s="501" t="s">
        <v>516</v>
      </c>
      <c r="D70" s="502"/>
      <c r="E70" s="42">
        <v>48.36</v>
      </c>
      <c r="F70" s="46">
        <v>3066</v>
      </c>
      <c r="G70" s="159">
        <f t="shared" si="35"/>
        <v>148271.76</v>
      </c>
      <c r="H70" s="125" t="s">
        <v>79</v>
      </c>
      <c r="I70" s="168">
        <v>16</v>
      </c>
      <c r="J70" s="37">
        <v>2000</v>
      </c>
      <c r="K70" s="17">
        <f t="shared" si="39"/>
        <v>125</v>
      </c>
      <c r="L70" s="168">
        <v>16</v>
      </c>
      <c r="M70" s="18">
        <f t="shared" si="36"/>
        <v>1916.2500000000007</v>
      </c>
      <c r="N70" s="18">
        <f t="shared" si="40"/>
        <v>119.76562500000004</v>
      </c>
      <c r="O70" s="19">
        <f t="shared" si="41"/>
        <v>0</v>
      </c>
      <c r="P70" s="20">
        <f t="shared" si="42"/>
        <v>-5.2343749999999574</v>
      </c>
      <c r="Q70" s="158">
        <f t="shared" si="43"/>
        <v>0.95812500000000034</v>
      </c>
      <c r="R70" s="489"/>
      <c r="S70" s="40">
        <v>0.87083333333333324</v>
      </c>
      <c r="T70" s="40">
        <v>0.93749999999999989</v>
      </c>
      <c r="U70" s="159">
        <f t="shared" si="38"/>
        <v>57.999999999999957</v>
      </c>
      <c r="V70" s="169">
        <f t="shared" si="37"/>
        <v>95.999999999999972</v>
      </c>
      <c r="W70" s="23"/>
      <c r="X70" s="23"/>
      <c r="Y70" s="26"/>
      <c r="Z70" s="26"/>
      <c r="AA70" s="503"/>
      <c r="AB70" s="504"/>
      <c r="AC70" s="154"/>
      <c r="AD70" s="25"/>
      <c r="AE70" s="19">
        <f t="shared" si="44"/>
        <v>-83.749999999999318</v>
      </c>
      <c r="AF70" s="158">
        <f t="shared" si="45"/>
        <v>0.95812500000000034</v>
      </c>
      <c r="AG70" s="489"/>
    </row>
    <row r="71" spans="1:33">
      <c r="A71" s="508" t="s">
        <v>67</v>
      </c>
      <c r="B71" s="42" t="s">
        <v>71</v>
      </c>
      <c r="C71" s="494"/>
      <c r="D71" s="494"/>
      <c r="E71" s="161"/>
      <c r="F71" s="44"/>
      <c r="G71" s="17"/>
      <c r="H71" s="170"/>
      <c r="I71" s="30">
        <v>18.75</v>
      </c>
      <c r="J71" s="37">
        <v>2000</v>
      </c>
      <c r="K71" s="17">
        <f t="shared" si="39"/>
        <v>106.66666666666667</v>
      </c>
      <c r="L71" s="30">
        <v>18.75</v>
      </c>
      <c r="M71" s="18">
        <f>AVERAGE(M63:M70)</f>
        <v>1855.434385372834</v>
      </c>
      <c r="N71" s="17">
        <f t="shared" si="40"/>
        <v>98.956500553217808</v>
      </c>
      <c r="O71" s="19">
        <f t="shared" si="41"/>
        <v>0</v>
      </c>
      <c r="P71" s="20">
        <f t="shared" si="42"/>
        <v>-7.7101661134488637</v>
      </c>
      <c r="Q71" s="158">
        <f t="shared" si="43"/>
        <v>0.92771719268641695</v>
      </c>
      <c r="R71" s="489"/>
      <c r="S71" s="41"/>
      <c r="T71" s="40"/>
      <c r="U71" s="17"/>
      <c r="V71" s="169"/>
      <c r="W71" s="17"/>
      <c r="X71" s="17"/>
      <c r="Y71" s="31">
        <f>SUM(Y63:Y70)</f>
        <v>0</v>
      </c>
      <c r="Z71" s="31">
        <f>SUM(Z63:Z70)</f>
        <v>0</v>
      </c>
      <c r="AA71" s="495"/>
      <c r="AB71" s="495"/>
      <c r="AC71" s="31">
        <v>5</v>
      </c>
      <c r="AD71" s="31">
        <f>SUM(AD63:AD70)</f>
        <v>0</v>
      </c>
      <c r="AE71" s="19">
        <f t="shared" si="44"/>
        <v>-144.56561462716604</v>
      </c>
      <c r="AF71" s="158">
        <f t="shared" si="45"/>
        <v>0.92771719268641695</v>
      </c>
      <c r="AG71" s="489"/>
    </row>
    <row r="72" spans="1:33" ht="15.75" customHeight="1">
      <c r="A72" s="499" t="s">
        <v>707</v>
      </c>
      <c r="B72" s="170" t="s">
        <v>100</v>
      </c>
      <c r="C72" s="490" t="s">
        <v>109</v>
      </c>
      <c r="D72" s="490"/>
      <c r="E72" s="42">
        <v>26.97</v>
      </c>
      <c r="F72" s="46">
        <v>2099</v>
      </c>
      <c r="G72" s="159">
        <f t="shared" ref="G72:G76" si="46">E72*F72</f>
        <v>56610.03</v>
      </c>
      <c r="H72" s="125" t="s">
        <v>79</v>
      </c>
      <c r="I72" s="168">
        <v>8</v>
      </c>
      <c r="J72" s="37">
        <v>1500</v>
      </c>
      <c r="K72" s="17">
        <f t="shared" si="39"/>
        <v>187.5</v>
      </c>
      <c r="L72" s="168">
        <v>8</v>
      </c>
      <c r="M72" s="18">
        <f t="shared" ref="M72:M76" si="47">F72/V72*60</f>
        <v>1431.136363636364</v>
      </c>
      <c r="N72" s="17">
        <f t="shared" si="40"/>
        <v>178.8920454545455</v>
      </c>
      <c r="O72" s="19">
        <f t="shared" si="41"/>
        <v>0</v>
      </c>
      <c r="P72" s="20">
        <f t="shared" si="42"/>
        <v>-8.6079545454545041</v>
      </c>
      <c r="Q72" s="158">
        <f t="shared" si="43"/>
        <v>0.95409090909090932</v>
      </c>
      <c r="R72" s="489">
        <f>Q77</f>
        <v>0.95704708018241857</v>
      </c>
      <c r="S72" s="40">
        <v>0.20833333333333334</v>
      </c>
      <c r="T72" s="40">
        <v>0.26944444444444443</v>
      </c>
      <c r="U72" s="159"/>
      <c r="V72" s="169">
        <f t="shared" ref="V72:V76" si="48">(T72-S72)*24*60</f>
        <v>87.999999999999972</v>
      </c>
      <c r="W72" s="28"/>
      <c r="X72" s="28"/>
      <c r="Y72" s="28"/>
      <c r="Z72" s="28"/>
      <c r="AA72" s="491"/>
      <c r="AB72" s="491"/>
      <c r="AC72" s="154" t="s">
        <v>79</v>
      </c>
      <c r="AD72" s="25"/>
      <c r="AE72" s="19">
        <f t="shared" si="44"/>
        <v>-68.863636363636033</v>
      </c>
      <c r="AF72" s="158">
        <f t="shared" si="45"/>
        <v>0.95409090909090932</v>
      </c>
      <c r="AG72" s="489">
        <f>AF77</f>
        <v>0.95704708018241857</v>
      </c>
    </row>
    <row r="73" spans="1:33" ht="15.75" customHeight="1">
      <c r="A73" s="499" t="s">
        <v>707</v>
      </c>
      <c r="B73" s="170" t="s">
        <v>93</v>
      </c>
      <c r="C73" s="490" t="s">
        <v>110</v>
      </c>
      <c r="D73" s="490"/>
      <c r="E73" s="42">
        <v>26.78</v>
      </c>
      <c r="F73" s="46">
        <v>2733</v>
      </c>
      <c r="G73" s="159">
        <f t="shared" si="46"/>
        <v>73189.740000000005</v>
      </c>
      <c r="H73" s="125" t="s">
        <v>79</v>
      </c>
      <c r="I73" s="168">
        <v>10</v>
      </c>
      <c r="J73" s="37">
        <v>3000</v>
      </c>
      <c r="K73" s="17">
        <f t="shared" si="39"/>
        <v>300</v>
      </c>
      <c r="L73" s="168">
        <v>10</v>
      </c>
      <c r="M73" s="18">
        <f t="shared" si="47"/>
        <v>2876.8421052631561</v>
      </c>
      <c r="N73" s="17">
        <f t="shared" si="40"/>
        <v>287.68421052631561</v>
      </c>
      <c r="O73" s="19">
        <f t="shared" si="41"/>
        <v>0</v>
      </c>
      <c r="P73" s="20">
        <f t="shared" si="42"/>
        <v>-12.31578947368439</v>
      </c>
      <c r="Q73" s="158">
        <f t="shared" si="43"/>
        <v>0.95894736842105199</v>
      </c>
      <c r="R73" s="489"/>
      <c r="S73" s="40">
        <v>0.27430555555555552</v>
      </c>
      <c r="T73" s="40">
        <v>0.31388888888888888</v>
      </c>
      <c r="U73" s="159">
        <f t="shared" ref="U73:U76" si="49">(S73-T72)*24*60</f>
        <v>6.9999999999999751</v>
      </c>
      <c r="V73" s="169">
        <f t="shared" si="48"/>
        <v>57.000000000000036</v>
      </c>
      <c r="W73" s="159"/>
      <c r="X73" s="159"/>
      <c r="Y73" s="159"/>
      <c r="Z73" s="159"/>
      <c r="AA73" s="491"/>
      <c r="AB73" s="491"/>
      <c r="AC73" s="154" t="s">
        <v>79</v>
      </c>
      <c r="AD73" s="25"/>
      <c r="AE73" s="19">
        <f t="shared" si="44"/>
        <v>-123.1578947368439</v>
      </c>
      <c r="AF73" s="158">
        <f t="shared" si="45"/>
        <v>0.95894736842105199</v>
      </c>
      <c r="AG73" s="489"/>
    </row>
    <row r="74" spans="1:33" ht="15.75" customHeight="1">
      <c r="A74" s="499" t="s">
        <v>707</v>
      </c>
      <c r="B74" s="170" t="s">
        <v>93</v>
      </c>
      <c r="C74" s="490" t="s">
        <v>111</v>
      </c>
      <c r="D74" s="490"/>
      <c r="E74" s="42">
        <v>37.880000000000003</v>
      </c>
      <c r="F74" s="46">
        <v>2596</v>
      </c>
      <c r="G74" s="159">
        <f t="shared" si="46"/>
        <v>98336.48000000001</v>
      </c>
      <c r="H74" s="125" t="s">
        <v>79</v>
      </c>
      <c r="I74" s="168">
        <v>10</v>
      </c>
      <c r="J74" s="37">
        <v>3000</v>
      </c>
      <c r="K74" s="17">
        <f t="shared" si="39"/>
        <v>300</v>
      </c>
      <c r="L74" s="168">
        <v>10</v>
      </c>
      <c r="M74" s="18">
        <f t="shared" si="47"/>
        <v>2884.4444444444457</v>
      </c>
      <c r="N74" s="17">
        <f t="shared" si="40"/>
        <v>288.44444444444457</v>
      </c>
      <c r="O74" s="19">
        <f t="shared" si="41"/>
        <v>0</v>
      </c>
      <c r="P74" s="20">
        <f t="shared" si="42"/>
        <v>-11.555555555555429</v>
      </c>
      <c r="Q74" s="158">
        <f t="shared" si="43"/>
        <v>0.96148148148148194</v>
      </c>
      <c r="R74" s="489"/>
      <c r="S74" s="40">
        <v>0.31805555555555554</v>
      </c>
      <c r="T74" s="40">
        <v>0.35555555555555551</v>
      </c>
      <c r="U74" s="159">
        <f t="shared" si="49"/>
        <v>5.9999999999999787</v>
      </c>
      <c r="V74" s="169">
        <f t="shared" si="48"/>
        <v>53.999999999999972</v>
      </c>
      <c r="W74" s="159"/>
      <c r="X74" s="159"/>
      <c r="Y74" s="159"/>
      <c r="Z74" s="159"/>
      <c r="AA74" s="491"/>
      <c r="AB74" s="491"/>
      <c r="AC74" s="154" t="s">
        <v>79</v>
      </c>
      <c r="AD74" s="25"/>
      <c r="AE74" s="19">
        <f t="shared" si="44"/>
        <v>-115.55555555555429</v>
      </c>
      <c r="AF74" s="158">
        <f t="shared" si="45"/>
        <v>0.96148148148148194</v>
      </c>
      <c r="AG74" s="489"/>
    </row>
    <row r="75" spans="1:33" ht="15.75" customHeight="1">
      <c r="A75" s="499" t="s">
        <v>707</v>
      </c>
      <c r="B75" s="170" t="s">
        <v>100</v>
      </c>
      <c r="C75" s="490" t="s">
        <v>519</v>
      </c>
      <c r="D75" s="490"/>
      <c r="E75" s="42">
        <v>26.13</v>
      </c>
      <c r="F75" s="46">
        <v>4000</v>
      </c>
      <c r="G75" s="159">
        <f t="shared" si="46"/>
        <v>104520</v>
      </c>
      <c r="H75" s="125">
        <v>2</v>
      </c>
      <c r="I75" s="168">
        <v>10</v>
      </c>
      <c r="J75" s="37">
        <v>1500</v>
      </c>
      <c r="K75" s="17">
        <f t="shared" si="39"/>
        <v>150</v>
      </c>
      <c r="L75" s="168">
        <v>10</v>
      </c>
      <c r="M75" s="18">
        <f t="shared" si="47"/>
        <v>1428.5714285714289</v>
      </c>
      <c r="N75" s="17">
        <f t="shared" si="40"/>
        <v>142.85714285714289</v>
      </c>
      <c r="O75" s="19">
        <f t="shared" si="41"/>
        <v>0</v>
      </c>
      <c r="P75" s="20">
        <f t="shared" si="42"/>
        <v>-7.1428571428571104</v>
      </c>
      <c r="Q75" s="158">
        <f t="shared" si="43"/>
        <v>0.95238095238095255</v>
      </c>
      <c r="R75" s="489"/>
      <c r="S75" s="40">
        <v>0.36041666666666661</v>
      </c>
      <c r="T75" s="40">
        <v>0.47708333333333325</v>
      </c>
      <c r="U75" s="159">
        <f t="shared" si="49"/>
        <v>6.9999999999999751</v>
      </c>
      <c r="V75" s="169">
        <f t="shared" si="48"/>
        <v>167.99999999999997</v>
      </c>
      <c r="W75" s="23">
        <f>T75</f>
        <v>0.47708333333333325</v>
      </c>
      <c r="X75" s="23">
        <f>S76</f>
        <v>0.51527777777777761</v>
      </c>
      <c r="Y75" s="159"/>
      <c r="Z75" s="159"/>
      <c r="AA75" s="491"/>
      <c r="AB75" s="491"/>
      <c r="AC75" s="154">
        <v>1</v>
      </c>
      <c r="AD75" s="25"/>
      <c r="AE75" s="19">
        <f t="shared" si="44"/>
        <v>-71.428571428571104</v>
      </c>
      <c r="AF75" s="158">
        <f t="shared" si="45"/>
        <v>0.95238095238095255</v>
      </c>
      <c r="AG75" s="489"/>
    </row>
    <row r="76" spans="1:33">
      <c r="A76" s="500" t="s">
        <v>707</v>
      </c>
      <c r="B76" s="170" t="s">
        <v>100</v>
      </c>
      <c r="C76" s="490" t="s">
        <v>519</v>
      </c>
      <c r="D76" s="490"/>
      <c r="E76" s="42">
        <v>26.13</v>
      </c>
      <c r="F76" s="46">
        <v>4879</v>
      </c>
      <c r="G76" s="159">
        <f t="shared" si="46"/>
        <v>127488.26999999999</v>
      </c>
      <c r="H76" s="125" t="s">
        <v>79</v>
      </c>
      <c r="I76" s="168">
        <v>10</v>
      </c>
      <c r="J76" s="37">
        <v>1500</v>
      </c>
      <c r="K76" s="17">
        <f t="shared" si="39"/>
        <v>150</v>
      </c>
      <c r="L76" s="168">
        <v>10</v>
      </c>
      <c r="M76" s="18">
        <f t="shared" si="47"/>
        <v>1428.0000000000007</v>
      </c>
      <c r="N76" s="17">
        <f t="shared" si="40"/>
        <v>142.80000000000007</v>
      </c>
      <c r="O76" s="19">
        <f t="shared" si="41"/>
        <v>0</v>
      </c>
      <c r="P76" s="20">
        <f t="shared" si="42"/>
        <v>-7.1999999999999318</v>
      </c>
      <c r="Q76" s="158">
        <f t="shared" si="43"/>
        <v>0.9520000000000004</v>
      </c>
      <c r="R76" s="489"/>
      <c r="S76" s="40">
        <v>0.51527777777777761</v>
      </c>
      <c r="T76" s="40">
        <v>0.65763888888888866</v>
      </c>
      <c r="U76" s="159">
        <f t="shared" si="49"/>
        <v>54.999999999999886</v>
      </c>
      <c r="V76" s="169">
        <f t="shared" si="48"/>
        <v>204.99999999999991</v>
      </c>
      <c r="W76" s="23"/>
      <c r="X76" s="23"/>
      <c r="Y76" s="23"/>
      <c r="Z76" s="23"/>
      <c r="AA76" s="491"/>
      <c r="AB76" s="491"/>
      <c r="AC76" s="154">
        <v>1</v>
      </c>
      <c r="AD76" s="25"/>
      <c r="AE76" s="19">
        <f t="shared" si="44"/>
        <v>-71.999999999999318</v>
      </c>
      <c r="AF76" s="158">
        <f t="shared" si="45"/>
        <v>0.9520000000000004</v>
      </c>
      <c r="AG76" s="489"/>
    </row>
    <row r="77" spans="1:33">
      <c r="A77" s="500" t="s">
        <v>707</v>
      </c>
      <c r="B77" s="42" t="s">
        <v>703</v>
      </c>
      <c r="C77" s="494"/>
      <c r="D77" s="494"/>
      <c r="E77" s="161"/>
      <c r="F77" s="44"/>
      <c r="G77" s="17"/>
      <c r="H77" s="170"/>
      <c r="I77" s="30">
        <v>8.8000000000000007</v>
      </c>
      <c r="J77" s="37">
        <v>2100</v>
      </c>
      <c r="K77" s="17">
        <f t="shared" si="39"/>
        <v>238.63636363636363</v>
      </c>
      <c r="L77" s="30">
        <v>8.8000000000000007</v>
      </c>
      <c r="M77" s="18">
        <f>AVERAGE(M72:M76)</f>
        <v>2009.798868383079</v>
      </c>
      <c r="N77" s="17">
        <f t="shared" si="40"/>
        <v>228.38623504353168</v>
      </c>
      <c r="O77" s="19">
        <f t="shared" si="41"/>
        <v>0</v>
      </c>
      <c r="P77" s="20">
        <f t="shared" si="42"/>
        <v>-10.250128592831942</v>
      </c>
      <c r="Q77" s="158">
        <f t="shared" si="43"/>
        <v>0.95704708018241857</v>
      </c>
      <c r="R77" s="489"/>
      <c r="S77" s="40"/>
      <c r="T77" s="40"/>
      <c r="U77" s="17"/>
      <c r="V77" s="169"/>
      <c r="W77" s="17"/>
      <c r="X77" s="17"/>
      <c r="Y77" s="31">
        <f>SUM(Y72:Y76)</f>
        <v>0</v>
      </c>
      <c r="Z77" s="31">
        <f>SUM(Z72:Z76)</f>
        <v>0</v>
      </c>
      <c r="AA77" s="495"/>
      <c r="AB77" s="495"/>
      <c r="AC77" s="31">
        <v>2</v>
      </c>
      <c r="AD77" s="31">
        <f>SUM(AD72:AD76)</f>
        <v>0</v>
      </c>
      <c r="AE77" s="19">
        <f t="shared" si="44"/>
        <v>-90.201131616920975</v>
      </c>
      <c r="AF77" s="158">
        <f t="shared" si="45"/>
        <v>0.95704708018241857</v>
      </c>
      <c r="AG77" s="489"/>
    </row>
    <row r="78" spans="1:33" ht="15.75" customHeight="1">
      <c r="A78" s="496" t="s">
        <v>708</v>
      </c>
      <c r="B78" s="170" t="s">
        <v>80</v>
      </c>
      <c r="C78" s="490" t="s">
        <v>115</v>
      </c>
      <c r="D78" s="490"/>
      <c r="E78" s="42">
        <v>20.2</v>
      </c>
      <c r="F78" s="170">
        <v>2472</v>
      </c>
      <c r="G78" s="159">
        <f t="shared" ref="G78:G83" si="50">E78*F78</f>
        <v>49934.400000000001</v>
      </c>
      <c r="H78" s="125" t="s">
        <v>79</v>
      </c>
      <c r="I78" s="168">
        <v>19</v>
      </c>
      <c r="J78" s="37">
        <v>2400</v>
      </c>
      <c r="K78" s="17">
        <f t="shared" si="39"/>
        <v>126.31578947368421</v>
      </c>
      <c r="L78" s="168">
        <v>19</v>
      </c>
      <c r="M78" s="18">
        <f t="shared" ref="M78:M83" si="51">F78/V78*60</f>
        <v>2281.8461538461543</v>
      </c>
      <c r="N78" s="17">
        <f t="shared" si="40"/>
        <v>120.09716599190286</v>
      </c>
      <c r="O78" s="19">
        <f t="shared" si="41"/>
        <v>0</v>
      </c>
      <c r="P78" s="20">
        <f t="shared" si="42"/>
        <v>-6.2186234817813499</v>
      </c>
      <c r="Q78" s="158">
        <f t="shared" si="43"/>
        <v>0.95076923076923103</v>
      </c>
      <c r="R78" s="489">
        <f>Q84</f>
        <v>0.95448361905322276</v>
      </c>
      <c r="S78" s="40">
        <v>8.3333333333333329E-2</v>
      </c>
      <c r="T78" s="40">
        <v>0.12847222222222221</v>
      </c>
      <c r="U78" s="28"/>
      <c r="V78" s="169">
        <f t="shared" ref="V78:V83" si="52">(T78-S78)*24*60</f>
        <v>64.999999999999986</v>
      </c>
      <c r="W78" s="23">
        <f>T78</f>
        <v>0.12847222222222221</v>
      </c>
      <c r="X78" s="23">
        <f>S79</f>
        <v>0.1472222222222222</v>
      </c>
      <c r="Y78" s="23"/>
      <c r="Z78" s="23"/>
      <c r="AA78" s="491"/>
      <c r="AB78" s="491"/>
      <c r="AC78" s="154">
        <v>8</v>
      </c>
      <c r="AD78" s="25"/>
      <c r="AE78" s="19">
        <f t="shared" si="44"/>
        <v>-118.15384615384573</v>
      </c>
      <c r="AF78" s="158">
        <f t="shared" si="45"/>
        <v>0.95076923076923092</v>
      </c>
      <c r="AG78" s="489">
        <f>AF84</f>
        <v>0.95448361905322276</v>
      </c>
    </row>
    <row r="79" spans="1:33" ht="15.75" customHeight="1">
      <c r="A79" s="497" t="s">
        <v>709</v>
      </c>
      <c r="B79" s="170" t="s">
        <v>80</v>
      </c>
      <c r="C79" s="490" t="s">
        <v>116</v>
      </c>
      <c r="D79" s="490"/>
      <c r="E79" s="42">
        <v>20.52</v>
      </c>
      <c r="F79" s="170">
        <v>3247</v>
      </c>
      <c r="G79" s="159">
        <f t="shared" si="50"/>
        <v>66628.44</v>
      </c>
      <c r="H79" s="125" t="s">
        <v>79</v>
      </c>
      <c r="I79" s="168">
        <v>18</v>
      </c>
      <c r="J79" s="37">
        <v>2400</v>
      </c>
      <c r="K79" s="17">
        <f t="shared" si="39"/>
        <v>133.33333333333334</v>
      </c>
      <c r="L79" s="168">
        <v>18</v>
      </c>
      <c r="M79" s="18">
        <f t="shared" si="51"/>
        <v>2291.9999999999995</v>
      </c>
      <c r="N79" s="17">
        <f t="shared" si="40"/>
        <v>127.33333333333331</v>
      </c>
      <c r="O79" s="19">
        <f t="shared" si="41"/>
        <v>0</v>
      </c>
      <c r="P79" s="20">
        <f t="shared" si="42"/>
        <v>-6.0000000000000284</v>
      </c>
      <c r="Q79" s="158">
        <f t="shared" si="43"/>
        <v>0.95499999999999974</v>
      </c>
      <c r="R79" s="489"/>
      <c r="S79" s="40">
        <v>0.1472222222222222</v>
      </c>
      <c r="T79" s="40">
        <v>0.20624999999999999</v>
      </c>
      <c r="U79" s="159">
        <f t="shared" ref="U79:U83" si="53">(S79-T78)*24*60</f>
        <v>26.999999999999986</v>
      </c>
      <c r="V79" s="169">
        <f t="shared" si="52"/>
        <v>85.000000000000014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4"/>
        <v>-108.00000000000045</v>
      </c>
      <c r="AF79" s="158">
        <f t="shared" si="45"/>
        <v>0.95499999999999985</v>
      </c>
      <c r="AG79" s="489"/>
    </row>
    <row r="80" spans="1:33" ht="15.75" customHeight="1">
      <c r="A80" s="497" t="s">
        <v>709</v>
      </c>
      <c r="B80" s="170" t="s">
        <v>80</v>
      </c>
      <c r="C80" s="490" t="s">
        <v>117</v>
      </c>
      <c r="D80" s="490"/>
      <c r="E80" s="42">
        <v>24.43</v>
      </c>
      <c r="F80" s="170">
        <v>6679</v>
      </c>
      <c r="G80" s="159">
        <f t="shared" si="50"/>
        <v>163167.97</v>
      </c>
      <c r="H80" s="125" t="s">
        <v>79</v>
      </c>
      <c r="I80" s="168">
        <v>14</v>
      </c>
      <c r="J80" s="37">
        <v>2400</v>
      </c>
      <c r="K80" s="17">
        <f t="shared" si="39"/>
        <v>171.42857142857142</v>
      </c>
      <c r="L80" s="168">
        <v>14</v>
      </c>
      <c r="M80" s="18">
        <f t="shared" si="51"/>
        <v>2289.9428571428575</v>
      </c>
      <c r="N80" s="17">
        <f t="shared" si="40"/>
        <v>163.56734693877553</v>
      </c>
      <c r="O80" s="19">
        <f t="shared" si="41"/>
        <v>0</v>
      </c>
      <c r="P80" s="20">
        <f t="shared" si="42"/>
        <v>-7.8612244897958874</v>
      </c>
      <c r="Q80" s="158">
        <f t="shared" si="43"/>
        <v>0.95414285714285729</v>
      </c>
      <c r="R80" s="489"/>
      <c r="S80" s="40">
        <v>0.21111111111111111</v>
      </c>
      <c r="T80" s="40">
        <v>0.33263888888888887</v>
      </c>
      <c r="U80" s="159">
        <f t="shared" si="53"/>
        <v>7.0000000000000151</v>
      </c>
      <c r="V80" s="169">
        <f t="shared" si="52"/>
        <v>174.99999999999997</v>
      </c>
      <c r="W80" s="23"/>
      <c r="X80" s="23"/>
      <c r="Y80" s="23"/>
      <c r="Z80" s="23"/>
      <c r="AA80" s="491"/>
      <c r="AB80" s="491"/>
      <c r="AC80" s="154"/>
      <c r="AD80" s="25"/>
      <c r="AE80" s="19">
        <f t="shared" si="44"/>
        <v>-110.05714285714248</v>
      </c>
      <c r="AF80" s="158">
        <f t="shared" si="45"/>
        <v>0.95414285714285729</v>
      </c>
      <c r="AG80" s="489"/>
    </row>
    <row r="81" spans="1:33" ht="15.75" customHeight="1">
      <c r="A81" s="497" t="s">
        <v>709</v>
      </c>
      <c r="B81" s="170" t="s">
        <v>80</v>
      </c>
      <c r="C81" s="490" t="s">
        <v>118</v>
      </c>
      <c r="D81" s="490"/>
      <c r="E81" s="42">
        <v>20.21</v>
      </c>
      <c r="F81" s="170">
        <v>4391</v>
      </c>
      <c r="G81" s="159">
        <f t="shared" si="50"/>
        <v>88742.11</v>
      </c>
      <c r="H81" s="125" t="s">
        <v>79</v>
      </c>
      <c r="I81" s="168">
        <v>16</v>
      </c>
      <c r="J81" s="37">
        <v>2400</v>
      </c>
      <c r="K81" s="17">
        <f t="shared" si="39"/>
        <v>150</v>
      </c>
      <c r="L81" s="168">
        <v>16</v>
      </c>
      <c r="M81" s="18">
        <f t="shared" si="51"/>
        <v>2290.9565217391305</v>
      </c>
      <c r="N81" s="17">
        <f t="shared" si="40"/>
        <v>143.18478260869566</v>
      </c>
      <c r="O81" s="19">
        <f t="shared" si="41"/>
        <v>0</v>
      </c>
      <c r="P81" s="20">
        <f t="shared" si="42"/>
        <v>-6.8152173913043441</v>
      </c>
      <c r="Q81" s="158">
        <f t="shared" si="43"/>
        <v>0.9545652173913044</v>
      </c>
      <c r="R81" s="489"/>
      <c r="S81" s="40">
        <v>0.33749999999999997</v>
      </c>
      <c r="T81" s="40">
        <v>0.41736111111111107</v>
      </c>
      <c r="U81" s="159">
        <f t="shared" si="53"/>
        <v>6.9999999999999751</v>
      </c>
      <c r="V81" s="169">
        <f t="shared" si="52"/>
        <v>114.99999999999999</v>
      </c>
      <c r="W81" s="23"/>
      <c r="X81" s="23"/>
      <c r="Y81" s="23"/>
      <c r="Z81" s="23"/>
      <c r="AA81" s="491"/>
      <c r="AB81" s="491"/>
      <c r="AC81" s="154"/>
      <c r="AD81" s="25"/>
      <c r="AE81" s="19">
        <f t="shared" si="44"/>
        <v>-109.04347826086951</v>
      </c>
      <c r="AF81" s="158">
        <f t="shared" si="45"/>
        <v>0.9545652173913044</v>
      </c>
      <c r="AG81" s="489"/>
    </row>
    <row r="82" spans="1:33" ht="15.75" customHeight="1">
      <c r="A82" s="497" t="s">
        <v>709</v>
      </c>
      <c r="B82" s="170" t="s">
        <v>80</v>
      </c>
      <c r="C82" s="490" t="s">
        <v>119</v>
      </c>
      <c r="D82" s="490"/>
      <c r="E82" s="42">
        <v>19.02</v>
      </c>
      <c r="F82" s="170">
        <v>5200</v>
      </c>
      <c r="G82" s="159">
        <f t="shared" si="50"/>
        <v>98904</v>
      </c>
      <c r="H82" s="125">
        <v>2</v>
      </c>
      <c r="I82" s="168">
        <v>15</v>
      </c>
      <c r="J82" s="37">
        <v>2400</v>
      </c>
      <c r="K82" s="17">
        <f t="shared" si="39"/>
        <v>160</v>
      </c>
      <c r="L82" s="168">
        <v>15</v>
      </c>
      <c r="M82" s="18">
        <f t="shared" si="51"/>
        <v>2294.1176470588234</v>
      </c>
      <c r="N82" s="17">
        <f t="shared" si="40"/>
        <v>152.94117647058823</v>
      </c>
      <c r="O82" s="19">
        <f t="shared" si="41"/>
        <v>0</v>
      </c>
      <c r="P82" s="20">
        <f t="shared" si="42"/>
        <v>-7.058823529411768</v>
      </c>
      <c r="Q82" s="158">
        <f t="shared" si="43"/>
        <v>0.95588235294117641</v>
      </c>
      <c r="R82" s="489"/>
      <c r="S82" s="40">
        <v>0.42291666666666661</v>
      </c>
      <c r="T82" s="40">
        <v>0.51736111111111105</v>
      </c>
      <c r="U82" s="159">
        <f t="shared" si="53"/>
        <v>7.9999999999999716</v>
      </c>
      <c r="V82" s="169">
        <f t="shared" si="52"/>
        <v>136</v>
      </c>
      <c r="W82" s="23">
        <f>T82</f>
        <v>0.51736111111111105</v>
      </c>
      <c r="X82" s="23">
        <f>S83</f>
        <v>0.55694444444444435</v>
      </c>
      <c r="Y82" s="23"/>
      <c r="Z82" s="23"/>
      <c r="AA82" s="491"/>
      <c r="AB82" s="491"/>
      <c r="AC82" s="154"/>
      <c r="AD82" s="25"/>
      <c r="AE82" s="19">
        <f t="shared" si="44"/>
        <v>-105.88235294117658</v>
      </c>
      <c r="AF82" s="158">
        <f t="shared" si="45"/>
        <v>0.95588235294117641</v>
      </c>
      <c r="AG82" s="489"/>
    </row>
    <row r="83" spans="1:33" ht="15.75" customHeight="1">
      <c r="A83" s="497" t="s">
        <v>710</v>
      </c>
      <c r="B83" s="170" t="s">
        <v>80</v>
      </c>
      <c r="C83" s="490" t="s">
        <v>119</v>
      </c>
      <c r="D83" s="490"/>
      <c r="E83" s="42">
        <v>19.02</v>
      </c>
      <c r="F83" s="170">
        <v>4094</v>
      </c>
      <c r="G83" s="159">
        <f t="shared" si="50"/>
        <v>77867.88</v>
      </c>
      <c r="H83" s="125" t="s">
        <v>79</v>
      </c>
      <c r="I83" s="168">
        <v>15</v>
      </c>
      <c r="J83" s="37">
        <v>2400</v>
      </c>
      <c r="K83" s="17">
        <f t="shared" si="39"/>
        <v>160</v>
      </c>
      <c r="L83" s="168">
        <v>15</v>
      </c>
      <c r="M83" s="18">
        <f t="shared" si="51"/>
        <v>2295.7009345794404</v>
      </c>
      <c r="N83" s="17">
        <f t="shared" si="40"/>
        <v>153.04672897196269</v>
      </c>
      <c r="O83" s="19">
        <f t="shared" si="41"/>
        <v>0</v>
      </c>
      <c r="P83" s="20">
        <f t="shared" si="42"/>
        <v>-6.9532710280373067</v>
      </c>
      <c r="Q83" s="158">
        <f t="shared" si="43"/>
        <v>0.95654205607476683</v>
      </c>
      <c r="R83" s="489"/>
      <c r="S83" s="40">
        <v>0.55694444444444435</v>
      </c>
      <c r="T83" s="40">
        <v>0.63124999999999987</v>
      </c>
      <c r="U83" s="159">
        <f t="shared" si="53"/>
        <v>56.999999999999957</v>
      </c>
      <c r="V83" s="169">
        <f t="shared" si="52"/>
        <v>106.99999999999994</v>
      </c>
      <c r="W83" s="23"/>
      <c r="X83" s="23"/>
      <c r="Y83" s="23"/>
      <c r="Z83" s="23"/>
      <c r="AA83" s="491"/>
      <c r="AB83" s="491"/>
      <c r="AC83" s="154"/>
      <c r="AD83" s="25"/>
      <c r="AE83" s="19">
        <f t="shared" si="44"/>
        <v>-104.2990654205596</v>
      </c>
      <c r="AF83" s="158">
        <f t="shared" si="45"/>
        <v>0.95654205607476683</v>
      </c>
      <c r="AG83" s="489"/>
    </row>
    <row r="84" spans="1:33" ht="16.5" customHeight="1">
      <c r="A84" s="498" t="s">
        <v>710</v>
      </c>
      <c r="B84" s="42" t="s">
        <v>711</v>
      </c>
      <c r="C84" s="492"/>
      <c r="D84" s="493"/>
      <c r="E84" s="161"/>
      <c r="F84" s="44"/>
      <c r="G84" s="17"/>
      <c r="H84" s="170"/>
      <c r="I84" s="30">
        <v>16.166666666666668</v>
      </c>
      <c r="J84" s="37">
        <v>2400</v>
      </c>
      <c r="K84" s="17">
        <f t="shared" si="39"/>
        <v>148.45360824742266</v>
      </c>
      <c r="L84" s="30">
        <v>16.166666666666668</v>
      </c>
      <c r="M84" s="18">
        <f>AVERAGE(M78:M83)</f>
        <v>2290.7606857277347</v>
      </c>
      <c r="N84" s="17">
        <f t="shared" si="40"/>
        <v>141.69653726150935</v>
      </c>
      <c r="O84" s="19">
        <f t="shared" si="41"/>
        <v>0</v>
      </c>
      <c r="P84" s="20">
        <f t="shared" si="42"/>
        <v>-6.757070985913316</v>
      </c>
      <c r="Q84" s="158">
        <f t="shared" si="43"/>
        <v>0.95448361905322276</v>
      </c>
      <c r="R84" s="489"/>
      <c r="S84" s="40"/>
      <c r="T84" s="40"/>
      <c r="U84" s="17"/>
      <c r="V84" s="169"/>
      <c r="W84" s="17"/>
      <c r="X84" s="17"/>
      <c r="Y84" s="31">
        <f>SUM(Y78:Y83)</f>
        <v>0</v>
      </c>
      <c r="Z84" s="31">
        <f>SUM(Z78:Z83)</f>
        <v>0</v>
      </c>
      <c r="AA84" s="495"/>
      <c r="AB84" s="495"/>
      <c r="AC84" s="31">
        <v>8</v>
      </c>
      <c r="AD84" s="31">
        <f>SUM(AD78:AD83)</f>
        <v>0</v>
      </c>
      <c r="AE84" s="19">
        <f t="shared" si="44"/>
        <v>-109.23931427226535</v>
      </c>
      <c r="AF84" s="158">
        <f t="shared" si="45"/>
        <v>0.95448361905322276</v>
      </c>
      <c r="AG84" s="489"/>
    </row>
    <row r="85" spans="1:33">
      <c r="D85" s="33"/>
      <c r="E85" s="33"/>
    </row>
  </sheetData>
  <mergeCells count="219">
    <mergeCell ref="A78:A84"/>
    <mergeCell ref="C78:D78"/>
    <mergeCell ref="R78:R84"/>
    <mergeCell ref="AA78:AB78"/>
    <mergeCell ref="AG78:AG84"/>
    <mergeCell ref="C79:D79"/>
    <mergeCell ref="AA79:AB79"/>
    <mergeCell ref="C80:D80"/>
    <mergeCell ref="AA80:AB80"/>
    <mergeCell ref="C81:D81"/>
    <mergeCell ref="AA81:AB81"/>
    <mergeCell ref="C82:D82"/>
    <mergeCell ref="AA82:AB82"/>
    <mergeCell ref="C83:D83"/>
    <mergeCell ref="AA83:AB83"/>
    <mergeCell ref="C84:D84"/>
    <mergeCell ref="AA84:AB84"/>
    <mergeCell ref="AG72:AG77"/>
    <mergeCell ref="C73:D73"/>
    <mergeCell ref="AA73:AB73"/>
    <mergeCell ref="C74:D74"/>
    <mergeCell ref="AA74:AB74"/>
    <mergeCell ref="C75:D75"/>
    <mergeCell ref="AA75:AB75"/>
    <mergeCell ref="C76:D76"/>
    <mergeCell ref="AA76:AB76"/>
    <mergeCell ref="C77:D77"/>
    <mergeCell ref="A72:A77"/>
    <mergeCell ref="C72:D72"/>
    <mergeCell ref="R72:R77"/>
    <mergeCell ref="AA72:AB72"/>
    <mergeCell ref="AA77:AB77"/>
    <mergeCell ref="AG63:AG71"/>
    <mergeCell ref="C64:D64"/>
    <mergeCell ref="AA64:AB64"/>
    <mergeCell ref="C65:D65"/>
    <mergeCell ref="AA65:AB65"/>
    <mergeCell ref="AA66:AB66"/>
    <mergeCell ref="AA67:AB67"/>
    <mergeCell ref="C68:D68"/>
    <mergeCell ref="AA68:AB68"/>
    <mergeCell ref="C69:D69"/>
    <mergeCell ref="A63:A71"/>
    <mergeCell ref="C63:D63"/>
    <mergeCell ref="R63:R71"/>
    <mergeCell ref="AA63:AB63"/>
    <mergeCell ref="AA69:AB69"/>
    <mergeCell ref="C70:D70"/>
    <mergeCell ref="AA70:AB70"/>
    <mergeCell ref="C71:D71"/>
    <mergeCell ref="AA71:AB71"/>
    <mergeCell ref="AG51:AG62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C61:D61"/>
    <mergeCell ref="AA61:AB61"/>
    <mergeCell ref="C62:D62"/>
    <mergeCell ref="AA62:AB62"/>
    <mergeCell ref="A51:A62"/>
    <mergeCell ref="C51:D51"/>
    <mergeCell ref="R51:R62"/>
    <mergeCell ref="AA51:AB51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43:A50"/>
    <mergeCell ref="C43:D43"/>
    <mergeCell ref="R43:R50"/>
    <mergeCell ref="AA43:AB43"/>
    <mergeCell ref="C49:D49"/>
    <mergeCell ref="AA49:AB49"/>
    <mergeCell ref="C50:D50"/>
    <mergeCell ref="AA50:AB50"/>
    <mergeCell ref="A36:A42"/>
    <mergeCell ref="C36:D36"/>
    <mergeCell ref="R36:R42"/>
    <mergeCell ref="AA36:AB36"/>
    <mergeCell ref="AA41:AB41"/>
    <mergeCell ref="C42:D42"/>
    <mergeCell ref="AG43:AG50"/>
    <mergeCell ref="C44:D44"/>
    <mergeCell ref="AA44:AB44"/>
    <mergeCell ref="C45:D45"/>
    <mergeCell ref="AA45:AB45"/>
    <mergeCell ref="AG36:AG42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C46:D46"/>
    <mergeCell ref="AA46:AB46"/>
    <mergeCell ref="C47:D47"/>
    <mergeCell ref="AA47:AB47"/>
    <mergeCell ref="C48:D48"/>
    <mergeCell ref="AA48:AB48"/>
    <mergeCell ref="AA42:AB42"/>
    <mergeCell ref="AG24:AG35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4:D34"/>
    <mergeCell ref="AA34:AB34"/>
    <mergeCell ref="C35:D35"/>
    <mergeCell ref="AA35:AB35"/>
    <mergeCell ref="C23:D23"/>
    <mergeCell ref="AA23:AB23"/>
    <mergeCell ref="A24:A35"/>
    <mergeCell ref="C24:D24"/>
    <mergeCell ref="R24:R35"/>
    <mergeCell ref="AA24:AB24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AG11:AG13"/>
    <mergeCell ref="C12:D12"/>
    <mergeCell ref="AA12:AB12"/>
    <mergeCell ref="C13:D13"/>
    <mergeCell ref="AA13:AB13"/>
    <mergeCell ref="A14:A23"/>
    <mergeCell ref="C14:D14"/>
    <mergeCell ref="R14:R23"/>
    <mergeCell ref="AA14:AB14"/>
    <mergeCell ref="AG14:AG23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71:O72 O75:O84 O5:O11 O13:O15 O62:O68 O23:O56">
    <cfRule type="cellIs" dxfId="498" priority="93" operator="greaterThan">
      <formula>0</formula>
    </cfRule>
  </conditionalFormatting>
  <conditionalFormatting sqref="P5:P9 P75:P76 AE75:AE76 P78:P83 P36:P41 P72 P11 P13:P15 P24:P34 P63:P68 P43:P56 AE5:AE72 AE78:AE84">
    <cfRule type="cellIs" dxfId="497" priority="97" operator="lessThan">
      <formula>0</formula>
    </cfRule>
  </conditionalFormatting>
  <conditionalFormatting sqref="AF75:AF76 Q71:Q72 Q75:Q84 Q5:Q11 Q13:Q15 Q62:Q68 Q23:Q56 AF5:AF72 AF78:AF84">
    <cfRule type="cellIs" dxfId="496" priority="94" operator="greaterThan">
      <formula>1</formula>
    </cfRule>
    <cfRule type="cellIs" dxfId="495" priority="95" operator="lessThan">
      <formula>0.8</formula>
    </cfRule>
  </conditionalFormatting>
  <conditionalFormatting sqref="AG14:AG15 R14:R15 AG75 R23:R29 AG23:AG29 AG71:AG72 R71:R72 R75:R84 AG5:AG11 R5:R11 R35:R56 AG35:AG56 AG62:AG68 R62:R68">
    <cfRule type="cellIs" dxfId="494" priority="99" operator="lessThan">
      <formula>0.8</formula>
    </cfRule>
  </conditionalFormatting>
  <conditionalFormatting sqref="AG51">
    <cfRule type="cellIs" dxfId="493" priority="101" operator="lessThan">
      <formula>0.8</formula>
    </cfRule>
  </conditionalFormatting>
  <conditionalFormatting sqref="AG24:AG29">
    <cfRule type="cellIs" dxfId="492" priority="98" operator="lessThan">
      <formula>0.8</formula>
    </cfRule>
  </conditionalFormatting>
  <conditionalFormatting sqref="AG36">
    <cfRule type="cellIs" dxfId="491" priority="100" operator="lessThan">
      <formula>0.8</formula>
    </cfRule>
  </conditionalFormatting>
  <conditionalFormatting sqref="AG43:AG49">
    <cfRule type="cellIs" dxfId="490" priority="96" operator="lessThan">
      <formula>0.8</formula>
    </cfRule>
  </conditionalFormatting>
  <conditionalFormatting sqref="AE77">
    <cfRule type="cellIs" dxfId="489" priority="92" operator="lessThan">
      <formula>0</formula>
    </cfRule>
  </conditionalFormatting>
  <conditionalFormatting sqref="AF77">
    <cfRule type="cellIs" dxfId="488" priority="90" operator="greaterThan">
      <formula>1</formula>
    </cfRule>
    <cfRule type="cellIs" dxfId="487" priority="91" operator="lessThan">
      <formula>0.8</formula>
    </cfRule>
  </conditionalFormatting>
  <conditionalFormatting sqref="O16:O17">
    <cfRule type="cellIs" dxfId="486" priority="85" operator="greaterThan">
      <formula>0</formula>
    </cfRule>
  </conditionalFormatting>
  <conditionalFormatting sqref="P16:P17">
    <cfRule type="cellIs" dxfId="485" priority="88" operator="lessThan">
      <formula>0</formula>
    </cfRule>
  </conditionalFormatting>
  <conditionalFormatting sqref="Q16:Q17">
    <cfRule type="cellIs" dxfId="484" priority="86" operator="greaterThan">
      <formula>1</formula>
    </cfRule>
    <cfRule type="cellIs" dxfId="483" priority="87" operator="lessThan">
      <formula>0.8</formula>
    </cfRule>
  </conditionalFormatting>
  <conditionalFormatting sqref="R16:R17 AG16:AG17">
    <cfRule type="cellIs" dxfId="482" priority="89" operator="lessThan">
      <formula>0.8</formula>
    </cfRule>
  </conditionalFormatting>
  <conditionalFormatting sqref="O12">
    <cfRule type="cellIs" dxfId="481" priority="81" operator="greaterThan">
      <formula>0</formula>
    </cfRule>
  </conditionalFormatting>
  <conditionalFormatting sqref="P12">
    <cfRule type="cellIs" dxfId="480" priority="84" operator="lessThan">
      <formula>0</formula>
    </cfRule>
  </conditionalFormatting>
  <conditionalFormatting sqref="Q12">
    <cfRule type="cellIs" dxfId="479" priority="82" operator="greaterThan">
      <formula>1</formula>
    </cfRule>
    <cfRule type="cellIs" dxfId="478" priority="83" operator="lessThan">
      <formula>0.8</formula>
    </cfRule>
  </conditionalFormatting>
  <conditionalFormatting sqref="O69">
    <cfRule type="cellIs" dxfId="477" priority="76" operator="greaterThan">
      <formula>0</formula>
    </cfRule>
  </conditionalFormatting>
  <conditionalFormatting sqref="P69">
    <cfRule type="cellIs" dxfId="476" priority="79" operator="lessThan">
      <formula>0</formula>
    </cfRule>
  </conditionalFormatting>
  <conditionalFormatting sqref="Q69">
    <cfRule type="cellIs" dxfId="475" priority="77" operator="greaterThan">
      <formula>1</formula>
    </cfRule>
    <cfRule type="cellIs" dxfId="474" priority="78" operator="lessThan">
      <formula>0.8</formula>
    </cfRule>
  </conditionalFormatting>
  <conditionalFormatting sqref="R69 AG69">
    <cfRule type="cellIs" dxfId="473" priority="80" operator="lessThan">
      <formula>0.8</formula>
    </cfRule>
  </conditionalFormatting>
  <conditionalFormatting sqref="AG31 R31">
    <cfRule type="cellIs" dxfId="472" priority="75" operator="lessThan">
      <formula>0.8</formula>
    </cfRule>
  </conditionalFormatting>
  <conditionalFormatting sqref="O74">
    <cfRule type="cellIs" dxfId="471" priority="70" operator="greaterThan">
      <formula>0</formula>
    </cfRule>
  </conditionalFormatting>
  <conditionalFormatting sqref="P74 AE74">
    <cfRule type="cellIs" dxfId="470" priority="73" operator="lessThan">
      <formula>0</formula>
    </cfRule>
  </conditionalFormatting>
  <conditionalFormatting sqref="Q74 AF74">
    <cfRule type="cellIs" dxfId="469" priority="71" operator="greaterThan">
      <formula>1</formula>
    </cfRule>
    <cfRule type="cellIs" dxfId="468" priority="72" operator="lessThan">
      <formula>0.8</formula>
    </cfRule>
  </conditionalFormatting>
  <conditionalFormatting sqref="R74 AG74">
    <cfRule type="cellIs" dxfId="467" priority="74" operator="lessThan">
      <formula>0.8</formula>
    </cfRule>
  </conditionalFormatting>
  <conditionalFormatting sqref="O18:O19">
    <cfRule type="cellIs" dxfId="466" priority="65" operator="greaterThan">
      <formula>0</formula>
    </cfRule>
  </conditionalFormatting>
  <conditionalFormatting sqref="P18:P19">
    <cfRule type="cellIs" dxfId="465" priority="68" operator="lessThan">
      <formula>0</formula>
    </cfRule>
  </conditionalFormatting>
  <conditionalFormatting sqref="Q18:Q19">
    <cfRule type="cellIs" dxfId="464" priority="66" operator="greaterThan">
      <formula>1</formula>
    </cfRule>
    <cfRule type="cellIs" dxfId="463" priority="67" operator="lessThan">
      <formula>0.8</formula>
    </cfRule>
  </conditionalFormatting>
  <conditionalFormatting sqref="R18:R19 AG18:AG19">
    <cfRule type="cellIs" dxfId="462" priority="69" operator="lessThan">
      <formula>0.8</formula>
    </cfRule>
  </conditionalFormatting>
  <conditionalFormatting sqref="O57">
    <cfRule type="cellIs" dxfId="461" priority="59" operator="greaterThan">
      <formula>0</formula>
    </cfRule>
  </conditionalFormatting>
  <conditionalFormatting sqref="P57">
    <cfRule type="cellIs" dxfId="460" priority="63" operator="lessThan">
      <formula>0</formula>
    </cfRule>
  </conditionalFormatting>
  <conditionalFormatting sqref="Q57">
    <cfRule type="cellIs" dxfId="459" priority="60" operator="greaterThan">
      <formula>1</formula>
    </cfRule>
    <cfRule type="cellIs" dxfId="458" priority="61" operator="lessThan">
      <formula>0.8</formula>
    </cfRule>
  </conditionalFormatting>
  <conditionalFormatting sqref="R57 AG57">
    <cfRule type="cellIs" dxfId="457" priority="64" operator="lessThan">
      <formula>0.8</formula>
    </cfRule>
  </conditionalFormatting>
  <conditionalFormatting sqref="AG57">
    <cfRule type="cellIs" dxfId="456" priority="62" operator="lessThan">
      <formula>0.8</formula>
    </cfRule>
  </conditionalFormatting>
  <conditionalFormatting sqref="O58">
    <cfRule type="cellIs" dxfId="455" priority="53" operator="greaterThan">
      <formula>0</formula>
    </cfRule>
  </conditionalFormatting>
  <conditionalFormatting sqref="P58">
    <cfRule type="cellIs" dxfId="454" priority="57" operator="lessThan">
      <formula>0</formula>
    </cfRule>
  </conditionalFormatting>
  <conditionalFormatting sqref="Q58">
    <cfRule type="cellIs" dxfId="453" priority="54" operator="greaterThan">
      <formula>1</formula>
    </cfRule>
    <cfRule type="cellIs" dxfId="452" priority="55" operator="lessThan">
      <formula>0.8</formula>
    </cfRule>
  </conditionalFormatting>
  <conditionalFormatting sqref="R58 AG58">
    <cfRule type="cellIs" dxfId="451" priority="58" operator="lessThan">
      <formula>0.8</formula>
    </cfRule>
  </conditionalFormatting>
  <conditionalFormatting sqref="AG58">
    <cfRule type="cellIs" dxfId="450" priority="56" operator="lessThan">
      <formula>0.8</formula>
    </cfRule>
  </conditionalFormatting>
  <conditionalFormatting sqref="O70">
    <cfRule type="cellIs" dxfId="449" priority="48" operator="greaterThan">
      <formula>0</formula>
    </cfRule>
  </conditionalFormatting>
  <conditionalFormatting sqref="P70">
    <cfRule type="cellIs" dxfId="448" priority="51" operator="lessThan">
      <formula>0</formula>
    </cfRule>
  </conditionalFormatting>
  <conditionalFormatting sqref="Q70">
    <cfRule type="cellIs" dxfId="447" priority="49" operator="greaterThan">
      <formula>1</formula>
    </cfRule>
    <cfRule type="cellIs" dxfId="446" priority="50" operator="lessThan">
      <formula>0.8</formula>
    </cfRule>
  </conditionalFormatting>
  <conditionalFormatting sqref="AG70 R70">
    <cfRule type="cellIs" dxfId="445" priority="52" operator="lessThan">
      <formula>0.8</formula>
    </cfRule>
  </conditionalFormatting>
  <conditionalFormatting sqref="AG32 R32">
    <cfRule type="cellIs" dxfId="444" priority="47" operator="lessThan">
      <formula>0.8</formula>
    </cfRule>
  </conditionalFormatting>
  <conditionalFormatting sqref="AG34 R34">
    <cfRule type="cellIs" dxfId="443" priority="46" operator="lessThan">
      <formula>0.8</formula>
    </cfRule>
  </conditionalFormatting>
  <conditionalFormatting sqref="R30 AG30">
    <cfRule type="cellIs" dxfId="442" priority="45" operator="lessThan">
      <formula>0.8</formula>
    </cfRule>
  </conditionalFormatting>
  <conditionalFormatting sqref="AG30">
    <cfRule type="cellIs" dxfId="441" priority="44" operator="lessThan">
      <formula>0.8</formula>
    </cfRule>
  </conditionalFormatting>
  <conditionalFormatting sqref="O59">
    <cfRule type="cellIs" dxfId="440" priority="38" operator="greaterThan">
      <formula>0</formula>
    </cfRule>
  </conditionalFormatting>
  <conditionalFormatting sqref="P59">
    <cfRule type="cellIs" dxfId="439" priority="42" operator="lessThan">
      <formula>0</formula>
    </cfRule>
  </conditionalFormatting>
  <conditionalFormatting sqref="Q59">
    <cfRule type="cellIs" dxfId="438" priority="39" operator="greaterThan">
      <formula>1</formula>
    </cfRule>
    <cfRule type="cellIs" dxfId="437" priority="40" operator="lessThan">
      <formula>0.8</formula>
    </cfRule>
  </conditionalFormatting>
  <conditionalFormatting sqref="R59 AG59">
    <cfRule type="cellIs" dxfId="436" priority="43" operator="lessThan">
      <formula>0.8</formula>
    </cfRule>
  </conditionalFormatting>
  <conditionalFormatting sqref="AG59">
    <cfRule type="cellIs" dxfId="435" priority="41" operator="lessThan">
      <formula>0.8</formula>
    </cfRule>
  </conditionalFormatting>
  <conditionalFormatting sqref="O60">
    <cfRule type="cellIs" dxfId="434" priority="32" operator="greaterThan">
      <formula>0</formula>
    </cfRule>
  </conditionalFormatting>
  <conditionalFormatting sqref="P60">
    <cfRule type="cellIs" dxfId="433" priority="36" operator="lessThan">
      <formula>0</formula>
    </cfRule>
  </conditionalFormatting>
  <conditionalFormatting sqref="Q60">
    <cfRule type="cellIs" dxfId="432" priority="33" operator="greaterThan">
      <formula>1</formula>
    </cfRule>
    <cfRule type="cellIs" dxfId="431" priority="34" operator="lessThan">
      <formula>0.8</formula>
    </cfRule>
  </conditionalFormatting>
  <conditionalFormatting sqref="R60 AG60">
    <cfRule type="cellIs" dxfId="430" priority="37" operator="lessThan">
      <formula>0.8</formula>
    </cfRule>
  </conditionalFormatting>
  <conditionalFormatting sqref="AG60">
    <cfRule type="cellIs" dxfId="429" priority="35" operator="lessThan">
      <formula>0.8</formula>
    </cfRule>
  </conditionalFormatting>
  <conditionalFormatting sqref="O61">
    <cfRule type="cellIs" dxfId="428" priority="26" operator="greaterThan">
      <formula>0</formula>
    </cfRule>
  </conditionalFormatting>
  <conditionalFormatting sqref="P61">
    <cfRule type="cellIs" dxfId="427" priority="30" operator="lessThan">
      <formula>0</formula>
    </cfRule>
  </conditionalFormatting>
  <conditionalFormatting sqref="Q61">
    <cfRule type="cellIs" dxfId="426" priority="27" operator="greaterThan">
      <formula>1</formula>
    </cfRule>
    <cfRule type="cellIs" dxfId="425" priority="28" operator="lessThan">
      <formula>0.8</formula>
    </cfRule>
  </conditionalFormatting>
  <conditionalFormatting sqref="R61 AG61">
    <cfRule type="cellIs" dxfId="424" priority="31" operator="lessThan">
      <formula>0.8</formula>
    </cfRule>
  </conditionalFormatting>
  <conditionalFormatting sqref="AG61">
    <cfRule type="cellIs" dxfId="423" priority="29" operator="lessThan">
      <formula>0.8</formula>
    </cfRule>
  </conditionalFormatting>
  <conditionalFormatting sqref="O73">
    <cfRule type="cellIs" dxfId="422" priority="21" operator="greaterThan">
      <formula>0</formula>
    </cfRule>
  </conditionalFormatting>
  <conditionalFormatting sqref="P73 AE73">
    <cfRule type="cellIs" dxfId="421" priority="24" operator="lessThan">
      <formula>0</formula>
    </cfRule>
  </conditionalFormatting>
  <conditionalFormatting sqref="Q73 AF73">
    <cfRule type="cellIs" dxfId="420" priority="22" operator="greaterThan">
      <formula>1</formula>
    </cfRule>
    <cfRule type="cellIs" dxfId="419" priority="23" operator="lessThan">
      <formula>0.8</formula>
    </cfRule>
  </conditionalFormatting>
  <conditionalFormatting sqref="R73 AG73">
    <cfRule type="cellIs" dxfId="418" priority="25" operator="lessThan">
      <formula>0.8</formula>
    </cfRule>
  </conditionalFormatting>
  <conditionalFormatting sqref="O20">
    <cfRule type="cellIs" dxfId="417" priority="16" operator="greaterThan">
      <formula>0</formula>
    </cfRule>
  </conditionalFormatting>
  <conditionalFormatting sqref="P20">
    <cfRule type="cellIs" dxfId="416" priority="19" operator="lessThan">
      <formula>0</formula>
    </cfRule>
  </conditionalFormatting>
  <conditionalFormatting sqref="Q20">
    <cfRule type="cellIs" dxfId="415" priority="17" operator="greaterThan">
      <formula>1</formula>
    </cfRule>
    <cfRule type="cellIs" dxfId="414" priority="18" operator="lessThan">
      <formula>0.8</formula>
    </cfRule>
  </conditionalFormatting>
  <conditionalFormatting sqref="AG20 R20">
    <cfRule type="cellIs" dxfId="413" priority="20" operator="lessThan">
      <formula>0.8</formula>
    </cfRule>
  </conditionalFormatting>
  <conditionalFormatting sqref="O21:O22">
    <cfRule type="cellIs" dxfId="412" priority="11" operator="greaterThan">
      <formula>0</formula>
    </cfRule>
  </conditionalFormatting>
  <conditionalFormatting sqref="P21:P22">
    <cfRule type="cellIs" dxfId="411" priority="14" operator="lessThan">
      <formula>0</formula>
    </cfRule>
  </conditionalFormatting>
  <conditionalFormatting sqref="Q21:Q22">
    <cfRule type="cellIs" dxfId="410" priority="12" operator="greaterThan">
      <formula>1</formula>
    </cfRule>
    <cfRule type="cellIs" dxfId="409" priority="13" operator="lessThan">
      <formula>0.8</formula>
    </cfRule>
  </conditionalFormatting>
  <conditionalFormatting sqref="AG21 R21">
    <cfRule type="cellIs" dxfId="408" priority="15" operator="lessThan">
      <formula>0.8</formula>
    </cfRule>
  </conditionalFormatting>
  <conditionalFormatting sqref="P10">
    <cfRule type="cellIs" dxfId="407" priority="10" operator="lessThan">
      <formula>0</formula>
    </cfRule>
  </conditionalFormatting>
  <conditionalFormatting sqref="P23">
    <cfRule type="cellIs" dxfId="406" priority="9" operator="lessThan">
      <formula>0</formula>
    </cfRule>
  </conditionalFormatting>
  <conditionalFormatting sqref="P35">
    <cfRule type="cellIs" dxfId="405" priority="8" operator="lessThan">
      <formula>0</formula>
    </cfRule>
  </conditionalFormatting>
  <conditionalFormatting sqref="P42">
    <cfRule type="cellIs" dxfId="404" priority="7" operator="lessThan">
      <formula>0</formula>
    </cfRule>
  </conditionalFormatting>
  <conditionalFormatting sqref="P62">
    <cfRule type="cellIs" dxfId="403" priority="6" operator="lessThan">
      <formula>0</formula>
    </cfRule>
  </conditionalFormatting>
  <conditionalFormatting sqref="P71">
    <cfRule type="cellIs" dxfId="402" priority="5" operator="lessThan">
      <formula>0</formula>
    </cfRule>
  </conditionalFormatting>
  <conditionalFormatting sqref="P77">
    <cfRule type="cellIs" dxfId="401" priority="4" operator="lessThan">
      <formula>0</formula>
    </cfRule>
  </conditionalFormatting>
  <conditionalFormatting sqref="P84">
    <cfRule type="cellIs" dxfId="400" priority="3" operator="lessThan">
      <formula>0</formula>
    </cfRule>
  </conditionalFormatting>
  <conditionalFormatting sqref="AG22 R22">
    <cfRule type="cellIs" dxfId="399" priority="2" operator="lessThan">
      <formula>0.8</formula>
    </cfRule>
  </conditionalFormatting>
  <conditionalFormatting sqref="AG33 R33">
    <cfRule type="cellIs" dxfId="398" priority="1" operator="lessThan">
      <formula>0.8</formula>
    </cfRule>
  </conditionalFormatting>
  <dataValidations count="1">
    <dataValidation type="list" allowBlank="1" showInputMessage="1" showErrorMessage="1" sqref="AB10 AA5:AB9 AB76 AA10:AA76 AB12:AB72 AA77:AB8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521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522</v>
      </c>
      <c r="C3" s="478" t="str">
        <f>TEXT('0105 4度C'!A2,"yyyy.mm.ddaaaa")</f>
        <v>2026.01.05星期一</v>
      </c>
      <c r="D3" s="479"/>
      <c r="E3" s="56" t="s">
        <v>523</v>
      </c>
      <c r="F3" s="480">
        <f>'0105 4度C'!D1</f>
        <v>177426</v>
      </c>
      <c r="G3" s="481"/>
      <c r="H3" s="56" t="s">
        <v>163</v>
      </c>
      <c r="I3" s="482">
        <f>'0105 4度C'!F1</f>
        <v>6223310.0100000007</v>
      </c>
      <c r="J3" s="483"/>
      <c r="K3" s="57"/>
      <c r="L3" s="58"/>
      <c r="M3" s="59"/>
      <c r="N3" s="59"/>
    </row>
    <row r="4" spans="2:17" ht="28.5" customHeight="1">
      <c r="B4" s="484" t="s">
        <v>524</v>
      </c>
      <c r="C4" s="470" t="s">
        <v>525</v>
      </c>
      <c r="D4" s="471"/>
      <c r="E4" s="487" t="s">
        <v>166</v>
      </c>
      <c r="F4" s="488"/>
      <c r="G4" s="487" t="s">
        <v>526</v>
      </c>
      <c r="H4" s="488"/>
      <c r="I4" s="487" t="s">
        <v>527</v>
      </c>
      <c r="J4" s="488"/>
      <c r="K4" s="468" t="s">
        <v>528</v>
      </c>
      <c r="L4" s="469"/>
      <c r="M4" s="469" t="s">
        <v>529</v>
      </c>
      <c r="N4" s="469"/>
    </row>
    <row r="5" spans="2:17" ht="28.5" customHeight="1">
      <c r="B5" s="485"/>
      <c r="C5" s="470" t="s">
        <v>530</v>
      </c>
      <c r="D5" s="471"/>
      <c r="E5" s="470" t="s">
        <v>531</v>
      </c>
      <c r="F5" s="471"/>
      <c r="G5" s="472" t="s">
        <v>532</v>
      </c>
      <c r="H5" s="473"/>
      <c r="I5" s="474" t="s">
        <v>533</v>
      </c>
      <c r="J5" s="475"/>
      <c r="K5" s="60" t="s">
        <v>534</v>
      </c>
      <c r="L5" s="61" t="s">
        <v>535</v>
      </c>
      <c r="M5" s="60" t="s">
        <v>536</v>
      </c>
      <c r="N5" s="61" t="s">
        <v>537</v>
      </c>
    </row>
    <row r="6" spans="2:17" ht="28.5" customHeight="1">
      <c r="B6" s="485"/>
      <c r="C6" s="470" t="s">
        <v>144</v>
      </c>
      <c r="D6" s="471"/>
      <c r="E6" s="462">
        <f>AVERAGE(D13:M13)</f>
        <v>147.3801615791217</v>
      </c>
      <c r="F6" s="463">
        <f>AVERAGE(D31:O31,D13:J13)</f>
        <v>150.87072266540258</v>
      </c>
      <c r="G6" s="464">
        <f>AVERAGE(D13:J13)</f>
        <v>150.87072266540258</v>
      </c>
      <c r="H6" s="465"/>
      <c r="I6" s="464">
        <f>AVERAGE(K13:M13)</f>
        <v>139.23551904446634</v>
      </c>
      <c r="J6" s="465"/>
      <c r="K6" s="466">
        <f>'0105 4度C'!Y2</f>
        <v>0</v>
      </c>
      <c r="L6" s="451">
        <f>'0105 4度C'!Z2</f>
        <v>0</v>
      </c>
      <c r="M6" s="467">
        <f>'0105 4度C'!AC2</f>
        <v>44</v>
      </c>
      <c r="N6" s="451">
        <f>'0105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140.93052859589341</v>
      </c>
      <c r="F7" s="455">
        <f>AVERAGE(D32:O32,D14:J14)</f>
        <v>144.249406987268</v>
      </c>
      <c r="G7" s="456">
        <f>AVERAGE(D14:J14)</f>
        <v>144.249406987268</v>
      </c>
      <c r="H7" s="457"/>
      <c r="I7" s="456">
        <f>AVERAGE(K14:M14)</f>
        <v>133.18647901601938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0.95483187466393349</v>
      </c>
      <c r="F8" s="459">
        <f>AVERAGE(D15:J15,D33:O33)</f>
        <v>0.95407532230794323</v>
      </c>
      <c r="G8" s="460">
        <f>AVERAGE(D15:J15)</f>
        <v>0.95407532230794323</v>
      </c>
      <c r="H8" s="461"/>
      <c r="I8" s="460">
        <f>AVERAGE(K15:M15)</f>
        <v>0.9565971634945778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538</v>
      </c>
      <c r="N9" s="59"/>
      <c r="O9" s="59"/>
      <c r="P9" s="59"/>
      <c r="Q9" s="59"/>
    </row>
    <row r="10" spans="2:17" ht="30" customHeight="1">
      <c r="B10" s="434" t="s">
        <v>179</v>
      </c>
      <c r="C10" s="435"/>
      <c r="D10" s="436" t="s">
        <v>539</v>
      </c>
      <c r="E10" s="437"/>
      <c r="F10" s="437"/>
      <c r="G10" s="437"/>
      <c r="H10" s="437"/>
      <c r="I10" s="437"/>
      <c r="J10" s="438"/>
      <c r="K10" s="439" t="s">
        <v>540</v>
      </c>
      <c r="L10" s="440"/>
      <c r="M10" s="441"/>
      <c r="P10" s="65"/>
      <c r="Q10" s="65"/>
    </row>
    <row r="11" spans="2:17" ht="17.25" customHeight="1">
      <c r="B11" s="442" t="s">
        <v>541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542</v>
      </c>
      <c r="C13" s="72" t="s">
        <v>543</v>
      </c>
      <c r="D13" s="73">
        <f>SUMIFS('0105 4度C'!$K:$K,'0105 4度C'!$A:$A,"新豐6線",'0105 4度C'!$B:$B,"平均")</f>
        <v>108.69565217391305</v>
      </c>
      <c r="E13" s="74">
        <f>SUMIFS('0105 4度C'!$K:$K,'0105 4度C'!$A:$A,"新豐2線",'0105 4度C'!$B:$B,"平均")</f>
        <v>83.333333333333329</v>
      </c>
      <c r="F13" s="75">
        <f>SUMIFS('0105 4度C'!$K:$K,'0105 4度C'!$A:$A,"新豐5線",'0105 4度C'!$B:$B,"平均")</f>
        <v>109.99999999999999</v>
      </c>
      <c r="G13" s="75">
        <f>SUMIFS('0105 4度C'!$K:$K,'0105 4度C'!$A:$A,"新豐7線",'0105 4度C'!$B:$B,"平均")</f>
        <v>114.75409836065573</v>
      </c>
      <c r="H13" s="75">
        <f>SUMIFS('0105 4度C'!$K:$K,'0105 4度C'!$A:$A,"新豐3線",'0105 4度C'!$B:$B,"平均")</f>
        <v>235.29411764705881</v>
      </c>
      <c r="I13" s="75">
        <f>SUMIFS('0105 4度C'!$K:$K,'0105 4度C'!$A:$A,"新豐1線",'0105 4度C'!$B:$B,"平均")</f>
        <v>109.375</v>
      </c>
      <c r="J13" s="76">
        <f>SUMIFS('0105 4度C'!$K:$K,'0105 4度C'!$A:$A,"新豐10線",'0105 4度C'!$B:$B,"平均")</f>
        <v>294.64285714285711</v>
      </c>
      <c r="K13" s="77">
        <f>SUMIFS('0105 4度C'!$K:$K,'0105 4度C'!$A:$A,"新豐8線",'0105 4度C'!$B:$B,"平均")</f>
        <v>132.11009174311926</v>
      </c>
      <c r="L13" s="78">
        <f>SUMIFS('0105 4度C'!$K:$K,'0105 4度C'!$A:$A,"新豐9線",'0105 4度C'!$B:$B,"平均")</f>
        <v>137.14285714285714</v>
      </c>
      <c r="M13" s="76">
        <f>SUMIFS('0105 4度C'!$K:$K,'0105 4度C'!$A:$A,"新豐4線",'0105 4度C'!$B:$B,"平均")</f>
        <v>148.45360824742266</v>
      </c>
    </row>
    <row r="14" spans="2:17" ht="39.6" customHeight="1">
      <c r="B14" s="447"/>
      <c r="C14" s="79" t="s">
        <v>544</v>
      </c>
      <c r="D14" s="80">
        <f>SUMIFS('0105 4度C'!$N:$N,'0105 4度C'!$A:$A,"新豐6線",'0105 4度C'!$B:$B,"平均")</f>
        <v>104.25933207309392</v>
      </c>
      <c r="E14" s="81">
        <f>SUMIFS('0105 4度C'!$N:$N,'0105 4度C'!$A:$A,"新豐2線",'0105 4度C'!$B:$B,"平均")</f>
        <v>79.376858563330572</v>
      </c>
      <c r="F14" s="81">
        <f>SUMIFS('0105 4度C'!$N:$N,'0105 4度C'!$A:$A,"新豐5線",'0105 4度C'!$B:$B,"平均")</f>
        <v>105.59396031063497</v>
      </c>
      <c r="G14" s="81">
        <f>SUMIFS('0105 4度C'!$N:$N,'0105 4度C'!$A:$A,"新豐7線",'0105 4度C'!$B:$B,"平均")</f>
        <v>110.5408336986867</v>
      </c>
      <c r="H14" s="81">
        <f>SUMIFS('0105 4度C'!$N:$N,'0105 4度C'!$A:$A,"新豐3線",'0105 4度C'!$B:$B,"平均")</f>
        <v>225.39714804403508</v>
      </c>
      <c r="I14" s="81">
        <f>SUMIFS('0105 4度C'!$N:$N,'0105 4度C'!$A:$A,"新豐1線",'0105 4度C'!$B:$B,"平均")</f>
        <v>100.96130814404597</v>
      </c>
      <c r="J14" s="82">
        <f>SUMIFS('0105 4度C'!$N:$N,'0105 4度C'!$A:$A,"新豐10線",'0105 4度C'!$B:$B,"平均")</f>
        <v>283.61640807704879</v>
      </c>
      <c r="K14" s="83">
        <f>SUMIFS('0105 4度C'!$N:$N,'0105 4度C'!$A:$A,"新豐8線",'0105 4度C'!$B:$B,"平均")</f>
        <v>126.14998521986863</v>
      </c>
      <c r="L14" s="84">
        <f>SUMIFS('0105 4度C'!$N:$N,'0105 4度C'!$A:$A,"新豐9線",'0105 4度C'!$B:$B,"平均")</f>
        <v>131.74153083321221</v>
      </c>
      <c r="M14" s="82">
        <f>SUMIFS('0105 4度C'!$N:$N,'0105 4度C'!$A:$A,"新豐4線",'0105 4度C'!$B:$B,"平均")</f>
        <v>141.66792099497724</v>
      </c>
    </row>
    <row r="15" spans="2:17" ht="40.15" customHeight="1">
      <c r="B15" s="448"/>
      <c r="C15" s="85" t="s">
        <v>186</v>
      </c>
      <c r="D15" s="86">
        <f t="shared" ref="D15:M15" si="0">D14/D13</f>
        <v>0.95918585507246401</v>
      </c>
      <c r="E15" s="87">
        <f t="shared" si="0"/>
        <v>0.95252230275996697</v>
      </c>
      <c r="F15" s="87">
        <f t="shared" si="0"/>
        <v>0.95994509373304526</v>
      </c>
      <c r="G15" s="87">
        <f t="shared" si="0"/>
        <v>0.96328440794569836</v>
      </c>
      <c r="H15" s="87">
        <f t="shared" si="0"/>
        <v>0.95793787918714912</v>
      </c>
      <c r="I15" s="87">
        <f t="shared" si="0"/>
        <v>0.9230748173169917</v>
      </c>
      <c r="J15" s="88">
        <f t="shared" si="0"/>
        <v>0.96257690014028685</v>
      </c>
      <c r="K15" s="86">
        <f t="shared" si="0"/>
        <v>0.95488530478928346</v>
      </c>
      <c r="L15" s="87">
        <f t="shared" si="0"/>
        <v>0.96061532899217239</v>
      </c>
      <c r="M15" s="88">
        <f t="shared" si="0"/>
        <v>0.95429085670227731</v>
      </c>
    </row>
    <row r="16" spans="2:17" ht="17.25" customHeight="1">
      <c r="B16" s="449" t="s">
        <v>187</v>
      </c>
      <c r="C16" s="89" t="s">
        <v>188</v>
      </c>
      <c r="D16" s="90">
        <f>VLOOKUP("新豐6線",'0105 4度C'!$A:$T,19,0)</f>
        <v>0.70833333333333337</v>
      </c>
      <c r="E16" s="91">
        <f>VLOOKUP("新豐2線",'0105 4度C'!$A:$T,19,0)</f>
        <v>0.16666666666666666</v>
      </c>
      <c r="F16" s="91">
        <f>VLOOKUP("新豐5線",'0105 4度C'!$A:$T,19,0)</f>
        <v>0.20833333333333334</v>
      </c>
      <c r="G16" s="91">
        <f>VLOOKUP("新豐7線",'0105 4度C'!$A:$T,19,0)</f>
        <v>0.20833333333333334</v>
      </c>
      <c r="H16" s="91">
        <f>VLOOKUP("新豐3線",'0105 4度C'!$A:$T,19,0)</f>
        <v>8.3333333333333329E-2</v>
      </c>
      <c r="I16" s="91">
        <f>VLOOKUP("新豐1線",'0105 4度C'!$A:$T,19,0)</f>
        <v>0.20833333333333334</v>
      </c>
      <c r="J16" s="92">
        <f>VLOOKUP("新豐10線",'0105 4度C'!$A:$T,19,0)</f>
        <v>0.20833333333333334</v>
      </c>
      <c r="K16" s="93">
        <f>VLOOKUP("新豐8線",'0105 4度C'!$A:$T,19,0)</f>
        <v>8.3333333333333329E-2</v>
      </c>
      <c r="L16" s="94">
        <f>VLOOKUP("新豐9線",'0105 4度C'!$A:$T,19,0)</f>
        <v>8.3333333333333329E-2</v>
      </c>
      <c r="M16" s="95">
        <f>VLOOKUP("新豐4線",'0105 4度C'!$A:$T,19,0)</f>
        <v>8.3333333333333329E-2</v>
      </c>
    </row>
    <row r="17" spans="2:13" ht="17.25" customHeight="1">
      <c r="B17" s="450"/>
      <c r="C17" s="89" t="s">
        <v>189</v>
      </c>
      <c r="D17" s="93">
        <f>LOOKUP(2,1/(('0105 4度C'!$A:$A="新豐6線")*('0105 4度C'!$T:$T&lt;&gt;"")),'0105 4度C'!$T:$T)</f>
        <v>0.98124999999999996</v>
      </c>
      <c r="E17" s="91">
        <f>LOOKUP(2,1/(('0105 4度C'!$A:$A="新豐2線")*('0105 4度C'!$T:$T&lt;&gt;"")),'0105 4度C'!$T:$T)</f>
        <v>0.42569444444444438</v>
      </c>
      <c r="F17" s="91">
        <f>LOOKUP(2,1/(('0105 4度C'!$A:$A="新豐5線")*('0105 4度C'!$T:$T&lt;&gt;"")),'0105 4度C'!$T:$T)</f>
        <v>0.96875</v>
      </c>
      <c r="G17" s="91">
        <f>LOOKUP(2,1/(('0105 4度C'!$A:$A="新豐7線")*('0105 4度C'!$T:$T&lt;&gt;"")),'0105 4度C'!$T:$T)</f>
        <v>0.97847222222222219</v>
      </c>
      <c r="H17" s="91">
        <f>LOOKUP(2,1/(('0105 4度C'!$A:$A="新豐3線")*('0105 4度C'!$T:$T&lt;&gt;"")),'0105 4度C'!$T:$T)</f>
        <v>0.50624999999999987</v>
      </c>
      <c r="I17" s="91">
        <f>LOOKUP(2,1/(('0105 4度C'!$A:$A="新豐1線")*('0105 4度C'!$T:$T&lt;&gt;"")),'0105 4度C'!$T:$T)</f>
        <v>0.9555555555555556</v>
      </c>
      <c r="J17" s="92">
        <f>LOOKUP(2,1/(('0105 4度C'!$A:$A="新豐10線")*('0105 4度C'!$T:$T&lt;&gt;"")),'0105 4度C'!$T:$T)</f>
        <v>0.47013888888888877</v>
      </c>
      <c r="K17" s="90">
        <f>LOOKUP(2,1/(('0105 4度C'!$A:$A="新豐8線")*('0105 4度C'!$T:$T&lt;&gt;"")),'0105 4度C'!$T:$T)</f>
        <v>0.63541666666666652</v>
      </c>
      <c r="L17" s="91">
        <f>LOOKUP(2,1/(('0105 4度C'!$A:$A="新豐9線")*('0105 4度C'!$T:$T&lt;&gt;"")),'0105 4度C'!$T:$T)</f>
        <v>0.56111111111111101</v>
      </c>
      <c r="M17" s="92">
        <f>LOOKUP(2,1/(('0105 4度C'!$A:$A="新豐4線")*('0105 4度C'!$T:$T&lt;&gt;"")),'0105 4度C'!$T:$T)</f>
        <v>0.61944444444444435</v>
      </c>
    </row>
    <row r="18" spans="2:13" ht="17.25" customHeight="1">
      <c r="B18" s="428" t="s">
        <v>190</v>
      </c>
      <c r="C18" s="96" t="s">
        <v>191</v>
      </c>
      <c r="D18" s="97">
        <f>SUMIFS('0105 4度C'!$Y:$Y,'0105 4度C'!$A:$A,"新豐6線",'0105 4度C'!$B:$B,"平均")</f>
        <v>0</v>
      </c>
      <c r="E18" s="98">
        <f>SUMIFS('0105 4度C'!$Y:$Y,'0105 4度C'!$A:$A,"新豐2線",'0105 4度C'!$B:$B,"平均")</f>
        <v>0</v>
      </c>
      <c r="F18" s="98">
        <f>SUMIFS('0105 4度C'!$Y:$Y,'0105 4度C'!$A:$A,"新豐5線",'0105 4度C'!$B:$B,"平均")</f>
        <v>0</v>
      </c>
      <c r="G18" s="98">
        <f>SUMIFS('0105 4度C'!$Y:$Y,'0105 4度C'!$A:$A,"新豐7線",'0105 4度C'!$B:$B,"平均")</f>
        <v>0</v>
      </c>
      <c r="H18" s="98">
        <f>SUMIFS('0105 4度C'!$Y:$Y,'0105 4度C'!$A:$A,"新豐3線",'0105 4度C'!$B:$B,"平均")</f>
        <v>0</v>
      </c>
      <c r="I18" s="98">
        <f>SUMIFS('0105 4度C'!$Y:$Y,'0105 4度C'!$A:$A,"新豐1線",'0105 4度C'!$B:$B,"平均")</f>
        <v>0</v>
      </c>
      <c r="J18" s="99">
        <f>SUMIFS('0105 4度C'!$Y:$Y,'0105 4度C'!$A:$A,"新豐10線",'0105 4度C'!$B:$B,"平均")</f>
        <v>0</v>
      </c>
      <c r="K18" s="100">
        <f>SUMIFS('0105 4度C'!$Y:$Y,'0105 4度C'!$A:$A,"新豐8線",'0105 4度C'!$B:$B,"平均")</f>
        <v>0</v>
      </c>
      <c r="L18" s="98">
        <f>SUMIFS('0105 4度C'!$Y:$Y,'0105 4度C'!$A:$A,"新豐9線",'0105 4度C'!$B:$B,"平均")</f>
        <v>0</v>
      </c>
      <c r="M18" s="99">
        <f>SUMIFS('0105 4度C'!$Y:$Y,'0105 4度C'!$A:$A,"新豐4線",'0105 4度C'!$B:$B,"平均")</f>
        <v>0</v>
      </c>
    </row>
    <row r="19" spans="2:13" ht="17.25" customHeight="1">
      <c r="B19" s="429"/>
      <c r="C19" s="96" t="s">
        <v>192</v>
      </c>
      <c r="D19" s="97">
        <f>SUMIFS('0105 4度C'!$Z:$Z,'0105 4度C'!$A:$A,"新豐6線",'0105 4度C'!$B:$B,"平均")</f>
        <v>0</v>
      </c>
      <c r="E19" s="98">
        <f>SUMIFS('0105 4度C'!$Z:$Z,'0105 4度C'!$A:$A,"新豐2線",'0105 4度C'!$B:$B,"平均")</f>
        <v>0</v>
      </c>
      <c r="F19" s="98">
        <f>SUMIFS('0105 4度C'!$Z:$Z,'0105 4度C'!$A:$A,"新豐5線",'0105 4度C'!$B:$B,"平均")</f>
        <v>0</v>
      </c>
      <c r="G19" s="98">
        <f>SUMIFS('0105 4度C'!$Z:$Z,'0105 4度C'!$A:$A,"新豐7線",'0105 4度C'!$B:$B,"平均")</f>
        <v>0</v>
      </c>
      <c r="H19" s="98">
        <f>SUMIFS('0105 4度C'!$Z:$Z,'0105 4度C'!$A:$A,"新豐3線",'0105 4度C'!$B:$B,"平均")</f>
        <v>0</v>
      </c>
      <c r="I19" s="98">
        <f>SUMIFS('0105 4度C'!$Z:$Z,'0105 4度C'!$A:$A,"新豐1線",'0105 4度C'!$B:$B,"平均")</f>
        <v>0</v>
      </c>
      <c r="J19" s="99">
        <f>SUMIFS('0105 4度C'!$Z:$Z,'0105 4度C'!$A:$A,"新豐10線",'0105 4度C'!$B:$B,"平均")</f>
        <v>0</v>
      </c>
      <c r="K19" s="100">
        <f>SUMIFS('0105 4度C'!$Z:$Z,'0105 4度C'!$A:$A,"新豐8線",'0105 4度C'!$B:$B,"平均")</f>
        <v>0</v>
      </c>
      <c r="L19" s="98">
        <f>SUMIFS('0105 4度C'!$Z:$Z,'0105 4度C'!$A:$A,"新豐9線",'0105 4度C'!$B:$B,"平均")</f>
        <v>0</v>
      </c>
      <c r="M19" s="99">
        <f>SUMIFS('0105 4度C'!$Z:$Z,'0105 4度C'!$A:$A,"新豐4線",'0105 4度C'!$B:$B,"平均")</f>
        <v>0</v>
      </c>
    </row>
    <row r="20" spans="2:13" ht="17.25" customHeight="1">
      <c r="B20" s="428" t="s">
        <v>193</v>
      </c>
      <c r="C20" s="96" t="s">
        <v>545</v>
      </c>
      <c r="D20" s="97">
        <f>SUMIFS('0105 4度C'!$AC:$AC,'0105 4度C'!$A:$A,"新豐6線",'0105 4度C'!$B:$B,"平均")</f>
        <v>3</v>
      </c>
      <c r="E20" s="98">
        <f>SUMIFS('0105 4度C'!$AC:$AC,'0105 4度C'!$A:$A,"新豐2線",'0105 4度C'!$B:$B,"平均")</f>
        <v>2</v>
      </c>
      <c r="F20" s="98">
        <f>SUMIFS('0105 4度C'!$AC:$AC,'0105 4度C'!$A:$A,"新豐5線",'0105 4度C'!$B:$B,"平均")</f>
        <v>4</v>
      </c>
      <c r="G20" s="98">
        <f>SUMIFS('0105 4度C'!$AC:$AC,'0105 4度C'!$A:$A,"新豐7線",'0105 4度C'!$B:$B,"平均")</f>
        <v>5</v>
      </c>
      <c r="H20" s="98">
        <f>SUMIFS('0105 4度C'!$AC:$AC,'0105 4度C'!$A:$A,"新豐3線",'0105 4度C'!$B:$B,"平均")</f>
        <v>3</v>
      </c>
      <c r="I20" s="98">
        <f>SUMIFS('0105 4度C'!$AC:$AC,'0105 4度C'!$A:$A,"新豐1線",'0105 4度C'!$B:$B,"平均")</f>
        <v>4</v>
      </c>
      <c r="J20" s="99">
        <f>SUMIFS('0105 4度C'!$AC:$AC,'0105 4度C'!$A:$A,"新豐10線",'0105 4度C'!$B:$B,"平均")</f>
        <v>0</v>
      </c>
      <c r="K20" s="100">
        <f>SUMIFS('0105 4度C'!$AC:$AC,'0105 4度C'!$A:$A,"新豐8線",'0105 4度C'!$B:$B,"平均")</f>
        <v>8</v>
      </c>
      <c r="L20" s="98">
        <f>SUMIFS('0105 4度C'!$AC:$AC,'0105 4度C'!$A:$A,"新豐9線",'0105 4度C'!$B:$B,"平均")</f>
        <v>7</v>
      </c>
      <c r="M20" s="99">
        <f>SUMIFS('0105 4度C'!$AC:$AC,'0105 4度C'!$A:$A,"新豐4線",'0105 4度C'!$B:$B,"平均")</f>
        <v>8</v>
      </c>
    </row>
    <row r="21" spans="2:13" ht="17.25" customHeight="1">
      <c r="B21" s="429"/>
      <c r="C21" s="96" t="s">
        <v>546</v>
      </c>
      <c r="D21" s="97">
        <f>SUMIFS('0105 4度C'!$AD:$AD,'0105 4度C'!$A:$A,"新豐6線",'0105 4度C'!$B:$B,"平均")</f>
        <v>0</v>
      </c>
      <c r="E21" s="98">
        <f>SUMIFS('0105 4度C'!$AD:$AD,'0105 4度C'!$A:$A,"新豐2線",'0105 4度C'!$B:$B,"平均")</f>
        <v>0</v>
      </c>
      <c r="F21" s="98">
        <f>SUMIFS('0105 4度C'!$AD:$AD,'0105 4度C'!$A:$A,"新豐5線",'0105 4度C'!$B:$B,"平均")</f>
        <v>0</v>
      </c>
      <c r="G21" s="98">
        <f>SUMIFS('0105 4度C'!$AD:$AD,'0105 4度C'!$A:$A,"新豐7線",'0105 4度C'!$B:$B,"平均")</f>
        <v>0</v>
      </c>
      <c r="H21" s="98">
        <f>SUMIFS('0105 4度C'!$AD:$AD,'0105 4度C'!$A:$A,"新豐3線",'0105 4度C'!$B:$B,"平均")</f>
        <v>0</v>
      </c>
      <c r="I21" s="98">
        <f>SUMIFS('0105 4度C'!$AD:$AD,'0105 4度C'!$A:$A,"新豐1線",'0105 4度C'!$B:$B,"平均")</f>
        <v>0</v>
      </c>
      <c r="J21" s="99">
        <f>SUMIFS('0105 4度C'!$AD:$AD,'0105 4度C'!$A:$A,"新豐10線",'0105 4度C'!$B:$B,"平均")</f>
        <v>0</v>
      </c>
      <c r="K21" s="100">
        <f>SUMIFS('0105 4度C'!$AD:$AD,'0105 4度C'!$A:$A,"新豐8線",'0105 4度C'!$B:$B,"平均")</f>
        <v>0</v>
      </c>
      <c r="L21" s="98">
        <f>SUMIFS('0105 4度C'!$AD:$AD,'0105 4度C'!$A:$A,"新豐9線",'0105 4度C'!$B:$B,"平均")</f>
        <v>0</v>
      </c>
      <c r="M21" s="99">
        <f>SUMIFS('0105 4度C'!$AD:$AD,'0105 4度C'!$A:$A,"新豐4線",'0105 4度C'!$B:$B,"平均")</f>
        <v>0</v>
      </c>
    </row>
    <row r="22" spans="2:13" ht="17.25" customHeight="1">
      <c r="B22" s="430" t="s">
        <v>195</v>
      </c>
      <c r="C22" s="431"/>
      <c r="D22" s="101">
        <f>SUMIFS('0105 4度C'!$I:$I,'0105 4度C'!$A:$A,"新豐6線",'0105 4度C'!$B:$B,"平均")</f>
        <v>18.399999999999999</v>
      </c>
      <c r="E22" s="102">
        <f>SUMIFS('0105 4度C'!$I:$I,'0105 4度C'!$A:$A,"新豐2線",'0105 4度C'!$B:$B,"平均")</f>
        <v>18</v>
      </c>
      <c r="F22" s="102">
        <f>SUMIFS('0105 4度C'!$I:$I,'0105 4度C'!$A:$A,"新豐5線",'0105 4度C'!$B:$B,"平均")</f>
        <v>16.666666666666668</v>
      </c>
      <c r="G22" s="102">
        <f>SUMIFS('0105 4度C'!$I:$I,'0105 4度C'!$A:$A,"新豐7線",'0105 4度C'!$B:$B,"平均")</f>
        <v>16.636363636363637</v>
      </c>
      <c r="H22" s="102">
        <f>SUMIFS('0105 4度C'!$I:$I,'0105 4度C'!$A:$A,"新豐3線",'0105 4度C'!$B:$B,"平均")</f>
        <v>11.333333333333334</v>
      </c>
      <c r="I22" s="102">
        <f>SUMIFS('0105 4度C'!$I:$I,'0105 4度C'!$A:$A,"新豐1線",'0105 4度C'!$B:$B,"平均")</f>
        <v>18.285714285714285</v>
      </c>
      <c r="J22" s="103">
        <f>SUMIFS('0105 4度C'!$I:$I,'0105 4度C'!$A:$A,"新豐10線",'0105 4度C'!$B:$B,"平均")</f>
        <v>9.3333333333333339</v>
      </c>
      <c r="K22" s="101">
        <f>SUMIFS('0105 4度C'!$I:$I,'0105 4度C'!$A:$A,"新豐8線",'0105 4度C'!$B:$B,"平均")</f>
        <v>18.166666666666668</v>
      </c>
      <c r="L22" s="102">
        <f>SUMIFS('0105 4度C'!$I:$I,'0105 4度C'!$A:$A,"新豐9線",'0105 4度C'!$B:$B,"平均")</f>
        <v>17.5</v>
      </c>
      <c r="M22" s="103">
        <f>SUMIFS('0105 4度C'!$I:$I,'0105 4度C'!$A:$A,"新豐4線",'0105 4度C'!$B:$B,"平均")</f>
        <v>16.166666666666668</v>
      </c>
    </row>
    <row r="23" spans="2:13" ht="17.25" customHeight="1">
      <c r="B23" s="430" t="s">
        <v>196</v>
      </c>
      <c r="C23" s="431"/>
      <c r="D23" s="104" t="s">
        <v>157</v>
      </c>
      <c r="E23" s="105" t="s">
        <v>158</v>
      </c>
      <c r="F23" s="105" t="s">
        <v>197</v>
      </c>
      <c r="G23" s="105" t="s">
        <v>547</v>
      </c>
      <c r="H23" s="105" t="s">
        <v>159</v>
      </c>
      <c r="I23" s="105" t="s">
        <v>157</v>
      </c>
      <c r="J23" s="106" t="s">
        <v>159</v>
      </c>
      <c r="K23" s="104" t="s">
        <v>199</v>
      </c>
      <c r="L23" s="105" t="s">
        <v>199</v>
      </c>
      <c r="M23" s="106" t="s">
        <v>548</v>
      </c>
    </row>
    <row r="24" spans="2:13" ht="17.25" customHeight="1">
      <c r="B24" s="430" t="s">
        <v>200</v>
      </c>
      <c r="C24" s="431"/>
      <c r="D24" s="104"/>
      <c r="E24" s="105"/>
      <c r="F24" s="105" t="s">
        <v>201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202</v>
      </c>
      <c r="C25" s="433"/>
      <c r="D25" s="107"/>
      <c r="E25" s="108" t="s">
        <v>203</v>
      </c>
      <c r="F25" s="426" t="s">
        <v>204</v>
      </c>
      <c r="G25" s="427"/>
      <c r="H25" s="108" t="s">
        <v>205</v>
      </c>
      <c r="I25" s="108" t="s">
        <v>206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9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bestFit="1" customWidth="1"/>
    <col min="6" max="6" width="14.375" style="9" bestFit="1" customWidth="1"/>
    <col min="7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549</v>
      </c>
      <c r="B1" s="1"/>
      <c r="C1" s="2" t="s">
        <v>550</v>
      </c>
      <c r="D1" s="3">
        <f>SUM(F5:F80)</f>
        <v>177426</v>
      </c>
      <c r="E1" s="159" t="s">
        <v>551</v>
      </c>
      <c r="F1" s="1">
        <f>SUM(G5:G80)</f>
        <v>6223310.0100000007</v>
      </c>
      <c r="G1" s="1" t="s">
        <v>552</v>
      </c>
      <c r="H1" s="5">
        <f>L10+L13+L58+L66+L23+L73+L42+L51+L35+L80</f>
        <v>160.48874458874459</v>
      </c>
      <c r="I1" s="542" t="s">
        <v>553</v>
      </c>
      <c r="J1" s="542"/>
      <c r="K1" s="542"/>
      <c r="L1" s="542" t="s">
        <v>554</v>
      </c>
      <c r="M1" s="542"/>
      <c r="N1" s="542"/>
      <c r="O1" s="542" t="s">
        <v>555</v>
      </c>
      <c r="P1" s="542"/>
      <c r="Q1" s="542"/>
      <c r="R1" s="542"/>
      <c r="S1" s="542" t="s">
        <v>556</v>
      </c>
      <c r="T1" s="542"/>
      <c r="U1" s="542"/>
      <c r="V1" s="542"/>
      <c r="W1" s="542"/>
      <c r="X1" s="542"/>
      <c r="Y1" s="6" t="s">
        <v>557</v>
      </c>
      <c r="Z1" s="7" t="s">
        <v>558</v>
      </c>
      <c r="AA1" s="543" t="s">
        <v>559</v>
      </c>
      <c r="AB1" s="543"/>
      <c r="AC1" s="8" t="s">
        <v>560</v>
      </c>
      <c r="AD1" s="7" t="s">
        <v>561</v>
      </c>
      <c r="AE1" s="542" t="s">
        <v>562</v>
      </c>
      <c r="AF1" s="544"/>
      <c r="AG1" s="544"/>
    </row>
    <row r="2" spans="1:33" ht="26.25" customHeight="1">
      <c r="A2" s="49">
        <v>46027</v>
      </c>
      <c r="B2" s="50" t="s">
        <v>514</v>
      </c>
      <c r="C2" s="2" t="s">
        <v>563</v>
      </c>
      <c r="D2" s="10">
        <f>AVERAGE(N10,N13,N58,N66,N23,N73,N35,N42,N51,N80)</f>
        <v>140.93052859589341</v>
      </c>
      <c r="E2" s="11" t="s">
        <v>14</v>
      </c>
      <c r="F2" s="12">
        <f>F1/D1</f>
        <v>35.07552450035508</v>
      </c>
      <c r="G2" s="1" t="s">
        <v>15</v>
      </c>
      <c r="H2" s="171">
        <f>COUNT(H5:H80)</f>
        <v>9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SUM(Y10+Y13+Y23+Y35+Y42+Y51+Y58+Y66+Y73+Y80)</f>
        <v>0</v>
      </c>
      <c r="Z2" s="14">
        <f>SUM(Z10+Z13+Z23+Z35+Z42+Z51+Z58+Z66+Z73+Z80)</f>
        <v>0</v>
      </c>
      <c r="AA2" s="543"/>
      <c r="AB2" s="543"/>
      <c r="AC2" s="14">
        <f>SUM(AC10+AC13+AC23+AC35+AC42+AC51+AC58+AC66+AC73+AC80)</f>
        <v>44</v>
      </c>
      <c r="AD2" s="14">
        <f>SUM(AD10+AD13+AD23+AD35+AD42+AD51+AD58+AD66+AD73+AD80)</f>
        <v>0</v>
      </c>
      <c r="AE2" s="544"/>
      <c r="AF2" s="544"/>
      <c r="AG2" s="544"/>
    </row>
    <row r="3" spans="1:33" ht="40.5" customHeight="1">
      <c r="A3" s="491" t="s">
        <v>564</v>
      </c>
      <c r="B3" s="491" t="s">
        <v>565</v>
      </c>
      <c r="C3" s="491" t="s">
        <v>566</v>
      </c>
      <c r="D3" s="491"/>
      <c r="E3" s="540" t="s">
        <v>567</v>
      </c>
      <c r="F3" s="491" t="s">
        <v>568</v>
      </c>
      <c r="G3" s="540" t="s">
        <v>569</v>
      </c>
      <c r="H3" s="533" t="s">
        <v>570</v>
      </c>
      <c r="I3" s="531" t="s">
        <v>571</v>
      </c>
      <c r="J3" s="528" t="s">
        <v>572</v>
      </c>
      <c r="K3" s="538" t="s">
        <v>573</v>
      </c>
      <c r="L3" s="531" t="s">
        <v>571</v>
      </c>
      <c r="M3" s="528" t="s">
        <v>574</v>
      </c>
      <c r="N3" s="538" t="s">
        <v>575</v>
      </c>
      <c r="O3" s="531" t="s">
        <v>571</v>
      </c>
      <c r="P3" s="538" t="s">
        <v>563</v>
      </c>
      <c r="Q3" s="529" t="s">
        <v>576</v>
      </c>
      <c r="R3" s="507" t="s">
        <v>577</v>
      </c>
      <c r="S3" s="539" t="s">
        <v>27</v>
      </c>
      <c r="T3" s="539"/>
      <c r="U3" s="533" t="s">
        <v>28</v>
      </c>
      <c r="V3" s="533" t="s">
        <v>578</v>
      </c>
      <c r="W3" s="491" t="s">
        <v>30</v>
      </c>
      <c r="X3" s="491"/>
      <c r="Y3" s="534" t="s">
        <v>579</v>
      </c>
      <c r="Z3" s="495"/>
      <c r="AA3" s="535" t="s">
        <v>580</v>
      </c>
      <c r="AB3" s="536"/>
      <c r="AC3" s="534" t="s">
        <v>581</v>
      </c>
      <c r="AD3" s="495"/>
      <c r="AE3" s="528" t="s">
        <v>582</v>
      </c>
      <c r="AF3" s="529" t="s">
        <v>583</v>
      </c>
      <c r="AG3" s="507" t="s">
        <v>577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70" t="s">
        <v>37</v>
      </c>
      <c r="T4" s="170" t="s">
        <v>38</v>
      </c>
      <c r="U4" s="533"/>
      <c r="V4" s="533"/>
      <c r="W4" s="159" t="s">
        <v>584</v>
      </c>
      <c r="X4" s="159" t="s">
        <v>585</v>
      </c>
      <c r="Y4" s="162" t="s">
        <v>586</v>
      </c>
      <c r="Z4" s="162" t="s">
        <v>587</v>
      </c>
      <c r="AA4" s="537"/>
      <c r="AB4" s="536"/>
      <c r="AC4" s="162" t="s">
        <v>588</v>
      </c>
      <c r="AD4" s="162" t="s">
        <v>589</v>
      </c>
      <c r="AE4" s="528"/>
      <c r="AF4" s="529"/>
      <c r="AG4" s="507"/>
    </row>
    <row r="5" spans="1:33">
      <c r="A5" s="530" t="s">
        <v>45</v>
      </c>
      <c r="B5" s="42" t="s">
        <v>103</v>
      </c>
      <c r="C5" s="532" t="s">
        <v>120</v>
      </c>
      <c r="D5" s="532"/>
      <c r="E5" s="42">
        <v>50.67</v>
      </c>
      <c r="F5" s="170">
        <v>1477</v>
      </c>
      <c r="G5" s="159">
        <f t="shared" ref="G5:G9" si="0">E5*F5</f>
        <v>74839.59</v>
      </c>
      <c r="H5" s="125" t="s">
        <v>79</v>
      </c>
      <c r="I5" s="168">
        <v>17</v>
      </c>
      <c r="J5" s="37">
        <v>2000</v>
      </c>
      <c r="K5" s="17">
        <f t="shared" ref="K5:K68" si="1">J5/I5</f>
        <v>117.64705882352941</v>
      </c>
      <c r="L5" s="168">
        <v>17</v>
      </c>
      <c r="M5" s="18">
        <f t="shared" ref="M5:M9" si="2">F5/V5*60</f>
        <v>1926.5217391304348</v>
      </c>
      <c r="N5" s="17">
        <f t="shared" ref="N5:N68" si="3">M5/L5</f>
        <v>113.32480818414322</v>
      </c>
      <c r="O5" s="19">
        <f t="shared" ref="O5:O68" si="4">L5-I5</f>
        <v>0</v>
      </c>
      <c r="P5" s="20">
        <f t="shared" ref="P5:P68" si="5">N5-K5</f>
        <v>-4.3222506393861835</v>
      </c>
      <c r="Q5" s="158">
        <f t="shared" ref="Q5:Q68" si="6">N5/K5</f>
        <v>0.96326086956521739</v>
      </c>
      <c r="R5" s="489">
        <f>Q10</f>
        <v>0.95918585507246401</v>
      </c>
      <c r="S5" s="40">
        <v>0.70833333333333337</v>
      </c>
      <c r="T5" s="40">
        <v>0.74027777777777781</v>
      </c>
      <c r="U5" s="159"/>
      <c r="V5" s="169">
        <f t="shared" ref="V5:V9" si="7">(T5-S5)*24*60</f>
        <v>46</v>
      </c>
      <c r="W5" s="23"/>
      <c r="X5" s="24"/>
      <c r="Y5" s="24"/>
      <c r="Z5" s="24"/>
      <c r="AA5" s="491"/>
      <c r="AB5" s="491"/>
      <c r="AC5" s="154">
        <v>3</v>
      </c>
      <c r="AD5" s="25"/>
      <c r="AE5" s="19">
        <f t="shared" ref="AE5:AE68" si="8">M5-J5</f>
        <v>-73.478260869565247</v>
      </c>
      <c r="AF5" s="158">
        <f t="shared" ref="AF5:AF68" si="9">M5/J5</f>
        <v>0.96326086956521739</v>
      </c>
      <c r="AG5" s="489">
        <f>AF10</f>
        <v>0.9591858550724639</v>
      </c>
    </row>
    <row r="6" spans="1:33">
      <c r="A6" s="531" t="s">
        <v>590</v>
      </c>
      <c r="B6" s="42" t="s">
        <v>103</v>
      </c>
      <c r="C6" s="532" t="s">
        <v>121</v>
      </c>
      <c r="D6" s="532"/>
      <c r="E6" s="42">
        <v>54.09</v>
      </c>
      <c r="F6" s="170">
        <v>1482</v>
      </c>
      <c r="G6" s="159">
        <f t="shared" si="0"/>
        <v>80161.38</v>
      </c>
      <c r="H6" s="125" t="s">
        <v>79</v>
      </c>
      <c r="I6" s="168">
        <v>19</v>
      </c>
      <c r="J6" s="37">
        <v>2000</v>
      </c>
      <c r="K6" s="17">
        <f t="shared" si="1"/>
        <v>105.26315789473684</v>
      </c>
      <c r="L6" s="168">
        <v>19</v>
      </c>
      <c r="M6" s="18">
        <f t="shared" si="2"/>
        <v>1933.0434782608697</v>
      </c>
      <c r="N6" s="17">
        <f t="shared" si="3"/>
        <v>101.73913043478262</v>
      </c>
      <c r="O6" s="19">
        <f t="shared" si="4"/>
        <v>0</v>
      </c>
      <c r="P6" s="20">
        <f t="shared" si="5"/>
        <v>-3.5240274599542118</v>
      </c>
      <c r="Q6" s="158">
        <f t="shared" si="6"/>
        <v>0.96652173913043493</v>
      </c>
      <c r="R6" s="489"/>
      <c r="S6" s="40">
        <v>0.74444444444444446</v>
      </c>
      <c r="T6" s="40">
        <v>0.77638888888888891</v>
      </c>
      <c r="U6" s="159">
        <f t="shared" ref="U6:U9" si="10">IF(S6=TIME(17,0,0),"",(S6-T5)*24*60)</f>
        <v>5.9999999999999787</v>
      </c>
      <c r="V6" s="169">
        <f t="shared" si="7"/>
        <v>46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-66.956521739130267</v>
      </c>
      <c r="AF6" s="158">
        <f t="shared" si="9"/>
        <v>0.96652173913043482</v>
      </c>
      <c r="AG6" s="489"/>
    </row>
    <row r="7" spans="1:33">
      <c r="A7" s="531" t="s">
        <v>590</v>
      </c>
      <c r="B7" s="42" t="s">
        <v>103</v>
      </c>
      <c r="C7" s="523" t="s">
        <v>515</v>
      </c>
      <c r="D7" s="524"/>
      <c r="E7" s="42">
        <v>48.36</v>
      </c>
      <c r="F7" s="170">
        <v>1600</v>
      </c>
      <c r="G7" s="159">
        <f t="shared" si="0"/>
        <v>77376</v>
      </c>
      <c r="H7" s="125">
        <v>2</v>
      </c>
      <c r="I7" s="168">
        <v>21</v>
      </c>
      <c r="J7" s="37">
        <v>2000</v>
      </c>
      <c r="K7" s="17">
        <f t="shared" si="1"/>
        <v>95.238095238095241</v>
      </c>
      <c r="L7" s="168">
        <v>21</v>
      </c>
      <c r="M7" s="18">
        <f t="shared" si="2"/>
        <v>1920.0000000000005</v>
      </c>
      <c r="N7" s="17">
        <f t="shared" si="3"/>
        <v>91.428571428571445</v>
      </c>
      <c r="O7" s="19">
        <f t="shared" si="4"/>
        <v>0</v>
      </c>
      <c r="P7" s="20">
        <f t="shared" si="5"/>
        <v>-3.809523809523796</v>
      </c>
      <c r="Q7" s="158">
        <f t="shared" si="6"/>
        <v>0.96000000000000019</v>
      </c>
      <c r="R7" s="489"/>
      <c r="S7" s="40">
        <v>0.77986111111111112</v>
      </c>
      <c r="T7" s="40">
        <v>0.81458333333333333</v>
      </c>
      <c r="U7" s="159">
        <f t="shared" si="10"/>
        <v>4.9999999999999822</v>
      </c>
      <c r="V7" s="169">
        <f t="shared" si="7"/>
        <v>49.999999999999986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-79.999999999999545</v>
      </c>
      <c r="AF7" s="158">
        <f t="shared" si="9"/>
        <v>0.96000000000000019</v>
      </c>
      <c r="AG7" s="489"/>
    </row>
    <row r="8" spans="1:33">
      <c r="A8" s="531" t="s">
        <v>590</v>
      </c>
      <c r="B8" s="42" t="s">
        <v>103</v>
      </c>
      <c r="C8" s="523" t="s">
        <v>122</v>
      </c>
      <c r="D8" s="524"/>
      <c r="E8" s="42">
        <v>50.29</v>
      </c>
      <c r="F8" s="170">
        <v>1713</v>
      </c>
      <c r="G8" s="159">
        <f t="shared" si="0"/>
        <v>86146.77</v>
      </c>
      <c r="H8" s="125" t="s">
        <v>79</v>
      </c>
      <c r="I8" s="168">
        <v>16</v>
      </c>
      <c r="J8" s="37">
        <v>2000</v>
      </c>
      <c r="K8" s="17">
        <f t="shared" si="1"/>
        <v>125</v>
      </c>
      <c r="L8" s="168">
        <v>16</v>
      </c>
      <c r="M8" s="18">
        <f t="shared" si="2"/>
        <v>1903.3333333333344</v>
      </c>
      <c r="N8" s="17">
        <f t="shared" si="3"/>
        <v>118.9583333333334</v>
      </c>
      <c r="O8" s="19">
        <f t="shared" si="4"/>
        <v>0</v>
      </c>
      <c r="P8" s="20">
        <f t="shared" si="5"/>
        <v>-6.0416666666666003</v>
      </c>
      <c r="Q8" s="158">
        <f t="shared" si="6"/>
        <v>0.95166666666666722</v>
      </c>
      <c r="R8" s="489"/>
      <c r="S8" s="40">
        <v>0.81805555555555554</v>
      </c>
      <c r="T8" s="40">
        <v>0.85555555555555551</v>
      </c>
      <c r="U8" s="159">
        <f t="shared" si="10"/>
        <v>4.9999999999999822</v>
      </c>
      <c r="V8" s="169">
        <f t="shared" si="7"/>
        <v>53.999999999999972</v>
      </c>
      <c r="W8" s="23">
        <f>T8</f>
        <v>0.85555555555555551</v>
      </c>
      <c r="X8" s="23">
        <f>S9</f>
        <v>0.89444444444444438</v>
      </c>
      <c r="Y8" s="29"/>
      <c r="Z8" s="29"/>
      <c r="AA8" s="503"/>
      <c r="AB8" s="504"/>
      <c r="AC8" s="155"/>
      <c r="AD8" s="27"/>
      <c r="AE8" s="19">
        <f t="shared" si="8"/>
        <v>-96.666666666665606</v>
      </c>
      <c r="AF8" s="158">
        <f t="shared" si="9"/>
        <v>0.95166666666666722</v>
      </c>
      <c r="AG8" s="489"/>
    </row>
    <row r="9" spans="1:33">
      <c r="A9" s="531" t="s">
        <v>591</v>
      </c>
      <c r="B9" s="42" t="s">
        <v>103</v>
      </c>
      <c r="C9" s="523" t="s">
        <v>515</v>
      </c>
      <c r="D9" s="524"/>
      <c r="E9" s="42">
        <v>48.36</v>
      </c>
      <c r="F9" s="170">
        <v>3977</v>
      </c>
      <c r="G9" s="159">
        <f t="shared" si="0"/>
        <v>192327.72</v>
      </c>
      <c r="H9" s="125" t="s">
        <v>79</v>
      </c>
      <c r="I9" s="168">
        <v>21</v>
      </c>
      <c r="J9" s="37">
        <v>2000</v>
      </c>
      <c r="K9" s="17">
        <f t="shared" si="1"/>
        <v>95.238095238095241</v>
      </c>
      <c r="L9" s="168">
        <v>21</v>
      </c>
      <c r="M9" s="18">
        <f t="shared" si="2"/>
        <v>1908.9599999999996</v>
      </c>
      <c r="N9" s="17">
        <f t="shared" si="3"/>
        <v>90.90285714285713</v>
      </c>
      <c r="O9" s="19">
        <f t="shared" si="4"/>
        <v>0</v>
      </c>
      <c r="P9" s="20">
        <f t="shared" si="5"/>
        <v>-4.3352380952381111</v>
      </c>
      <c r="Q9" s="158">
        <f t="shared" si="6"/>
        <v>0.95447999999999988</v>
      </c>
      <c r="R9" s="489"/>
      <c r="S9" s="40">
        <v>0.89444444444444438</v>
      </c>
      <c r="T9" s="40">
        <v>0.98124999999999996</v>
      </c>
      <c r="U9" s="159">
        <f t="shared" si="10"/>
        <v>55.999999999999957</v>
      </c>
      <c r="V9" s="169">
        <f t="shared" si="7"/>
        <v>125.00000000000003</v>
      </c>
      <c r="W9" s="23"/>
      <c r="X9" s="23"/>
      <c r="Y9" s="26"/>
      <c r="Z9" s="26"/>
      <c r="AA9" s="503"/>
      <c r="AB9" s="504"/>
      <c r="AC9" s="155"/>
      <c r="AD9" s="27"/>
      <c r="AE9" s="19">
        <f t="shared" si="8"/>
        <v>-91.040000000000418</v>
      </c>
      <c r="AF9" s="158">
        <f t="shared" si="9"/>
        <v>0.95447999999999977</v>
      </c>
      <c r="AG9" s="489"/>
    </row>
    <row r="10" spans="1:33">
      <c r="A10" s="531" t="s">
        <v>590</v>
      </c>
      <c r="B10" s="42" t="s">
        <v>592</v>
      </c>
      <c r="C10" s="494"/>
      <c r="D10" s="494"/>
      <c r="E10" s="161"/>
      <c r="F10" s="44"/>
      <c r="G10" s="17"/>
      <c r="H10" s="170"/>
      <c r="I10" s="30">
        <v>18.399999999999999</v>
      </c>
      <c r="J10" s="37">
        <v>2000</v>
      </c>
      <c r="K10" s="17">
        <f t="shared" si="1"/>
        <v>108.69565217391305</v>
      </c>
      <c r="L10" s="30">
        <v>18.399999999999999</v>
      </c>
      <c r="M10" s="18">
        <f>AVERAGE(M5:M9)</f>
        <v>1918.3717101449279</v>
      </c>
      <c r="N10" s="17">
        <f t="shared" si="3"/>
        <v>104.25933207309392</v>
      </c>
      <c r="O10" s="19">
        <f t="shared" si="4"/>
        <v>0</v>
      </c>
      <c r="P10" s="20">
        <f t="shared" si="5"/>
        <v>-4.4363201008191311</v>
      </c>
      <c r="Q10" s="158">
        <f t="shared" si="6"/>
        <v>0.95918585507246401</v>
      </c>
      <c r="R10" s="489"/>
      <c r="S10" s="40"/>
      <c r="T10" s="40"/>
      <c r="U10" s="159"/>
      <c r="V10" s="169"/>
      <c r="W10" s="17"/>
      <c r="X10" s="17"/>
      <c r="Y10" s="31">
        <f>SUM(Y5:Y9)</f>
        <v>0</v>
      </c>
      <c r="Z10" s="31">
        <f>SUM(Z5:Z9)</f>
        <v>0</v>
      </c>
      <c r="AA10" s="495"/>
      <c r="AB10" s="495"/>
      <c r="AC10" s="31">
        <v>3</v>
      </c>
      <c r="AD10" s="31">
        <f>SUM(AD5:AD9)</f>
        <v>0</v>
      </c>
      <c r="AE10" s="19">
        <f t="shared" si="8"/>
        <v>-81.628289855072126</v>
      </c>
      <c r="AF10" s="158">
        <f t="shared" si="9"/>
        <v>0.9591858550724639</v>
      </c>
      <c r="AG10" s="489"/>
    </row>
    <row r="11" spans="1:33" ht="15.75" customHeight="1">
      <c r="A11" s="527" t="s">
        <v>593</v>
      </c>
      <c r="B11" s="42" t="s">
        <v>100</v>
      </c>
      <c r="C11" s="523" t="s">
        <v>124</v>
      </c>
      <c r="D11" s="524"/>
      <c r="E11" s="42">
        <v>39.619999999999997</v>
      </c>
      <c r="F11" s="170">
        <v>3237</v>
      </c>
      <c r="G11" s="159">
        <f t="shared" ref="G11:G12" si="11">E11*F11</f>
        <v>128249.93999999999</v>
      </c>
      <c r="H11" s="125" t="s">
        <v>79</v>
      </c>
      <c r="I11" s="168">
        <v>19</v>
      </c>
      <c r="J11" s="37">
        <v>1500</v>
      </c>
      <c r="K11" s="17">
        <f t="shared" si="1"/>
        <v>78.94736842105263</v>
      </c>
      <c r="L11" s="168">
        <v>19</v>
      </c>
      <c r="M11" s="18">
        <f t="shared" ref="M11:M12" si="12">F11/V11*60</f>
        <v>1428.0882352941182</v>
      </c>
      <c r="N11" s="17">
        <f t="shared" si="3"/>
        <v>75.16253869969043</v>
      </c>
      <c r="O11" s="19">
        <f t="shared" si="4"/>
        <v>0</v>
      </c>
      <c r="P11" s="20">
        <f t="shared" si="5"/>
        <v>-3.7848297213622004</v>
      </c>
      <c r="Q11" s="158">
        <f t="shared" si="6"/>
        <v>0.95205882352941218</v>
      </c>
      <c r="R11" s="489">
        <f>Q13</f>
        <v>0.95252230275996697</v>
      </c>
      <c r="S11" s="40">
        <v>0.16666666666666666</v>
      </c>
      <c r="T11" s="40">
        <v>0.26111111111111107</v>
      </c>
      <c r="U11" s="159"/>
      <c r="V11" s="169">
        <f t="shared" ref="V11:V12" si="13">(T11-S11)*24*60</f>
        <v>135.99999999999994</v>
      </c>
      <c r="W11" s="23">
        <f>T11</f>
        <v>0.26111111111111107</v>
      </c>
      <c r="X11" s="23">
        <f>S12</f>
        <v>0.27916666666666662</v>
      </c>
      <c r="Y11" s="23"/>
      <c r="Z11" s="23"/>
      <c r="AA11" s="491"/>
      <c r="AB11" s="491"/>
      <c r="AC11" s="154">
        <v>2</v>
      </c>
      <c r="AD11" s="25"/>
      <c r="AE11" s="19">
        <f t="shared" si="8"/>
        <v>-71.911764705881751</v>
      </c>
      <c r="AF11" s="158">
        <f t="shared" si="9"/>
        <v>0.95205882352941218</v>
      </c>
      <c r="AG11" s="489">
        <f>AF13</f>
        <v>0.95252230275996685</v>
      </c>
    </row>
    <row r="12" spans="1:33" ht="15.75" customHeight="1">
      <c r="A12" s="527" t="s">
        <v>593</v>
      </c>
      <c r="B12" s="42" t="s">
        <v>100</v>
      </c>
      <c r="C12" s="523" t="s">
        <v>125</v>
      </c>
      <c r="D12" s="524"/>
      <c r="E12" s="42">
        <v>39.799999999999997</v>
      </c>
      <c r="F12" s="170">
        <v>5027</v>
      </c>
      <c r="G12" s="159">
        <f t="shared" si="11"/>
        <v>200074.59999999998</v>
      </c>
      <c r="H12" s="125" t="s">
        <v>79</v>
      </c>
      <c r="I12" s="168">
        <v>17</v>
      </c>
      <c r="J12" s="37">
        <v>1500</v>
      </c>
      <c r="K12" s="17">
        <f t="shared" si="1"/>
        <v>88.235294117647058</v>
      </c>
      <c r="L12" s="168">
        <v>17</v>
      </c>
      <c r="M12" s="18">
        <f t="shared" si="12"/>
        <v>1429.4786729857822</v>
      </c>
      <c r="N12" s="17">
        <f t="shared" si="3"/>
        <v>84.086980763869533</v>
      </c>
      <c r="O12" s="19">
        <f t="shared" si="4"/>
        <v>0</v>
      </c>
      <c r="P12" s="20">
        <f t="shared" si="5"/>
        <v>-4.1483133537775245</v>
      </c>
      <c r="Q12" s="158">
        <f t="shared" si="6"/>
        <v>0.95298578199052142</v>
      </c>
      <c r="R12" s="489"/>
      <c r="S12" s="40">
        <v>0.27916666666666662</v>
      </c>
      <c r="T12" s="40">
        <v>0.42569444444444438</v>
      </c>
      <c r="U12" s="159">
        <f t="shared" ref="U12" si="14">IF(S12=TIME(17,0,0),"",(S12-T11)*24*60)</f>
        <v>25.999999999999986</v>
      </c>
      <c r="V12" s="169">
        <f t="shared" si="13"/>
        <v>210.99999999999997</v>
      </c>
      <c r="W12" s="23"/>
      <c r="X12" s="23"/>
      <c r="Y12" s="23"/>
      <c r="Z12" s="23"/>
      <c r="AA12" s="491"/>
      <c r="AB12" s="491"/>
      <c r="AC12" s="154"/>
      <c r="AD12" s="25"/>
      <c r="AE12" s="19">
        <f t="shared" si="8"/>
        <v>-70.521327014217832</v>
      </c>
      <c r="AF12" s="158">
        <f t="shared" si="9"/>
        <v>0.95298578199052142</v>
      </c>
      <c r="AG12" s="489"/>
    </row>
    <row r="13" spans="1:33" ht="16.5" customHeight="1">
      <c r="A13" s="527" t="s">
        <v>593</v>
      </c>
      <c r="B13" s="42" t="s">
        <v>594</v>
      </c>
      <c r="C13" s="494"/>
      <c r="D13" s="494"/>
      <c r="E13" s="161"/>
      <c r="F13" s="37"/>
      <c r="G13" s="18"/>
      <c r="H13" s="170"/>
      <c r="I13" s="30">
        <v>18</v>
      </c>
      <c r="J13" s="37">
        <v>1500</v>
      </c>
      <c r="K13" s="17">
        <f t="shared" si="1"/>
        <v>83.333333333333329</v>
      </c>
      <c r="L13" s="30">
        <v>18</v>
      </c>
      <c r="M13" s="18">
        <f>AVERAGE(M11:M12)</f>
        <v>1428.7834541399502</v>
      </c>
      <c r="N13" s="17">
        <f t="shared" si="3"/>
        <v>79.376858563330572</v>
      </c>
      <c r="O13" s="19">
        <f t="shared" si="4"/>
        <v>0</v>
      </c>
      <c r="P13" s="20">
        <f t="shared" si="5"/>
        <v>-3.9564747700027567</v>
      </c>
      <c r="Q13" s="158">
        <f t="shared" si="6"/>
        <v>0.95252230275996697</v>
      </c>
      <c r="R13" s="489"/>
      <c r="S13" s="40"/>
      <c r="T13" s="40"/>
      <c r="U13" s="17"/>
      <c r="V13" s="169"/>
      <c r="W13" s="17"/>
      <c r="X13" s="17"/>
      <c r="Y13" s="31">
        <f>SUM(Y11:Y12)</f>
        <v>0</v>
      </c>
      <c r="Z13" s="31">
        <f>SUM(Z11:Z12)</f>
        <v>0</v>
      </c>
      <c r="AA13" s="495"/>
      <c r="AB13" s="495"/>
      <c r="AC13" s="31">
        <v>2</v>
      </c>
      <c r="AD13" s="31">
        <f>SUM(AD11:AD12)</f>
        <v>0</v>
      </c>
      <c r="AE13" s="19">
        <f t="shared" si="8"/>
        <v>-71.216545860049791</v>
      </c>
      <c r="AF13" s="158">
        <f t="shared" si="9"/>
        <v>0.95252230275996685</v>
      </c>
      <c r="AG13" s="489"/>
    </row>
    <row r="14" spans="1:33" ht="16.5" customHeight="1">
      <c r="A14" s="525" t="s">
        <v>595</v>
      </c>
      <c r="B14" s="170" t="s">
        <v>126</v>
      </c>
      <c r="C14" s="515" t="s">
        <v>127</v>
      </c>
      <c r="D14" s="515"/>
      <c r="E14" s="42">
        <v>41</v>
      </c>
      <c r="F14" s="170">
        <v>2492</v>
      </c>
      <c r="G14" s="159">
        <f t="shared" ref="G14:G22" si="15">E14*F14</f>
        <v>102172</v>
      </c>
      <c r="H14" s="125" t="s">
        <v>79</v>
      </c>
      <c r="I14" s="168">
        <v>26</v>
      </c>
      <c r="J14" s="37">
        <v>1500</v>
      </c>
      <c r="K14" s="17">
        <f t="shared" si="1"/>
        <v>57.692307692307693</v>
      </c>
      <c r="L14" s="168">
        <v>26</v>
      </c>
      <c r="M14" s="18">
        <f t="shared" ref="M14:M22" si="16">F14/V14*60</f>
        <v>1437.6923076923078</v>
      </c>
      <c r="N14" s="17">
        <f t="shared" si="3"/>
        <v>55.295857988165686</v>
      </c>
      <c r="O14" s="19">
        <f t="shared" si="4"/>
        <v>0</v>
      </c>
      <c r="P14" s="20">
        <f t="shared" si="5"/>
        <v>-2.3964497041420074</v>
      </c>
      <c r="Q14" s="158">
        <f t="shared" si="6"/>
        <v>0.95846153846153859</v>
      </c>
      <c r="R14" s="489">
        <f>Q23</f>
        <v>0.95994509373304526</v>
      </c>
      <c r="S14" s="40">
        <v>0.20833333333333334</v>
      </c>
      <c r="T14" s="40">
        <v>0.28055555555555556</v>
      </c>
      <c r="U14" s="159"/>
      <c r="V14" s="169">
        <f t="shared" ref="V14:V22" si="17">(T14-S14)*24*60</f>
        <v>103.99999999999999</v>
      </c>
      <c r="W14" s="28"/>
      <c r="X14" s="28"/>
      <c r="Y14" s="28"/>
      <c r="Z14" s="28"/>
      <c r="AA14" s="491"/>
      <c r="AB14" s="491"/>
      <c r="AC14" s="154">
        <v>4</v>
      </c>
      <c r="AD14" s="25"/>
      <c r="AE14" s="19">
        <f t="shared" si="8"/>
        <v>-62.30769230769215</v>
      </c>
      <c r="AF14" s="158">
        <f t="shared" si="9"/>
        <v>0.95846153846153859</v>
      </c>
      <c r="AG14" s="489">
        <f>AF23</f>
        <v>0.95994509373304526</v>
      </c>
    </row>
    <row r="15" spans="1:33" ht="16.5" customHeight="1">
      <c r="A15" s="526" t="s">
        <v>595</v>
      </c>
      <c r="B15" s="170" t="s">
        <v>128</v>
      </c>
      <c r="C15" s="515" t="s">
        <v>129</v>
      </c>
      <c r="D15" s="515"/>
      <c r="E15" s="42">
        <v>72.400000000000006</v>
      </c>
      <c r="F15" s="170">
        <v>1029</v>
      </c>
      <c r="G15" s="159">
        <f t="shared" si="15"/>
        <v>74499.600000000006</v>
      </c>
      <c r="H15" s="125" t="s">
        <v>79</v>
      </c>
      <c r="I15" s="168">
        <v>18</v>
      </c>
      <c r="J15" s="37">
        <v>1500</v>
      </c>
      <c r="K15" s="17">
        <f t="shared" si="1"/>
        <v>83.333333333333329</v>
      </c>
      <c r="L15" s="168">
        <v>18</v>
      </c>
      <c r="M15" s="18">
        <f t="shared" si="16"/>
        <v>1435.8139534883717</v>
      </c>
      <c r="N15" s="17">
        <f t="shared" si="3"/>
        <v>79.767441860465098</v>
      </c>
      <c r="O15" s="19">
        <f t="shared" si="4"/>
        <v>0</v>
      </c>
      <c r="P15" s="20">
        <f t="shared" si="5"/>
        <v>-3.5658914728682305</v>
      </c>
      <c r="Q15" s="158">
        <f t="shared" si="6"/>
        <v>0.95720930232558121</v>
      </c>
      <c r="R15" s="489"/>
      <c r="S15" s="40">
        <v>0.28541666666666665</v>
      </c>
      <c r="T15" s="40">
        <v>0.31527777777777777</v>
      </c>
      <c r="U15" s="159">
        <f t="shared" ref="U15:U22" si="18">IF(S15=TIME(17,0,0),"",(S15-T14)*24*60)</f>
        <v>6.9999999999999751</v>
      </c>
      <c r="V15" s="169">
        <f t="shared" si="17"/>
        <v>43.000000000000007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-64.186046511628319</v>
      </c>
      <c r="AF15" s="158">
        <f t="shared" si="9"/>
        <v>0.9572093023255811</v>
      </c>
      <c r="AG15" s="489"/>
    </row>
    <row r="16" spans="1:33" ht="16.5" customHeight="1">
      <c r="A16" s="526" t="s">
        <v>595</v>
      </c>
      <c r="B16" s="170" t="s">
        <v>130</v>
      </c>
      <c r="C16" s="515" t="s">
        <v>131</v>
      </c>
      <c r="D16" s="515"/>
      <c r="E16" s="42">
        <v>50.67</v>
      </c>
      <c r="F16" s="170">
        <v>1466</v>
      </c>
      <c r="G16" s="159">
        <f t="shared" si="15"/>
        <v>74282.22</v>
      </c>
      <c r="H16" s="125" t="s">
        <v>79</v>
      </c>
      <c r="I16" s="168">
        <v>16</v>
      </c>
      <c r="J16" s="37">
        <v>1500</v>
      </c>
      <c r="K16" s="17">
        <f t="shared" si="1"/>
        <v>93.75</v>
      </c>
      <c r="L16" s="168">
        <v>16</v>
      </c>
      <c r="M16" s="18">
        <f t="shared" si="16"/>
        <v>1441.9672131147536</v>
      </c>
      <c r="N16" s="17">
        <f t="shared" si="3"/>
        <v>90.122950819672099</v>
      </c>
      <c r="O16" s="19">
        <f t="shared" si="4"/>
        <v>0</v>
      </c>
      <c r="P16" s="20">
        <f t="shared" si="5"/>
        <v>-3.6270491803279015</v>
      </c>
      <c r="Q16" s="158">
        <f t="shared" si="6"/>
        <v>0.96131147540983575</v>
      </c>
      <c r="R16" s="489"/>
      <c r="S16" s="40">
        <v>0.32013888888888886</v>
      </c>
      <c r="T16" s="40">
        <v>0.36249999999999999</v>
      </c>
      <c r="U16" s="159">
        <f t="shared" si="18"/>
        <v>6.9999999999999751</v>
      </c>
      <c r="V16" s="169">
        <f t="shared" si="17"/>
        <v>61.000000000000021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-58.032786885246423</v>
      </c>
      <c r="AF16" s="158">
        <f t="shared" si="9"/>
        <v>0.96131147540983575</v>
      </c>
      <c r="AG16" s="489"/>
    </row>
    <row r="17" spans="1:33" ht="16.5" customHeight="1">
      <c r="A17" s="526" t="s">
        <v>595</v>
      </c>
      <c r="B17" s="170" t="s">
        <v>103</v>
      </c>
      <c r="C17" s="515" t="s">
        <v>123</v>
      </c>
      <c r="D17" s="515"/>
      <c r="E17" s="42">
        <v>50.98</v>
      </c>
      <c r="F17" s="170">
        <v>900</v>
      </c>
      <c r="G17" s="159">
        <f t="shared" si="15"/>
        <v>45882</v>
      </c>
      <c r="H17" s="125">
        <v>2</v>
      </c>
      <c r="I17" s="168">
        <v>16</v>
      </c>
      <c r="J17" s="37">
        <v>2000</v>
      </c>
      <c r="K17" s="17">
        <f t="shared" si="1"/>
        <v>125</v>
      </c>
      <c r="L17" s="168">
        <v>16</v>
      </c>
      <c r="M17" s="18">
        <f t="shared" si="16"/>
        <v>1928.5714285714246</v>
      </c>
      <c r="N17" s="17">
        <f t="shared" si="3"/>
        <v>120.53571428571404</v>
      </c>
      <c r="O17" s="19">
        <f t="shared" si="4"/>
        <v>0</v>
      </c>
      <c r="P17" s="20">
        <f t="shared" si="5"/>
        <v>-4.464285714285964</v>
      </c>
      <c r="Q17" s="158">
        <f t="shared" si="6"/>
        <v>0.9642857142857123</v>
      </c>
      <c r="R17" s="489"/>
      <c r="S17" s="40">
        <v>0.70833333333333337</v>
      </c>
      <c r="T17" s="40">
        <v>0.72777777777777786</v>
      </c>
      <c r="U17" s="159" t="str">
        <f t="shared" si="18"/>
        <v/>
      </c>
      <c r="V17" s="169">
        <f t="shared" si="17"/>
        <v>28.00000000000006</v>
      </c>
      <c r="W17" s="23"/>
      <c r="X17" s="23"/>
      <c r="Y17" s="23"/>
      <c r="Z17" s="23"/>
      <c r="AA17" s="491"/>
      <c r="AB17" s="491"/>
      <c r="AC17" s="154"/>
      <c r="AD17" s="25"/>
      <c r="AE17" s="19">
        <f t="shared" si="8"/>
        <v>-71.428571428575424</v>
      </c>
      <c r="AF17" s="158">
        <f t="shared" si="9"/>
        <v>0.9642857142857123</v>
      </c>
      <c r="AG17" s="489"/>
    </row>
    <row r="18" spans="1:33" ht="16.5" customHeight="1">
      <c r="A18" s="526" t="s">
        <v>595</v>
      </c>
      <c r="B18" s="170" t="s">
        <v>103</v>
      </c>
      <c r="C18" s="515" t="s">
        <v>132</v>
      </c>
      <c r="D18" s="515"/>
      <c r="E18" s="42">
        <v>50.92</v>
      </c>
      <c r="F18" s="170">
        <v>900</v>
      </c>
      <c r="G18" s="159">
        <f t="shared" si="15"/>
        <v>45828</v>
      </c>
      <c r="H18" s="125">
        <v>2</v>
      </c>
      <c r="I18" s="168">
        <v>15</v>
      </c>
      <c r="J18" s="37">
        <v>2000</v>
      </c>
      <c r="K18" s="17">
        <f t="shared" si="1"/>
        <v>133.33333333333334</v>
      </c>
      <c r="L18" s="168">
        <v>15</v>
      </c>
      <c r="M18" s="18">
        <f t="shared" si="16"/>
        <v>1928.5714285714246</v>
      </c>
      <c r="N18" s="17">
        <f t="shared" si="3"/>
        <v>128.5714285714283</v>
      </c>
      <c r="O18" s="19">
        <f t="shared" si="4"/>
        <v>0</v>
      </c>
      <c r="P18" s="20">
        <f t="shared" si="5"/>
        <v>-4.7619047619050434</v>
      </c>
      <c r="Q18" s="158">
        <f t="shared" si="6"/>
        <v>0.96428571428571219</v>
      </c>
      <c r="R18" s="489"/>
      <c r="S18" s="40">
        <v>0.73194444444444451</v>
      </c>
      <c r="T18" s="40">
        <v>0.75138888888888899</v>
      </c>
      <c r="U18" s="159">
        <f t="shared" si="18"/>
        <v>5.9999999999999787</v>
      </c>
      <c r="V18" s="169">
        <f t="shared" si="17"/>
        <v>28.00000000000006</v>
      </c>
      <c r="W18" s="23"/>
      <c r="X18" s="23"/>
      <c r="Y18" s="23"/>
      <c r="Z18" s="23"/>
      <c r="AA18" s="491"/>
      <c r="AB18" s="491"/>
      <c r="AC18" s="154"/>
      <c r="AD18" s="25"/>
      <c r="AE18" s="19">
        <f t="shared" si="8"/>
        <v>-71.428571428575424</v>
      </c>
      <c r="AF18" s="158">
        <f t="shared" si="9"/>
        <v>0.9642857142857123</v>
      </c>
      <c r="AG18" s="489"/>
    </row>
    <row r="19" spans="1:33" ht="16.5" customHeight="1">
      <c r="A19" s="526" t="s">
        <v>595</v>
      </c>
      <c r="B19" s="170" t="s">
        <v>103</v>
      </c>
      <c r="C19" s="521" t="s">
        <v>133</v>
      </c>
      <c r="D19" s="522"/>
      <c r="E19" s="42">
        <v>50.67</v>
      </c>
      <c r="F19" s="170">
        <v>1718</v>
      </c>
      <c r="G19" s="159">
        <f t="shared" si="15"/>
        <v>87051.06</v>
      </c>
      <c r="H19" s="125" t="s">
        <v>79</v>
      </c>
      <c r="I19" s="168">
        <v>15</v>
      </c>
      <c r="J19" s="37">
        <v>2000</v>
      </c>
      <c r="K19" s="17">
        <f t="shared" si="1"/>
        <v>133.33333333333334</v>
      </c>
      <c r="L19" s="168">
        <v>15</v>
      </c>
      <c r="M19" s="18">
        <f t="shared" si="16"/>
        <v>1908.8888888888898</v>
      </c>
      <c r="N19" s="17">
        <f t="shared" si="3"/>
        <v>127.25925925925932</v>
      </c>
      <c r="O19" s="19">
        <f t="shared" si="4"/>
        <v>0</v>
      </c>
      <c r="P19" s="20">
        <f t="shared" si="5"/>
        <v>-6.0740740740740193</v>
      </c>
      <c r="Q19" s="158">
        <f t="shared" si="6"/>
        <v>0.95444444444444487</v>
      </c>
      <c r="R19" s="489"/>
      <c r="S19" s="40">
        <v>0.75694444444444453</v>
      </c>
      <c r="T19" s="40">
        <v>0.79444444444444451</v>
      </c>
      <c r="U19" s="159">
        <f t="shared" si="18"/>
        <v>7.9999999999999716</v>
      </c>
      <c r="V19" s="169">
        <f t="shared" si="17"/>
        <v>53.999999999999972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-91.111111111110176</v>
      </c>
      <c r="AF19" s="158">
        <f t="shared" si="9"/>
        <v>0.95444444444444487</v>
      </c>
      <c r="AG19" s="489"/>
    </row>
    <row r="20" spans="1:33" ht="16.5" customHeight="1">
      <c r="A20" s="526" t="s">
        <v>595</v>
      </c>
      <c r="B20" s="170" t="s">
        <v>103</v>
      </c>
      <c r="C20" s="166" t="s">
        <v>134</v>
      </c>
      <c r="D20" s="167"/>
      <c r="E20" s="42">
        <v>57.3</v>
      </c>
      <c r="F20" s="170">
        <v>2246</v>
      </c>
      <c r="G20" s="159">
        <f t="shared" si="15"/>
        <v>128695.79999999999</v>
      </c>
      <c r="H20" s="125" t="s">
        <v>79</v>
      </c>
      <c r="I20" s="168">
        <v>13</v>
      </c>
      <c r="J20" s="37">
        <v>2000</v>
      </c>
      <c r="K20" s="17">
        <f t="shared" si="1"/>
        <v>153.84615384615384</v>
      </c>
      <c r="L20" s="168">
        <v>13</v>
      </c>
      <c r="M20" s="18">
        <f t="shared" si="16"/>
        <v>1925.1428571428553</v>
      </c>
      <c r="N20" s="17">
        <f t="shared" si="3"/>
        <v>148.08791208791195</v>
      </c>
      <c r="O20" s="19">
        <f t="shared" si="4"/>
        <v>0</v>
      </c>
      <c r="P20" s="20">
        <f t="shared" si="5"/>
        <v>-5.7582417582418941</v>
      </c>
      <c r="Q20" s="158">
        <f t="shared" si="6"/>
        <v>0.96257142857142763</v>
      </c>
      <c r="R20" s="489"/>
      <c r="S20" s="40">
        <v>0.7993055555555556</v>
      </c>
      <c r="T20" s="40">
        <v>0.84791666666666676</v>
      </c>
      <c r="U20" s="159">
        <f t="shared" si="18"/>
        <v>6.9999999999999751</v>
      </c>
      <c r="V20" s="169">
        <f t="shared" si="17"/>
        <v>70.000000000000071</v>
      </c>
      <c r="W20" s="23">
        <f>T20</f>
        <v>0.84791666666666676</v>
      </c>
      <c r="X20" s="23">
        <f>S21</f>
        <v>0.88819444444444451</v>
      </c>
      <c r="Y20" s="26"/>
      <c r="Z20" s="26"/>
      <c r="AA20" s="503"/>
      <c r="AB20" s="504"/>
      <c r="AC20" s="154"/>
      <c r="AD20" s="25"/>
      <c r="AE20" s="19">
        <f t="shared" si="8"/>
        <v>-74.857142857144709</v>
      </c>
      <c r="AF20" s="158">
        <f t="shared" si="9"/>
        <v>0.96257142857142763</v>
      </c>
      <c r="AG20" s="489"/>
    </row>
    <row r="21" spans="1:33" ht="16.5" customHeight="1">
      <c r="A21" s="526" t="s">
        <v>595</v>
      </c>
      <c r="B21" s="170" t="s">
        <v>103</v>
      </c>
      <c r="C21" s="166" t="s">
        <v>123</v>
      </c>
      <c r="D21" s="167"/>
      <c r="E21" s="42">
        <v>50.98</v>
      </c>
      <c r="F21" s="170">
        <v>1751</v>
      </c>
      <c r="G21" s="159">
        <f t="shared" si="15"/>
        <v>89265.98</v>
      </c>
      <c r="H21" s="125" t="s">
        <v>79</v>
      </c>
      <c r="I21" s="168">
        <v>16</v>
      </c>
      <c r="J21" s="37">
        <v>2000</v>
      </c>
      <c r="K21" s="17">
        <f t="shared" si="1"/>
        <v>125</v>
      </c>
      <c r="L21" s="168">
        <v>16</v>
      </c>
      <c r="M21" s="18">
        <f t="shared" si="16"/>
        <v>1910.1818181818194</v>
      </c>
      <c r="N21" s="17">
        <f t="shared" si="3"/>
        <v>119.38636363636371</v>
      </c>
      <c r="O21" s="19">
        <f t="shared" si="4"/>
        <v>0</v>
      </c>
      <c r="P21" s="20">
        <f t="shared" si="5"/>
        <v>-5.6136363636362887</v>
      </c>
      <c r="Q21" s="158">
        <f t="shared" si="6"/>
        <v>0.95509090909090966</v>
      </c>
      <c r="R21" s="489"/>
      <c r="S21" s="40">
        <v>0.88819444444444451</v>
      </c>
      <c r="T21" s="40">
        <v>0.92638888888888893</v>
      </c>
      <c r="U21" s="159">
        <f t="shared" si="18"/>
        <v>57.999999999999957</v>
      </c>
      <c r="V21" s="169">
        <f t="shared" si="17"/>
        <v>54.999999999999964</v>
      </c>
      <c r="W21" s="23"/>
      <c r="X21" s="23"/>
      <c r="Y21" s="26"/>
      <c r="Z21" s="26"/>
      <c r="AA21" s="503"/>
      <c r="AB21" s="504"/>
      <c r="AC21" s="154"/>
      <c r="AD21" s="25"/>
      <c r="AE21" s="19">
        <f t="shared" si="8"/>
        <v>-89.818181818180619</v>
      </c>
      <c r="AF21" s="158">
        <f t="shared" si="9"/>
        <v>0.95509090909090966</v>
      </c>
      <c r="AG21" s="489"/>
    </row>
    <row r="22" spans="1:33" ht="16.5" customHeight="1">
      <c r="A22" s="526" t="s">
        <v>595</v>
      </c>
      <c r="B22" s="170" t="s">
        <v>103</v>
      </c>
      <c r="C22" s="521" t="s">
        <v>132</v>
      </c>
      <c r="D22" s="522"/>
      <c r="E22" s="42">
        <v>50.92</v>
      </c>
      <c r="F22" s="170">
        <v>1698</v>
      </c>
      <c r="G22" s="159">
        <f t="shared" si="15"/>
        <v>86462.16</v>
      </c>
      <c r="H22" s="125" t="s">
        <v>79</v>
      </c>
      <c r="I22" s="168">
        <v>15</v>
      </c>
      <c r="J22" s="37">
        <v>2000</v>
      </c>
      <c r="K22" s="17">
        <f t="shared" si="1"/>
        <v>133.33333333333334</v>
      </c>
      <c r="L22" s="168">
        <v>15</v>
      </c>
      <c r="M22" s="18">
        <f t="shared" si="16"/>
        <v>1922.2641509433975</v>
      </c>
      <c r="N22" s="17">
        <f t="shared" si="3"/>
        <v>128.15094339622649</v>
      </c>
      <c r="O22" s="19">
        <f t="shared" si="4"/>
        <v>0</v>
      </c>
      <c r="P22" s="20">
        <f t="shared" si="5"/>
        <v>-5.1823899371068478</v>
      </c>
      <c r="Q22" s="158">
        <f t="shared" si="6"/>
        <v>0.96113207547169865</v>
      </c>
      <c r="R22" s="489"/>
      <c r="S22" s="40">
        <v>0.93194444444444446</v>
      </c>
      <c r="T22" s="40">
        <v>0.96875</v>
      </c>
      <c r="U22" s="159">
        <f t="shared" si="18"/>
        <v>7.9999999999999716</v>
      </c>
      <c r="V22" s="169">
        <f t="shared" si="17"/>
        <v>52.999999999999972</v>
      </c>
      <c r="W22" s="23"/>
      <c r="X22" s="23"/>
      <c r="Y22" s="26"/>
      <c r="Z22" s="26"/>
      <c r="AA22" s="503"/>
      <c r="AB22" s="504"/>
      <c r="AC22" s="154"/>
      <c r="AD22" s="25"/>
      <c r="AE22" s="19">
        <f t="shared" si="8"/>
        <v>-77.735849056602547</v>
      </c>
      <c r="AF22" s="158">
        <f t="shared" si="9"/>
        <v>0.96113207547169877</v>
      </c>
      <c r="AG22" s="489"/>
    </row>
    <row r="23" spans="1:33" ht="16.5" customHeight="1">
      <c r="A23" s="526" t="s">
        <v>595</v>
      </c>
      <c r="B23" s="42" t="s">
        <v>594</v>
      </c>
      <c r="C23" s="494"/>
      <c r="D23" s="494"/>
      <c r="E23" s="161"/>
      <c r="F23" s="44"/>
      <c r="G23" s="17"/>
      <c r="H23" s="170"/>
      <c r="I23" s="30">
        <v>16.666666666666668</v>
      </c>
      <c r="J23" s="37">
        <v>1833.3333333333333</v>
      </c>
      <c r="K23" s="17">
        <f t="shared" si="1"/>
        <v>109.99999999999999</v>
      </c>
      <c r="L23" s="30">
        <v>16.666666666666668</v>
      </c>
      <c r="M23" s="18">
        <f>AVERAGE(M14:M22)</f>
        <v>1759.899338510583</v>
      </c>
      <c r="N23" s="17">
        <f t="shared" si="3"/>
        <v>105.59396031063497</v>
      </c>
      <c r="O23" s="19">
        <f t="shared" si="4"/>
        <v>0</v>
      </c>
      <c r="P23" s="20">
        <f t="shared" si="5"/>
        <v>-4.4060396893650164</v>
      </c>
      <c r="Q23" s="158">
        <f t="shared" si="6"/>
        <v>0.95994509373304526</v>
      </c>
      <c r="R23" s="489"/>
      <c r="S23" s="40"/>
      <c r="T23" s="40"/>
      <c r="U23" s="159"/>
      <c r="V23" s="169"/>
      <c r="W23" s="17"/>
      <c r="X23" s="17"/>
      <c r="Y23" s="31">
        <f>SUM(Y14:Y22)</f>
        <v>0</v>
      </c>
      <c r="Z23" s="31">
        <f>SUM(Z14:Z22)</f>
        <v>0</v>
      </c>
      <c r="AA23" s="495"/>
      <c r="AB23" s="495"/>
      <c r="AC23" s="31">
        <v>4</v>
      </c>
      <c r="AD23" s="31">
        <f>SUM(AD14:AD22)</f>
        <v>0</v>
      </c>
      <c r="AE23" s="19">
        <f t="shared" si="8"/>
        <v>-73.433994822750265</v>
      </c>
      <c r="AF23" s="158">
        <f t="shared" si="9"/>
        <v>0.95994509373304526</v>
      </c>
      <c r="AG23" s="489"/>
    </row>
    <row r="24" spans="1:33" ht="15.75" customHeight="1">
      <c r="A24" s="519" t="s">
        <v>596</v>
      </c>
      <c r="B24" s="42" t="s">
        <v>126</v>
      </c>
      <c r="C24" s="515" t="s">
        <v>135</v>
      </c>
      <c r="D24" s="515"/>
      <c r="E24" s="42">
        <v>43.14</v>
      </c>
      <c r="F24" s="170">
        <v>1113</v>
      </c>
      <c r="G24" s="159">
        <f t="shared" ref="G24:G34" si="19">E24*F24</f>
        <v>48014.82</v>
      </c>
      <c r="H24" s="125" t="s">
        <v>79</v>
      </c>
      <c r="I24" s="168">
        <v>17</v>
      </c>
      <c r="J24" s="37">
        <v>2000</v>
      </c>
      <c r="K24" s="17">
        <f t="shared" si="1"/>
        <v>117.64705882352941</v>
      </c>
      <c r="L24" s="168">
        <v>17</v>
      </c>
      <c r="M24" s="18">
        <f t="shared" ref="M24:M34" si="20">F24/V24*60</f>
        <v>1908.0000000000005</v>
      </c>
      <c r="N24" s="17">
        <f t="shared" si="3"/>
        <v>112.23529411764709</v>
      </c>
      <c r="O24" s="19">
        <f t="shared" si="4"/>
        <v>0</v>
      </c>
      <c r="P24" s="20">
        <f t="shared" si="5"/>
        <v>-5.4117647058823195</v>
      </c>
      <c r="Q24" s="158">
        <f t="shared" si="6"/>
        <v>0.95400000000000029</v>
      </c>
      <c r="R24" s="489">
        <f>Q35</f>
        <v>0.96328440794569836</v>
      </c>
      <c r="S24" s="40">
        <v>0.20833333333333334</v>
      </c>
      <c r="T24" s="40">
        <v>0.2326388888888889</v>
      </c>
      <c r="U24" s="159"/>
      <c r="V24" s="169">
        <f t="shared" ref="V24:V34" si="21">(T24-S24)*24*60</f>
        <v>34.999999999999993</v>
      </c>
      <c r="W24" s="28"/>
      <c r="X24" s="28"/>
      <c r="Y24" s="28"/>
      <c r="Z24" s="28"/>
      <c r="AA24" s="491"/>
      <c r="AB24" s="491"/>
      <c r="AC24" s="154">
        <v>5</v>
      </c>
      <c r="AD24" s="25"/>
      <c r="AE24" s="19">
        <f t="shared" si="8"/>
        <v>-91.999999999999545</v>
      </c>
      <c r="AF24" s="158">
        <f t="shared" si="9"/>
        <v>0.95400000000000018</v>
      </c>
      <c r="AG24" s="489">
        <f>AF35</f>
        <v>0.96328440794569847</v>
      </c>
    </row>
    <row r="25" spans="1:33" ht="15.75" customHeight="1">
      <c r="A25" s="520" t="s">
        <v>596</v>
      </c>
      <c r="B25" s="42" t="s">
        <v>130</v>
      </c>
      <c r="C25" s="515" t="s">
        <v>136</v>
      </c>
      <c r="D25" s="515"/>
      <c r="E25" s="42">
        <v>49.9</v>
      </c>
      <c r="F25" s="170">
        <v>1242</v>
      </c>
      <c r="G25" s="159">
        <f t="shared" si="19"/>
        <v>61975.799999999996</v>
      </c>
      <c r="H25" s="125" t="s">
        <v>79</v>
      </c>
      <c r="I25" s="168">
        <v>17</v>
      </c>
      <c r="J25" s="37">
        <v>2000</v>
      </c>
      <c r="K25" s="17">
        <f t="shared" si="1"/>
        <v>117.64705882352941</v>
      </c>
      <c r="L25" s="168">
        <v>17</v>
      </c>
      <c r="M25" s="18">
        <f t="shared" si="20"/>
        <v>1910.7692307692319</v>
      </c>
      <c r="N25" s="17">
        <f t="shared" si="3"/>
        <v>112.39819004524894</v>
      </c>
      <c r="O25" s="19">
        <f t="shared" si="4"/>
        <v>0</v>
      </c>
      <c r="P25" s="20">
        <f t="shared" si="5"/>
        <v>-5.2488687782804675</v>
      </c>
      <c r="Q25" s="158">
        <f t="shared" si="6"/>
        <v>0.95538461538461605</v>
      </c>
      <c r="R25" s="489"/>
      <c r="S25" s="40">
        <v>0.23750000000000002</v>
      </c>
      <c r="T25" s="40">
        <v>0.26458333333333334</v>
      </c>
      <c r="U25" s="159">
        <f t="shared" ref="U25:U34" si="22">IF(S25=TIME(17,0,0),"",(S25-T24)*24*60)</f>
        <v>7.0000000000000151</v>
      </c>
      <c r="V25" s="169">
        <f t="shared" si="21"/>
        <v>38.999999999999979</v>
      </c>
      <c r="W25" s="23"/>
      <c r="X25" s="159"/>
      <c r="Y25" s="159"/>
      <c r="Z25" s="159"/>
      <c r="AA25" s="491"/>
      <c r="AB25" s="491"/>
      <c r="AC25" s="154"/>
      <c r="AD25" s="25"/>
      <c r="AE25" s="19">
        <f t="shared" si="8"/>
        <v>-89.230769230768146</v>
      </c>
      <c r="AF25" s="158">
        <f t="shared" si="9"/>
        <v>0.95538461538461594</v>
      </c>
      <c r="AG25" s="489"/>
    </row>
    <row r="26" spans="1:33" ht="15.75" customHeight="1">
      <c r="A26" s="520" t="s">
        <v>596</v>
      </c>
      <c r="B26" s="42" t="s">
        <v>103</v>
      </c>
      <c r="C26" s="515" t="s">
        <v>137</v>
      </c>
      <c r="D26" s="515"/>
      <c r="E26" s="42">
        <v>57.73</v>
      </c>
      <c r="F26" s="170">
        <v>2897</v>
      </c>
      <c r="G26" s="159">
        <f t="shared" si="19"/>
        <v>167243.81</v>
      </c>
      <c r="H26" s="125" t="s">
        <v>79</v>
      </c>
      <c r="I26" s="168">
        <v>14</v>
      </c>
      <c r="J26" s="37">
        <v>2000</v>
      </c>
      <c r="K26" s="17">
        <f t="shared" si="1"/>
        <v>142.85714285714286</v>
      </c>
      <c r="L26" s="168">
        <v>14</v>
      </c>
      <c r="M26" s="18">
        <f t="shared" si="20"/>
        <v>1910.1098901098901</v>
      </c>
      <c r="N26" s="17">
        <f t="shared" si="3"/>
        <v>136.43642072213501</v>
      </c>
      <c r="O26" s="19">
        <f t="shared" si="4"/>
        <v>0</v>
      </c>
      <c r="P26" s="20">
        <f t="shared" si="5"/>
        <v>-6.4207221350078498</v>
      </c>
      <c r="Q26" s="158">
        <f t="shared" si="6"/>
        <v>0.95505494505494504</v>
      </c>
      <c r="R26" s="489"/>
      <c r="S26" s="40">
        <v>0.27013888888888887</v>
      </c>
      <c r="T26" s="40">
        <v>0.33333333333333331</v>
      </c>
      <c r="U26" s="159">
        <f t="shared" si="22"/>
        <v>7.9999999999999716</v>
      </c>
      <c r="V26" s="169">
        <f t="shared" si="21"/>
        <v>91</v>
      </c>
      <c r="W26" s="23"/>
      <c r="X26" s="159"/>
      <c r="Y26" s="159"/>
      <c r="Z26" s="159"/>
      <c r="AA26" s="491"/>
      <c r="AB26" s="491"/>
      <c r="AC26" s="154"/>
      <c r="AD26" s="25"/>
      <c r="AE26" s="19">
        <f t="shared" si="8"/>
        <v>-89.890109890109898</v>
      </c>
      <c r="AF26" s="158">
        <f t="shared" si="9"/>
        <v>0.95505494505494504</v>
      </c>
      <c r="AG26" s="489"/>
    </row>
    <row r="27" spans="1:33" ht="15.75" customHeight="1">
      <c r="A27" s="520" t="s">
        <v>596</v>
      </c>
      <c r="B27" s="42" t="s">
        <v>103</v>
      </c>
      <c r="C27" s="515" t="s">
        <v>138</v>
      </c>
      <c r="D27" s="515"/>
      <c r="E27" s="42">
        <v>53.68</v>
      </c>
      <c r="F27" s="170">
        <v>1790</v>
      </c>
      <c r="G27" s="159">
        <f t="shared" si="19"/>
        <v>96087.2</v>
      </c>
      <c r="H27" s="125" t="s">
        <v>79</v>
      </c>
      <c r="I27" s="168">
        <v>16</v>
      </c>
      <c r="J27" s="37">
        <v>2000</v>
      </c>
      <c r="K27" s="17">
        <f t="shared" si="1"/>
        <v>125</v>
      </c>
      <c r="L27" s="168">
        <v>16</v>
      </c>
      <c r="M27" s="18">
        <f t="shared" si="20"/>
        <v>1917.8571428571415</v>
      </c>
      <c r="N27" s="17">
        <f t="shared" si="3"/>
        <v>119.86607142857135</v>
      </c>
      <c r="O27" s="19">
        <f t="shared" si="4"/>
        <v>0</v>
      </c>
      <c r="P27" s="20">
        <f t="shared" si="5"/>
        <v>-5.1339285714286547</v>
      </c>
      <c r="Q27" s="158">
        <f t="shared" si="6"/>
        <v>0.9589285714285708</v>
      </c>
      <c r="R27" s="489"/>
      <c r="S27" s="40">
        <v>0.33749999999999997</v>
      </c>
      <c r="T27" s="40">
        <v>0.37638888888888888</v>
      </c>
      <c r="U27" s="159">
        <f t="shared" si="22"/>
        <v>5.9999999999999787</v>
      </c>
      <c r="V27" s="169">
        <f t="shared" si="21"/>
        <v>56.000000000000043</v>
      </c>
      <c r="W27" s="23"/>
      <c r="X27" s="159"/>
      <c r="Y27" s="159"/>
      <c r="Z27" s="159"/>
      <c r="AA27" s="491"/>
      <c r="AB27" s="491"/>
      <c r="AC27" s="154"/>
      <c r="AD27" s="25"/>
      <c r="AE27" s="19">
        <f t="shared" si="8"/>
        <v>-82.142857142858475</v>
      </c>
      <c r="AF27" s="158">
        <f t="shared" si="9"/>
        <v>0.9589285714285708</v>
      </c>
      <c r="AG27" s="489"/>
    </row>
    <row r="28" spans="1:33" ht="15.75" customHeight="1">
      <c r="A28" s="520" t="s">
        <v>596</v>
      </c>
      <c r="B28" s="42" t="s">
        <v>103</v>
      </c>
      <c r="C28" s="515" t="s">
        <v>139</v>
      </c>
      <c r="D28" s="515"/>
      <c r="E28" s="42">
        <v>49.91</v>
      </c>
      <c r="F28" s="170">
        <v>1044</v>
      </c>
      <c r="G28" s="159">
        <f t="shared" si="19"/>
        <v>52106.039999999994</v>
      </c>
      <c r="H28" s="125" t="s">
        <v>79</v>
      </c>
      <c r="I28" s="168">
        <v>17</v>
      </c>
      <c r="J28" s="37">
        <v>2000</v>
      </c>
      <c r="K28" s="17">
        <f t="shared" si="1"/>
        <v>117.64705882352941</v>
      </c>
      <c r="L28" s="168">
        <v>17</v>
      </c>
      <c r="M28" s="18">
        <f t="shared" si="20"/>
        <v>1957.500000000002</v>
      </c>
      <c r="N28" s="17">
        <f t="shared" si="3"/>
        <v>115.14705882352953</v>
      </c>
      <c r="O28" s="19">
        <f t="shared" si="4"/>
        <v>0</v>
      </c>
      <c r="P28" s="20">
        <f t="shared" si="5"/>
        <v>-2.4999999999998721</v>
      </c>
      <c r="Q28" s="158">
        <f t="shared" si="6"/>
        <v>0.97875000000000112</v>
      </c>
      <c r="R28" s="489"/>
      <c r="S28" s="40">
        <v>0.38194444444444442</v>
      </c>
      <c r="T28" s="40">
        <v>0.40416666666666662</v>
      </c>
      <c r="U28" s="159">
        <f t="shared" si="22"/>
        <v>7.9999999999999716</v>
      </c>
      <c r="V28" s="169">
        <f t="shared" si="21"/>
        <v>31.999999999999964</v>
      </c>
      <c r="W28" s="23"/>
      <c r="X28" s="159"/>
      <c r="Y28" s="159"/>
      <c r="Z28" s="159"/>
      <c r="AA28" s="491"/>
      <c r="AB28" s="491"/>
      <c r="AC28" s="154"/>
      <c r="AD28" s="25"/>
      <c r="AE28" s="19">
        <f t="shared" si="8"/>
        <v>-42.499999999997954</v>
      </c>
      <c r="AF28" s="158">
        <f t="shared" si="9"/>
        <v>0.97875000000000101</v>
      </c>
      <c r="AG28" s="489"/>
    </row>
    <row r="29" spans="1:33" ht="15.75" customHeight="1">
      <c r="A29" s="520" t="s">
        <v>596</v>
      </c>
      <c r="B29" s="42" t="s">
        <v>103</v>
      </c>
      <c r="C29" s="515" t="s">
        <v>140</v>
      </c>
      <c r="D29" s="515"/>
      <c r="E29" s="42">
        <v>50.49</v>
      </c>
      <c r="F29" s="170">
        <v>600</v>
      </c>
      <c r="G29" s="159">
        <f t="shared" si="19"/>
        <v>30294</v>
      </c>
      <c r="H29" s="125">
        <v>2</v>
      </c>
      <c r="I29" s="168">
        <v>15</v>
      </c>
      <c r="J29" s="37">
        <v>2000</v>
      </c>
      <c r="K29" s="17">
        <f t="shared" si="1"/>
        <v>133.33333333333334</v>
      </c>
      <c r="L29" s="168">
        <v>15</v>
      </c>
      <c r="M29" s="18">
        <f t="shared" si="20"/>
        <v>2000.000000000007</v>
      </c>
      <c r="N29" s="17">
        <f t="shared" si="3"/>
        <v>133.3333333333338</v>
      </c>
      <c r="O29" s="19">
        <f t="shared" si="4"/>
        <v>0</v>
      </c>
      <c r="P29" s="20">
        <f t="shared" si="5"/>
        <v>4.5474735088646412E-13</v>
      </c>
      <c r="Q29" s="158">
        <f t="shared" si="6"/>
        <v>1.0000000000000033</v>
      </c>
      <c r="R29" s="489"/>
      <c r="S29" s="40">
        <v>0.70833333333333337</v>
      </c>
      <c r="T29" s="40">
        <v>0.72083333333333333</v>
      </c>
      <c r="U29" s="159" t="str">
        <f t="shared" si="22"/>
        <v/>
      </c>
      <c r="V29" s="169">
        <f t="shared" si="21"/>
        <v>17.999999999999936</v>
      </c>
      <c r="W29" s="23"/>
      <c r="X29" s="28"/>
      <c r="Y29" s="28"/>
      <c r="Z29" s="28"/>
      <c r="AA29" s="491"/>
      <c r="AB29" s="491"/>
      <c r="AC29" s="154"/>
      <c r="AD29" s="25"/>
      <c r="AE29" s="19">
        <f t="shared" si="8"/>
        <v>7.0485839387401938E-12</v>
      </c>
      <c r="AF29" s="158">
        <f t="shared" si="9"/>
        <v>1.0000000000000036</v>
      </c>
      <c r="AG29" s="489"/>
    </row>
    <row r="30" spans="1:33" ht="15.75" customHeight="1">
      <c r="A30" s="520" t="s">
        <v>596</v>
      </c>
      <c r="B30" s="42" t="s">
        <v>103</v>
      </c>
      <c r="C30" s="515" t="s">
        <v>141</v>
      </c>
      <c r="D30" s="515"/>
      <c r="E30" s="42">
        <v>57.73</v>
      </c>
      <c r="F30" s="170">
        <v>1303</v>
      </c>
      <c r="G30" s="159">
        <f t="shared" si="19"/>
        <v>75222.19</v>
      </c>
      <c r="H30" s="125" t="s">
        <v>79</v>
      </c>
      <c r="I30" s="168">
        <v>16</v>
      </c>
      <c r="J30" s="37">
        <v>1500</v>
      </c>
      <c r="K30" s="17">
        <f t="shared" si="1"/>
        <v>93.75</v>
      </c>
      <c r="L30" s="168">
        <v>16</v>
      </c>
      <c r="M30" s="18">
        <f t="shared" si="20"/>
        <v>1447.7777777777787</v>
      </c>
      <c r="N30" s="17">
        <f t="shared" si="3"/>
        <v>90.486111111111171</v>
      </c>
      <c r="O30" s="19">
        <f t="shared" si="4"/>
        <v>0</v>
      </c>
      <c r="P30" s="20">
        <f t="shared" si="5"/>
        <v>-3.2638888888888289</v>
      </c>
      <c r="Q30" s="158">
        <f t="shared" si="6"/>
        <v>0.96518518518518581</v>
      </c>
      <c r="R30" s="489"/>
      <c r="S30" s="40">
        <v>0.72430555555555554</v>
      </c>
      <c r="T30" s="40">
        <v>0.76180555555555551</v>
      </c>
      <c r="U30" s="159">
        <f t="shared" si="22"/>
        <v>4.9999999999999822</v>
      </c>
      <c r="V30" s="169">
        <f t="shared" si="21"/>
        <v>53.999999999999972</v>
      </c>
      <c r="W30" s="23"/>
      <c r="X30" s="28"/>
      <c r="Y30" s="29"/>
      <c r="Z30" s="29"/>
      <c r="AA30" s="503"/>
      <c r="AB30" s="504"/>
      <c r="AC30" s="154"/>
      <c r="AD30" s="25"/>
      <c r="AE30" s="19">
        <f t="shared" si="8"/>
        <v>-52.222222222221262</v>
      </c>
      <c r="AF30" s="158">
        <f t="shared" si="9"/>
        <v>0.96518518518518581</v>
      </c>
      <c r="AG30" s="489"/>
    </row>
    <row r="31" spans="1:33" ht="15.75" customHeight="1">
      <c r="A31" s="520" t="s">
        <v>596</v>
      </c>
      <c r="B31" s="42" t="s">
        <v>103</v>
      </c>
      <c r="C31" s="521" t="s">
        <v>108</v>
      </c>
      <c r="D31" s="522"/>
      <c r="E31" s="42">
        <v>54.29</v>
      </c>
      <c r="F31" s="170">
        <v>900</v>
      </c>
      <c r="G31" s="159">
        <f t="shared" si="19"/>
        <v>48861</v>
      </c>
      <c r="H31" s="125">
        <v>2</v>
      </c>
      <c r="I31" s="168">
        <v>20</v>
      </c>
      <c r="J31" s="37">
        <v>2000</v>
      </c>
      <c r="K31" s="17">
        <f t="shared" si="1"/>
        <v>100</v>
      </c>
      <c r="L31" s="168">
        <v>20</v>
      </c>
      <c r="M31" s="18">
        <f t="shared" si="20"/>
        <v>1928.5714285714246</v>
      </c>
      <c r="N31" s="17">
        <f t="shared" si="3"/>
        <v>96.428571428571232</v>
      </c>
      <c r="O31" s="19">
        <f t="shared" si="4"/>
        <v>0</v>
      </c>
      <c r="P31" s="20">
        <f t="shared" si="5"/>
        <v>-3.5714285714287684</v>
      </c>
      <c r="Q31" s="158">
        <f t="shared" si="6"/>
        <v>0.9642857142857123</v>
      </c>
      <c r="R31" s="489"/>
      <c r="S31" s="40">
        <v>0.76666666666666661</v>
      </c>
      <c r="T31" s="40">
        <v>0.78611111111111109</v>
      </c>
      <c r="U31" s="159">
        <f t="shared" si="22"/>
        <v>6.9999999999999751</v>
      </c>
      <c r="V31" s="169">
        <f t="shared" si="21"/>
        <v>28.00000000000006</v>
      </c>
      <c r="W31" s="23"/>
      <c r="X31" s="23"/>
      <c r="Y31" s="26"/>
      <c r="Z31" s="26"/>
      <c r="AA31" s="503"/>
      <c r="AB31" s="504"/>
      <c r="AC31" s="154"/>
      <c r="AD31" s="25"/>
      <c r="AE31" s="19">
        <f t="shared" si="8"/>
        <v>-71.428571428575424</v>
      </c>
      <c r="AF31" s="158">
        <f t="shared" si="9"/>
        <v>0.9642857142857123</v>
      </c>
      <c r="AG31" s="489"/>
    </row>
    <row r="32" spans="1:33" ht="15.75" customHeight="1">
      <c r="A32" s="520" t="s">
        <v>596</v>
      </c>
      <c r="B32" s="42" t="s">
        <v>103</v>
      </c>
      <c r="C32" s="521" t="s">
        <v>142</v>
      </c>
      <c r="D32" s="522"/>
      <c r="E32" s="42">
        <v>53.68</v>
      </c>
      <c r="F32" s="170">
        <v>2214</v>
      </c>
      <c r="G32" s="159">
        <f t="shared" si="19"/>
        <v>118847.52</v>
      </c>
      <c r="H32" s="125" t="s">
        <v>79</v>
      </c>
      <c r="I32" s="168">
        <v>16</v>
      </c>
      <c r="J32" s="37">
        <v>1500</v>
      </c>
      <c r="K32" s="17">
        <f t="shared" si="1"/>
        <v>93.75</v>
      </c>
      <c r="L32" s="168">
        <v>16</v>
      </c>
      <c r="M32" s="18">
        <f t="shared" si="20"/>
        <v>1428.3870967741937</v>
      </c>
      <c r="N32" s="17">
        <f t="shared" si="3"/>
        <v>89.274193548387103</v>
      </c>
      <c r="O32" s="19">
        <f t="shared" si="4"/>
        <v>0</v>
      </c>
      <c r="P32" s="20">
        <f t="shared" si="5"/>
        <v>-4.4758064516128968</v>
      </c>
      <c r="Q32" s="158">
        <f t="shared" si="6"/>
        <v>0.95225806451612915</v>
      </c>
      <c r="R32" s="489"/>
      <c r="S32" s="40">
        <v>0.79097222222222219</v>
      </c>
      <c r="T32" s="40">
        <v>0.85555555555555551</v>
      </c>
      <c r="U32" s="159">
        <f t="shared" si="22"/>
        <v>6.9999999999999751</v>
      </c>
      <c r="V32" s="169">
        <f t="shared" si="21"/>
        <v>92.999999999999986</v>
      </c>
      <c r="W32" s="23">
        <f>T32</f>
        <v>0.85555555555555551</v>
      </c>
      <c r="X32" s="23">
        <f>S33</f>
        <v>0.89374999999999993</v>
      </c>
      <c r="Y32" s="26"/>
      <c r="Z32" s="26"/>
      <c r="AA32" s="503"/>
      <c r="AB32" s="504"/>
      <c r="AC32" s="154"/>
      <c r="AD32" s="25"/>
      <c r="AE32" s="19">
        <f t="shared" si="8"/>
        <v>-71.612903225806349</v>
      </c>
      <c r="AF32" s="158">
        <f t="shared" si="9"/>
        <v>0.95225806451612915</v>
      </c>
      <c r="AG32" s="489"/>
    </row>
    <row r="33" spans="1:33" ht="15.75" customHeight="1">
      <c r="A33" s="520" t="s">
        <v>596</v>
      </c>
      <c r="B33" s="42" t="s">
        <v>103</v>
      </c>
      <c r="C33" s="521" t="s">
        <v>140</v>
      </c>
      <c r="D33" s="522"/>
      <c r="E33" s="42">
        <v>50.49</v>
      </c>
      <c r="F33" s="170">
        <v>1528</v>
      </c>
      <c r="G33" s="159">
        <f t="shared" si="19"/>
        <v>77148.72</v>
      </c>
      <c r="H33" s="125" t="s">
        <v>79</v>
      </c>
      <c r="I33" s="168">
        <v>15</v>
      </c>
      <c r="J33" s="37">
        <v>2000</v>
      </c>
      <c r="K33" s="17">
        <f t="shared" si="1"/>
        <v>133.33333333333334</v>
      </c>
      <c r="L33" s="168">
        <v>15</v>
      </c>
      <c r="M33" s="18">
        <f t="shared" si="20"/>
        <v>1910.0000000000005</v>
      </c>
      <c r="N33" s="17">
        <f t="shared" si="3"/>
        <v>127.33333333333336</v>
      </c>
      <c r="O33" s="19">
        <f t="shared" si="4"/>
        <v>0</v>
      </c>
      <c r="P33" s="20">
        <f t="shared" si="5"/>
        <v>-5.9999999999999858</v>
      </c>
      <c r="Q33" s="158">
        <f t="shared" si="6"/>
        <v>0.95500000000000007</v>
      </c>
      <c r="R33" s="489"/>
      <c r="S33" s="40">
        <v>0.89374999999999993</v>
      </c>
      <c r="T33" s="40">
        <v>0.92708333333333326</v>
      </c>
      <c r="U33" s="159">
        <f t="shared" si="22"/>
        <v>54.999999999999964</v>
      </c>
      <c r="V33" s="169">
        <f t="shared" si="21"/>
        <v>47.999999999999986</v>
      </c>
      <c r="W33" s="23"/>
      <c r="X33" s="23"/>
      <c r="Y33" s="26"/>
      <c r="Z33" s="26"/>
      <c r="AA33" s="503"/>
      <c r="AB33" s="504"/>
      <c r="AC33" s="154"/>
      <c r="AD33" s="25"/>
      <c r="AE33" s="19">
        <f t="shared" si="8"/>
        <v>-89.999999999999545</v>
      </c>
      <c r="AF33" s="158">
        <f t="shared" si="9"/>
        <v>0.95500000000000018</v>
      </c>
      <c r="AG33" s="489"/>
    </row>
    <row r="34" spans="1:33" ht="15.75" customHeight="1">
      <c r="A34" s="520" t="s">
        <v>596</v>
      </c>
      <c r="B34" s="42" t="s">
        <v>103</v>
      </c>
      <c r="C34" s="521" t="s">
        <v>108</v>
      </c>
      <c r="D34" s="522"/>
      <c r="E34" s="42">
        <v>54.29</v>
      </c>
      <c r="F34" s="170">
        <v>2101</v>
      </c>
      <c r="G34" s="159">
        <f t="shared" si="19"/>
        <v>114063.29</v>
      </c>
      <c r="H34" s="125" t="s">
        <v>79</v>
      </c>
      <c r="I34" s="168">
        <v>20</v>
      </c>
      <c r="J34" s="37">
        <v>2000</v>
      </c>
      <c r="K34" s="17">
        <f t="shared" si="1"/>
        <v>100</v>
      </c>
      <c r="L34" s="168">
        <v>20</v>
      </c>
      <c r="M34" s="18">
        <f t="shared" si="20"/>
        <v>1909.9999999999975</v>
      </c>
      <c r="N34" s="17">
        <f t="shared" si="3"/>
        <v>95.499999999999872</v>
      </c>
      <c r="O34" s="19">
        <f t="shared" si="4"/>
        <v>0</v>
      </c>
      <c r="P34" s="20">
        <f t="shared" si="5"/>
        <v>-4.5000000000001279</v>
      </c>
      <c r="Q34" s="158">
        <f t="shared" si="6"/>
        <v>0.95499999999999874</v>
      </c>
      <c r="R34" s="489"/>
      <c r="S34" s="40">
        <v>0.9326388888888888</v>
      </c>
      <c r="T34" s="40">
        <v>0.97847222222222219</v>
      </c>
      <c r="U34" s="159">
        <f t="shared" si="22"/>
        <v>7.9999999999999716</v>
      </c>
      <c r="V34" s="169">
        <f t="shared" si="21"/>
        <v>66.000000000000085</v>
      </c>
      <c r="W34" s="23"/>
      <c r="X34" s="23"/>
      <c r="Y34" s="26"/>
      <c r="Z34" s="26"/>
      <c r="AA34" s="503"/>
      <c r="AB34" s="504"/>
      <c r="AC34" s="154"/>
      <c r="AD34" s="25"/>
      <c r="AE34" s="19">
        <f t="shared" si="8"/>
        <v>-90.000000000002501</v>
      </c>
      <c r="AF34" s="158">
        <f t="shared" si="9"/>
        <v>0.95499999999999874</v>
      </c>
      <c r="AG34" s="489"/>
    </row>
    <row r="35" spans="1:33" ht="15.75" customHeight="1">
      <c r="A35" s="520" t="s">
        <v>596</v>
      </c>
      <c r="B35" s="42" t="s">
        <v>594</v>
      </c>
      <c r="C35" s="494"/>
      <c r="D35" s="494"/>
      <c r="E35" s="161"/>
      <c r="F35" s="170"/>
      <c r="G35" s="159"/>
      <c r="H35" s="170"/>
      <c r="I35" s="30">
        <v>16.636363636363637</v>
      </c>
      <c r="J35" s="37">
        <v>1909.090909090909</v>
      </c>
      <c r="K35" s="17">
        <f t="shared" si="1"/>
        <v>114.75409836065573</v>
      </c>
      <c r="L35" s="30">
        <v>16.636363636363637</v>
      </c>
      <c r="M35" s="18">
        <f>AVERAGE(M24:M34)</f>
        <v>1838.9975060781514</v>
      </c>
      <c r="N35" s="17">
        <f t="shared" si="3"/>
        <v>110.5408336986867</v>
      </c>
      <c r="O35" s="19">
        <f t="shared" si="4"/>
        <v>0</v>
      </c>
      <c r="P35" s="20">
        <f t="shared" si="5"/>
        <v>-4.2132646619690348</v>
      </c>
      <c r="Q35" s="158">
        <f t="shared" si="6"/>
        <v>0.96328440794569836</v>
      </c>
      <c r="R35" s="489"/>
      <c r="S35" s="40"/>
      <c r="T35" s="40"/>
      <c r="U35" s="17"/>
      <c r="V35" s="169"/>
      <c r="W35" s="17"/>
      <c r="X35" s="17"/>
      <c r="Y35" s="31">
        <f>SUM(Y24:Y34)</f>
        <v>0</v>
      </c>
      <c r="Z35" s="31">
        <f>SUM(Z24:Z34)</f>
        <v>0</v>
      </c>
      <c r="AA35" s="495"/>
      <c r="AB35" s="495"/>
      <c r="AC35" s="31">
        <v>5</v>
      </c>
      <c r="AD35" s="31">
        <f>SUM(AD24:AD34)</f>
        <v>0</v>
      </c>
      <c r="AE35" s="19">
        <f t="shared" si="8"/>
        <v>-70.093403012757562</v>
      </c>
      <c r="AF35" s="158">
        <f t="shared" si="9"/>
        <v>0.96328440794569847</v>
      </c>
      <c r="AG35" s="489"/>
    </row>
    <row r="36" spans="1:33" ht="15.75" customHeight="1">
      <c r="A36" s="518" t="s">
        <v>597</v>
      </c>
      <c r="B36" s="42" t="s">
        <v>80</v>
      </c>
      <c r="C36" s="515" t="s">
        <v>81</v>
      </c>
      <c r="D36" s="515"/>
      <c r="E36" s="42">
        <v>31.29</v>
      </c>
      <c r="F36" s="170">
        <v>3800</v>
      </c>
      <c r="G36" s="159">
        <f t="shared" ref="G36:G41" si="23">E36*F36</f>
        <v>118902</v>
      </c>
      <c r="H36" s="125">
        <v>2</v>
      </c>
      <c r="I36" s="168">
        <v>18</v>
      </c>
      <c r="J36" s="37">
        <v>2400</v>
      </c>
      <c r="K36" s="17">
        <f t="shared" si="1"/>
        <v>133.33333333333334</v>
      </c>
      <c r="L36" s="168">
        <v>18</v>
      </c>
      <c r="M36" s="18">
        <f t="shared" ref="M36:M41" si="24">F36/V36*60</f>
        <v>2303.030303030303</v>
      </c>
      <c r="N36" s="17">
        <f t="shared" si="3"/>
        <v>127.94612794612794</v>
      </c>
      <c r="O36" s="19">
        <f t="shared" si="4"/>
        <v>0</v>
      </c>
      <c r="P36" s="20">
        <f t="shared" si="5"/>
        <v>-5.3872053872053982</v>
      </c>
      <c r="Q36" s="158">
        <f t="shared" si="6"/>
        <v>0.95959595959595956</v>
      </c>
      <c r="R36" s="489">
        <f>Q42</f>
        <v>0.95488530478928346</v>
      </c>
      <c r="S36" s="40">
        <v>8.3333333333333329E-2</v>
      </c>
      <c r="T36" s="40">
        <v>0.15208333333333332</v>
      </c>
      <c r="U36" s="159"/>
      <c r="V36" s="169">
        <f t="shared" ref="V36:V41" si="25">(T36-S36)*24*60</f>
        <v>99</v>
      </c>
      <c r="W36" s="23">
        <f>T36</f>
        <v>0.15208333333333332</v>
      </c>
      <c r="X36" s="23">
        <f>S37</f>
        <v>0.17013888888888887</v>
      </c>
      <c r="Y36" s="23"/>
      <c r="Z36" s="23"/>
      <c r="AA36" s="491"/>
      <c r="AB36" s="491"/>
      <c r="AC36" s="154">
        <v>8</v>
      </c>
      <c r="AD36" s="25"/>
      <c r="AE36" s="19">
        <f t="shared" si="8"/>
        <v>-96.969696969696997</v>
      </c>
      <c r="AF36" s="158">
        <f t="shared" si="9"/>
        <v>0.95959595959595956</v>
      </c>
      <c r="AG36" s="489">
        <f>AF42</f>
        <v>0.95488530478928335</v>
      </c>
    </row>
    <row r="37" spans="1:33" ht="15.75" customHeight="1">
      <c r="A37" s="518" t="s">
        <v>597</v>
      </c>
      <c r="B37" s="42" t="s">
        <v>80</v>
      </c>
      <c r="C37" s="515" t="s">
        <v>82</v>
      </c>
      <c r="D37" s="515"/>
      <c r="E37" s="42">
        <v>26.2</v>
      </c>
      <c r="F37" s="170">
        <v>4858</v>
      </c>
      <c r="G37" s="159">
        <f t="shared" si="23"/>
        <v>127279.59999999999</v>
      </c>
      <c r="H37" s="125" t="s">
        <v>79</v>
      </c>
      <c r="I37" s="168">
        <v>20</v>
      </c>
      <c r="J37" s="37">
        <v>2400</v>
      </c>
      <c r="K37" s="17">
        <f t="shared" si="1"/>
        <v>120</v>
      </c>
      <c r="L37" s="168">
        <v>20</v>
      </c>
      <c r="M37" s="18">
        <f t="shared" si="24"/>
        <v>2295.1181102362207</v>
      </c>
      <c r="N37" s="17">
        <f t="shared" si="3"/>
        <v>114.75590551181104</v>
      </c>
      <c r="O37" s="19">
        <f t="shared" si="4"/>
        <v>0</v>
      </c>
      <c r="P37" s="20">
        <f t="shared" si="5"/>
        <v>-5.2440944881889635</v>
      </c>
      <c r="Q37" s="158">
        <f t="shared" si="6"/>
        <v>0.95629921259842532</v>
      </c>
      <c r="R37" s="489"/>
      <c r="S37" s="40">
        <v>0.17013888888888887</v>
      </c>
      <c r="T37" s="40">
        <v>0.2583333333333333</v>
      </c>
      <c r="U37" s="159">
        <f t="shared" ref="U37:U41" si="26">(S37-T36)*24*60</f>
        <v>25.999999999999986</v>
      </c>
      <c r="V37" s="169">
        <f t="shared" si="25"/>
        <v>126.99999999999997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-104.88188976377933</v>
      </c>
      <c r="AF37" s="158">
        <f t="shared" si="9"/>
        <v>0.95629921259842532</v>
      </c>
      <c r="AG37" s="489"/>
    </row>
    <row r="38" spans="1:33" ht="15.75" customHeight="1">
      <c r="A38" s="518" t="s">
        <v>597</v>
      </c>
      <c r="B38" s="42" t="s">
        <v>80</v>
      </c>
      <c r="C38" s="515" t="s">
        <v>83</v>
      </c>
      <c r="D38" s="515"/>
      <c r="E38" s="42">
        <v>25.99</v>
      </c>
      <c r="F38" s="170">
        <v>4570</v>
      </c>
      <c r="G38" s="159">
        <f t="shared" si="23"/>
        <v>118774.29999999999</v>
      </c>
      <c r="H38" s="125" t="s">
        <v>79</v>
      </c>
      <c r="I38" s="168">
        <v>14</v>
      </c>
      <c r="J38" s="37">
        <v>2400</v>
      </c>
      <c r="K38" s="17">
        <f t="shared" si="1"/>
        <v>171.42857142857142</v>
      </c>
      <c r="L38" s="168">
        <v>14</v>
      </c>
      <c r="M38" s="18">
        <f t="shared" si="24"/>
        <v>2285.0000000000005</v>
      </c>
      <c r="N38" s="17">
        <f t="shared" si="3"/>
        <v>163.21428571428575</v>
      </c>
      <c r="O38" s="19">
        <f t="shared" si="4"/>
        <v>0</v>
      </c>
      <c r="P38" s="20">
        <f t="shared" si="5"/>
        <v>-8.2142857142856656</v>
      </c>
      <c r="Q38" s="158">
        <f t="shared" si="6"/>
        <v>0.95208333333333361</v>
      </c>
      <c r="R38" s="489"/>
      <c r="S38" s="40">
        <v>0.2631944444444444</v>
      </c>
      <c r="T38" s="40">
        <v>0.34652777777777771</v>
      </c>
      <c r="U38" s="159">
        <f t="shared" si="26"/>
        <v>6.9999999999999751</v>
      </c>
      <c r="V38" s="169">
        <f t="shared" si="25"/>
        <v>119.99999999999997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-114.99999999999955</v>
      </c>
      <c r="AF38" s="158">
        <f t="shared" si="9"/>
        <v>0.9520833333333335</v>
      </c>
      <c r="AG38" s="489"/>
    </row>
    <row r="39" spans="1:33" ht="15.75" customHeight="1">
      <c r="A39" s="518" t="s">
        <v>597</v>
      </c>
      <c r="B39" s="42" t="s">
        <v>80</v>
      </c>
      <c r="C39" s="515" t="s">
        <v>84</v>
      </c>
      <c r="D39" s="515"/>
      <c r="E39" s="42">
        <v>20.52</v>
      </c>
      <c r="F39" s="170">
        <v>4305</v>
      </c>
      <c r="G39" s="159">
        <f t="shared" si="23"/>
        <v>88338.599999999991</v>
      </c>
      <c r="H39" s="125" t="s">
        <v>79</v>
      </c>
      <c r="I39" s="168">
        <v>18</v>
      </c>
      <c r="J39" s="37">
        <v>2400</v>
      </c>
      <c r="K39" s="17">
        <f t="shared" si="1"/>
        <v>133.33333333333334</v>
      </c>
      <c r="L39" s="168">
        <v>18</v>
      </c>
      <c r="M39" s="18">
        <f t="shared" si="24"/>
        <v>2285.8407079646017</v>
      </c>
      <c r="N39" s="17">
        <f t="shared" si="3"/>
        <v>126.99115044247787</v>
      </c>
      <c r="O39" s="19">
        <f t="shared" si="4"/>
        <v>0</v>
      </c>
      <c r="P39" s="20">
        <f t="shared" si="5"/>
        <v>-6.3421828908554687</v>
      </c>
      <c r="Q39" s="158">
        <f t="shared" si="6"/>
        <v>0.95243362831858402</v>
      </c>
      <c r="R39" s="489"/>
      <c r="S39" s="40">
        <v>0.35069444444444436</v>
      </c>
      <c r="T39" s="40">
        <v>0.42916666666666659</v>
      </c>
      <c r="U39" s="159">
        <f t="shared" si="26"/>
        <v>5.9999999999999787</v>
      </c>
      <c r="V39" s="169">
        <f t="shared" si="25"/>
        <v>113</v>
      </c>
      <c r="W39" s="23"/>
      <c r="X39" s="23"/>
      <c r="Y39" s="23"/>
      <c r="Z39" s="23"/>
      <c r="AA39" s="491"/>
      <c r="AB39" s="491"/>
      <c r="AC39" s="154"/>
      <c r="AD39" s="25"/>
      <c r="AE39" s="19">
        <f t="shared" si="8"/>
        <v>-114.15929203539827</v>
      </c>
      <c r="AF39" s="158">
        <f t="shared" si="9"/>
        <v>0.95243362831858402</v>
      </c>
      <c r="AG39" s="489"/>
    </row>
    <row r="40" spans="1:33" ht="15.75" customHeight="1">
      <c r="A40" s="518" t="s">
        <v>597</v>
      </c>
      <c r="B40" s="42" t="s">
        <v>80</v>
      </c>
      <c r="C40" s="515" t="s">
        <v>85</v>
      </c>
      <c r="D40" s="515"/>
      <c r="E40" s="42">
        <v>25.98</v>
      </c>
      <c r="F40" s="170">
        <v>3639</v>
      </c>
      <c r="G40" s="159">
        <f t="shared" si="23"/>
        <v>94541.22</v>
      </c>
      <c r="H40" s="125" t="s">
        <v>79</v>
      </c>
      <c r="I40" s="168">
        <v>21</v>
      </c>
      <c r="J40" s="37">
        <v>2400</v>
      </c>
      <c r="K40" s="17">
        <f t="shared" si="1"/>
        <v>114.28571428571429</v>
      </c>
      <c r="L40" s="168">
        <v>21</v>
      </c>
      <c r="M40" s="18">
        <f t="shared" si="24"/>
        <v>2298.3157894736846</v>
      </c>
      <c r="N40" s="17">
        <f t="shared" si="3"/>
        <v>109.44360902255642</v>
      </c>
      <c r="O40" s="19">
        <f t="shared" si="4"/>
        <v>0</v>
      </c>
      <c r="P40" s="20">
        <f t="shared" si="5"/>
        <v>-4.842105263157876</v>
      </c>
      <c r="Q40" s="158">
        <f t="shared" si="6"/>
        <v>0.95763157894736861</v>
      </c>
      <c r="R40" s="489"/>
      <c r="S40" s="40">
        <v>0.43472222222222212</v>
      </c>
      <c r="T40" s="40">
        <v>0.50069444444444433</v>
      </c>
      <c r="U40" s="159">
        <f t="shared" si="26"/>
        <v>7.9999999999999716</v>
      </c>
      <c r="V40" s="169">
        <f t="shared" si="25"/>
        <v>94.999999999999986</v>
      </c>
      <c r="W40" s="23">
        <f>T40</f>
        <v>0.50069444444444433</v>
      </c>
      <c r="X40" s="23">
        <f>S41</f>
        <v>0.53958333333333319</v>
      </c>
      <c r="Y40" s="23"/>
      <c r="Z40" s="23"/>
      <c r="AA40" s="491"/>
      <c r="AB40" s="491"/>
      <c r="AC40" s="154"/>
      <c r="AD40" s="25"/>
      <c r="AE40" s="19">
        <f t="shared" si="8"/>
        <v>-101.68421052631538</v>
      </c>
      <c r="AF40" s="158">
        <f t="shared" si="9"/>
        <v>0.95763157894736861</v>
      </c>
      <c r="AG40" s="489"/>
    </row>
    <row r="41" spans="1:33" ht="15.75" customHeight="1">
      <c r="A41" s="518" t="s">
        <v>597</v>
      </c>
      <c r="B41" s="42" t="s">
        <v>80</v>
      </c>
      <c r="C41" s="515" t="s">
        <v>81</v>
      </c>
      <c r="D41" s="515"/>
      <c r="E41" s="42">
        <v>31.29</v>
      </c>
      <c r="F41" s="170">
        <v>5251</v>
      </c>
      <c r="G41" s="159">
        <f t="shared" si="23"/>
        <v>164303.79</v>
      </c>
      <c r="H41" s="125" t="s">
        <v>79</v>
      </c>
      <c r="I41" s="168">
        <v>18</v>
      </c>
      <c r="J41" s="37">
        <v>2400</v>
      </c>
      <c r="K41" s="17">
        <f t="shared" si="1"/>
        <v>133.33333333333334</v>
      </c>
      <c r="L41" s="168">
        <v>18</v>
      </c>
      <c r="M41" s="18">
        <f t="shared" si="24"/>
        <v>2283.0434782608695</v>
      </c>
      <c r="N41" s="17">
        <f t="shared" si="3"/>
        <v>126.83574879227052</v>
      </c>
      <c r="O41" s="19">
        <f t="shared" si="4"/>
        <v>0</v>
      </c>
      <c r="P41" s="20">
        <f t="shared" si="5"/>
        <v>-6.497584541062821</v>
      </c>
      <c r="Q41" s="158">
        <f t="shared" si="6"/>
        <v>0.95126811594202887</v>
      </c>
      <c r="R41" s="489"/>
      <c r="S41" s="40">
        <v>0.53958333333333319</v>
      </c>
      <c r="T41" s="40">
        <v>0.63541666666666652</v>
      </c>
      <c r="U41" s="159">
        <f t="shared" si="26"/>
        <v>55.999999999999957</v>
      </c>
      <c r="V41" s="169">
        <f t="shared" si="25"/>
        <v>138</v>
      </c>
      <c r="W41" s="23"/>
      <c r="X41" s="23"/>
      <c r="Y41" s="23"/>
      <c r="Z41" s="23"/>
      <c r="AA41" s="491"/>
      <c r="AB41" s="491"/>
      <c r="AC41" s="154"/>
      <c r="AD41" s="25"/>
      <c r="AE41" s="19">
        <f t="shared" si="8"/>
        <v>-116.95652173913049</v>
      </c>
      <c r="AF41" s="158">
        <f t="shared" si="9"/>
        <v>0.95126811594202898</v>
      </c>
      <c r="AG41" s="489"/>
    </row>
    <row r="42" spans="1:33" ht="15.75" customHeight="1">
      <c r="A42" s="518" t="s">
        <v>597</v>
      </c>
      <c r="B42" s="42" t="s">
        <v>594</v>
      </c>
      <c r="C42" s="494"/>
      <c r="D42" s="494"/>
      <c r="E42" s="161"/>
      <c r="F42" s="170"/>
      <c r="G42" s="159"/>
      <c r="H42" s="170"/>
      <c r="I42" s="30">
        <v>18.166666666666668</v>
      </c>
      <c r="J42" s="37">
        <v>2400</v>
      </c>
      <c r="K42" s="17">
        <f t="shared" si="1"/>
        <v>132.11009174311926</v>
      </c>
      <c r="L42" s="30">
        <v>18.166666666666668</v>
      </c>
      <c r="M42" s="18">
        <f>AVERAGE(M36:M41)</f>
        <v>2291.7247314942801</v>
      </c>
      <c r="N42" s="17">
        <f t="shared" si="3"/>
        <v>126.14998521986863</v>
      </c>
      <c r="O42" s="19">
        <f t="shared" si="4"/>
        <v>0</v>
      </c>
      <c r="P42" s="20">
        <f t="shared" si="5"/>
        <v>-5.9601065232506301</v>
      </c>
      <c r="Q42" s="158">
        <f t="shared" si="6"/>
        <v>0.95488530478928346</v>
      </c>
      <c r="R42" s="489"/>
      <c r="S42" s="40"/>
      <c r="T42" s="40"/>
      <c r="U42" s="159"/>
      <c r="V42" s="169"/>
      <c r="W42" s="159"/>
      <c r="X42" s="159"/>
      <c r="Y42" s="31">
        <f>SUM(Y36:Y41)</f>
        <v>0</v>
      </c>
      <c r="Z42" s="31">
        <f>SUM(Z36:Z41)</f>
        <v>0</v>
      </c>
      <c r="AA42" s="495"/>
      <c r="AB42" s="495"/>
      <c r="AC42" s="31">
        <v>8</v>
      </c>
      <c r="AD42" s="31">
        <f>SUM(AD36:AD41)</f>
        <v>0</v>
      </c>
      <c r="AE42" s="19">
        <f t="shared" si="8"/>
        <v>-108.27526850571985</v>
      </c>
      <c r="AF42" s="158">
        <f t="shared" si="9"/>
        <v>0.95488530478928335</v>
      </c>
      <c r="AG42" s="489"/>
    </row>
    <row r="43" spans="1:33" ht="15.75" customHeight="1">
      <c r="A43" s="516" t="s">
        <v>598</v>
      </c>
      <c r="B43" s="42" t="s">
        <v>80</v>
      </c>
      <c r="C43" s="490" t="s">
        <v>86</v>
      </c>
      <c r="D43" s="490"/>
      <c r="E43" s="42">
        <v>22.69</v>
      </c>
      <c r="F43" s="170">
        <v>1333</v>
      </c>
      <c r="G43" s="159">
        <f t="shared" ref="G43:G50" si="27">E43*F43</f>
        <v>30245.77</v>
      </c>
      <c r="H43" s="125" t="s">
        <v>79</v>
      </c>
      <c r="I43" s="168">
        <v>15</v>
      </c>
      <c r="J43" s="37">
        <v>2400</v>
      </c>
      <c r="K43" s="17">
        <f t="shared" si="1"/>
        <v>160</v>
      </c>
      <c r="L43" s="168">
        <v>15</v>
      </c>
      <c r="M43" s="18">
        <f t="shared" ref="M43:M50" si="28">F43/V43*60</f>
        <v>2285.1428571428578</v>
      </c>
      <c r="N43" s="17">
        <f t="shared" si="3"/>
        <v>152.34285714285718</v>
      </c>
      <c r="O43" s="19">
        <f t="shared" si="4"/>
        <v>0</v>
      </c>
      <c r="P43" s="20">
        <f t="shared" si="5"/>
        <v>-7.6571428571428157</v>
      </c>
      <c r="Q43" s="158">
        <f t="shared" si="6"/>
        <v>0.9521428571428574</v>
      </c>
      <c r="R43" s="489">
        <f>Q51</f>
        <v>0.96061532899217239</v>
      </c>
      <c r="S43" s="40">
        <v>8.3333333333333329E-2</v>
      </c>
      <c r="T43" s="40">
        <v>0.10763888888888888</v>
      </c>
      <c r="U43" s="159"/>
      <c r="V43" s="169">
        <f t="shared" ref="V43:V50" si="29">(T43-S43)*24*60</f>
        <v>34.999999999999993</v>
      </c>
      <c r="W43" s="28">
        <f>T43</f>
        <v>0.10763888888888888</v>
      </c>
      <c r="X43" s="28">
        <f>S44</f>
        <v>0.12708333333333333</v>
      </c>
      <c r="Y43" s="28"/>
      <c r="Z43" s="28"/>
      <c r="AA43" s="491"/>
      <c r="AB43" s="491"/>
      <c r="AC43" s="154">
        <v>7</v>
      </c>
      <c r="AD43" s="25"/>
      <c r="AE43" s="19">
        <f t="shared" si="8"/>
        <v>-114.85714285714221</v>
      </c>
      <c r="AF43" s="158">
        <f t="shared" si="9"/>
        <v>0.9521428571428574</v>
      </c>
      <c r="AG43" s="489">
        <f>AF51</f>
        <v>0.96061532899217239</v>
      </c>
    </row>
    <row r="44" spans="1:33" ht="15.75" customHeight="1">
      <c r="A44" s="516" t="s">
        <v>598</v>
      </c>
      <c r="B44" s="42" t="s">
        <v>80</v>
      </c>
      <c r="C44" s="490" t="s">
        <v>87</v>
      </c>
      <c r="D44" s="490"/>
      <c r="E44" s="42">
        <v>26.2</v>
      </c>
      <c r="F44" s="170">
        <v>3600</v>
      </c>
      <c r="G44" s="159">
        <f t="shared" si="27"/>
        <v>94320</v>
      </c>
      <c r="H44" s="125">
        <v>2</v>
      </c>
      <c r="I44" s="168">
        <v>18</v>
      </c>
      <c r="J44" s="37">
        <v>2400</v>
      </c>
      <c r="K44" s="17">
        <f t="shared" si="1"/>
        <v>133.33333333333334</v>
      </c>
      <c r="L44" s="168">
        <v>18</v>
      </c>
      <c r="M44" s="18">
        <f t="shared" si="28"/>
        <v>2297.872340425532</v>
      </c>
      <c r="N44" s="17">
        <f t="shared" si="3"/>
        <v>127.65957446808511</v>
      </c>
      <c r="O44" s="19">
        <f t="shared" si="4"/>
        <v>0</v>
      </c>
      <c r="P44" s="20">
        <f t="shared" si="5"/>
        <v>-5.6737588652482316</v>
      </c>
      <c r="Q44" s="158">
        <f t="shared" si="6"/>
        <v>0.95744680851063824</v>
      </c>
      <c r="R44" s="489"/>
      <c r="S44" s="40">
        <v>0.12708333333333333</v>
      </c>
      <c r="T44" s="40">
        <v>0.19236111111111109</v>
      </c>
      <c r="U44" s="159">
        <f t="shared" ref="U44:U50" si="30">(S44-T43)*24*60</f>
        <v>28</v>
      </c>
      <c r="V44" s="169">
        <f t="shared" si="29"/>
        <v>93.999999999999986</v>
      </c>
      <c r="W44" s="159"/>
      <c r="X44" s="159"/>
      <c r="Y44" s="159"/>
      <c r="Z44" s="159"/>
      <c r="AA44" s="491"/>
      <c r="AB44" s="491"/>
      <c r="AC44" s="154"/>
      <c r="AD44" s="25"/>
      <c r="AE44" s="19">
        <f t="shared" si="8"/>
        <v>-102.127659574468</v>
      </c>
      <c r="AF44" s="158">
        <f t="shared" si="9"/>
        <v>0.95744680851063835</v>
      </c>
      <c r="AG44" s="489"/>
    </row>
    <row r="45" spans="1:33">
      <c r="A45" s="517" t="s">
        <v>598</v>
      </c>
      <c r="B45" s="42" t="s">
        <v>80</v>
      </c>
      <c r="C45" s="490" t="s">
        <v>88</v>
      </c>
      <c r="D45" s="490"/>
      <c r="E45" s="42">
        <v>26.18</v>
      </c>
      <c r="F45" s="170">
        <v>2284</v>
      </c>
      <c r="G45" s="159">
        <f t="shared" si="27"/>
        <v>59795.12</v>
      </c>
      <c r="H45" s="125" t="s">
        <v>79</v>
      </c>
      <c r="I45" s="168">
        <v>19</v>
      </c>
      <c r="J45" s="37">
        <v>2400</v>
      </c>
      <c r="K45" s="17">
        <f t="shared" si="1"/>
        <v>126.31578947368421</v>
      </c>
      <c r="L45" s="168">
        <v>19</v>
      </c>
      <c r="M45" s="18">
        <f t="shared" si="28"/>
        <v>2284.0000000000005</v>
      </c>
      <c r="N45" s="17">
        <f t="shared" si="3"/>
        <v>120.21052631578949</v>
      </c>
      <c r="O45" s="19">
        <f t="shared" si="4"/>
        <v>0</v>
      </c>
      <c r="P45" s="20">
        <f t="shared" si="5"/>
        <v>-6.1052631578947114</v>
      </c>
      <c r="Q45" s="158">
        <f t="shared" si="6"/>
        <v>0.95166666666666688</v>
      </c>
      <c r="R45" s="489"/>
      <c r="S45" s="40">
        <v>0.19791666666666666</v>
      </c>
      <c r="T45" s="40">
        <v>0.23958333333333331</v>
      </c>
      <c r="U45" s="159">
        <f t="shared" si="30"/>
        <v>8.0000000000000107</v>
      </c>
      <c r="V45" s="169">
        <f t="shared" si="29"/>
        <v>59.999999999999986</v>
      </c>
      <c r="W45" s="159"/>
      <c r="X45" s="159"/>
      <c r="Y45" s="159"/>
      <c r="Z45" s="159"/>
      <c r="AA45" s="491"/>
      <c r="AB45" s="491"/>
      <c r="AC45" s="154"/>
      <c r="AD45" s="25"/>
      <c r="AE45" s="19">
        <f t="shared" si="8"/>
        <v>-115.99999999999955</v>
      </c>
      <c r="AF45" s="158">
        <f t="shared" si="9"/>
        <v>0.95166666666666688</v>
      </c>
      <c r="AG45" s="489"/>
    </row>
    <row r="46" spans="1:33">
      <c r="A46" s="517" t="s">
        <v>598</v>
      </c>
      <c r="B46" s="42" t="s">
        <v>80</v>
      </c>
      <c r="C46" s="490" t="s">
        <v>89</v>
      </c>
      <c r="D46" s="490"/>
      <c r="E46" s="42">
        <v>26.39</v>
      </c>
      <c r="F46" s="170">
        <v>6231</v>
      </c>
      <c r="G46" s="159">
        <f t="shared" si="27"/>
        <v>164436.09</v>
      </c>
      <c r="H46" s="125" t="s">
        <v>79</v>
      </c>
      <c r="I46" s="168">
        <v>19</v>
      </c>
      <c r="J46" s="37">
        <v>2400</v>
      </c>
      <c r="K46" s="17">
        <f t="shared" si="1"/>
        <v>126.31578947368421</v>
      </c>
      <c r="L46" s="168">
        <v>19</v>
      </c>
      <c r="M46" s="18">
        <f t="shared" si="28"/>
        <v>2293.6196319018409</v>
      </c>
      <c r="N46" s="17">
        <f t="shared" si="3"/>
        <v>120.71682273167583</v>
      </c>
      <c r="O46" s="19">
        <f t="shared" si="4"/>
        <v>0</v>
      </c>
      <c r="P46" s="20">
        <f t="shared" si="5"/>
        <v>-5.598966742008372</v>
      </c>
      <c r="Q46" s="158">
        <f t="shared" si="6"/>
        <v>0.95567484662576707</v>
      </c>
      <c r="R46" s="489"/>
      <c r="S46" s="40">
        <v>0.24305555555555552</v>
      </c>
      <c r="T46" s="40">
        <v>0.35624999999999996</v>
      </c>
      <c r="U46" s="159">
        <f t="shared" si="30"/>
        <v>4.9999999999999822</v>
      </c>
      <c r="V46" s="169">
        <f t="shared" si="29"/>
        <v>162.99999999999997</v>
      </c>
      <c r="W46" s="23"/>
      <c r="X46" s="23"/>
      <c r="Y46" s="23"/>
      <c r="Z46" s="23"/>
      <c r="AA46" s="491"/>
      <c r="AB46" s="491"/>
      <c r="AC46" s="154"/>
      <c r="AD46" s="25"/>
      <c r="AE46" s="19">
        <f t="shared" si="8"/>
        <v>-106.38036809815912</v>
      </c>
      <c r="AF46" s="158">
        <f t="shared" si="9"/>
        <v>0.95567484662576707</v>
      </c>
      <c r="AG46" s="489"/>
    </row>
    <row r="47" spans="1:33">
      <c r="A47" s="517" t="s">
        <v>598</v>
      </c>
      <c r="B47" s="42" t="s">
        <v>80</v>
      </c>
      <c r="C47" s="490" t="s">
        <v>90</v>
      </c>
      <c r="D47" s="490"/>
      <c r="E47" s="42">
        <v>22.69</v>
      </c>
      <c r="F47" s="170">
        <v>2764</v>
      </c>
      <c r="G47" s="159">
        <f t="shared" si="27"/>
        <v>62715.16</v>
      </c>
      <c r="H47" s="125" t="s">
        <v>79</v>
      </c>
      <c r="I47" s="168">
        <v>15</v>
      </c>
      <c r="J47" s="37">
        <v>2400</v>
      </c>
      <c r="K47" s="17">
        <f t="shared" si="1"/>
        <v>160</v>
      </c>
      <c r="L47" s="168">
        <v>15</v>
      </c>
      <c r="M47" s="18">
        <f t="shared" si="28"/>
        <v>2303.3333333333339</v>
      </c>
      <c r="N47" s="17">
        <f t="shared" si="3"/>
        <v>153.5555555555556</v>
      </c>
      <c r="O47" s="19">
        <f t="shared" si="4"/>
        <v>0</v>
      </c>
      <c r="P47" s="20">
        <f t="shared" si="5"/>
        <v>-6.4444444444444002</v>
      </c>
      <c r="Q47" s="158">
        <f t="shared" si="6"/>
        <v>0.95972222222222248</v>
      </c>
      <c r="R47" s="489"/>
      <c r="S47" s="40">
        <v>0.35972222222222217</v>
      </c>
      <c r="T47" s="40">
        <v>0.40972222222222215</v>
      </c>
      <c r="U47" s="159">
        <f t="shared" si="30"/>
        <v>4.9999999999999822</v>
      </c>
      <c r="V47" s="169">
        <f t="shared" si="29"/>
        <v>71.999999999999986</v>
      </c>
      <c r="W47" s="23"/>
      <c r="X47" s="23"/>
      <c r="Y47" s="23"/>
      <c r="Z47" s="23"/>
      <c r="AA47" s="491"/>
      <c r="AB47" s="491"/>
      <c r="AC47" s="154"/>
      <c r="AD47" s="25"/>
      <c r="AE47" s="19">
        <f t="shared" si="8"/>
        <v>-96.66666666666606</v>
      </c>
      <c r="AF47" s="158">
        <f t="shared" si="9"/>
        <v>0.95972222222222248</v>
      </c>
      <c r="AG47" s="489"/>
    </row>
    <row r="48" spans="1:33">
      <c r="A48" s="517" t="s">
        <v>598</v>
      </c>
      <c r="B48" s="42" t="s">
        <v>80</v>
      </c>
      <c r="C48" s="490" t="s">
        <v>91</v>
      </c>
      <c r="D48" s="490"/>
      <c r="E48" s="42">
        <v>24.45</v>
      </c>
      <c r="F48" s="170">
        <v>2504</v>
      </c>
      <c r="G48" s="159">
        <f t="shared" si="27"/>
        <v>61222.799999999996</v>
      </c>
      <c r="H48" s="125" t="s">
        <v>79</v>
      </c>
      <c r="I48" s="168">
        <v>20</v>
      </c>
      <c r="J48" s="37">
        <v>2400</v>
      </c>
      <c r="K48" s="17">
        <f t="shared" si="1"/>
        <v>120</v>
      </c>
      <c r="L48" s="168">
        <v>20</v>
      </c>
      <c r="M48" s="18">
        <f t="shared" si="28"/>
        <v>2311.3846153846148</v>
      </c>
      <c r="N48" s="17">
        <f t="shared" si="3"/>
        <v>115.56923076923074</v>
      </c>
      <c r="O48" s="19">
        <f t="shared" si="4"/>
        <v>0</v>
      </c>
      <c r="P48" s="20">
        <f t="shared" si="5"/>
        <v>-4.4307692307692577</v>
      </c>
      <c r="Q48" s="158">
        <f t="shared" si="6"/>
        <v>0.96307692307692283</v>
      </c>
      <c r="R48" s="489"/>
      <c r="S48" s="40">
        <v>0.41319444444444436</v>
      </c>
      <c r="T48" s="40">
        <v>0.45833333333333326</v>
      </c>
      <c r="U48" s="159">
        <f t="shared" si="30"/>
        <v>4.9999999999999822</v>
      </c>
      <c r="V48" s="169">
        <f t="shared" si="29"/>
        <v>65.000000000000014</v>
      </c>
      <c r="W48" s="23"/>
      <c r="X48" s="23"/>
      <c r="Y48" s="23"/>
      <c r="Z48" s="23"/>
      <c r="AA48" s="491"/>
      <c r="AB48" s="491"/>
      <c r="AC48" s="154"/>
      <c r="AD48" s="25"/>
      <c r="AE48" s="19">
        <f t="shared" si="8"/>
        <v>-88.61538461538521</v>
      </c>
      <c r="AF48" s="158">
        <f t="shared" si="9"/>
        <v>0.96307692307692283</v>
      </c>
      <c r="AG48" s="489"/>
    </row>
    <row r="49" spans="1:33">
      <c r="A49" s="517" t="s">
        <v>598</v>
      </c>
      <c r="B49" s="42" t="s">
        <v>80</v>
      </c>
      <c r="C49" s="490" t="s">
        <v>92</v>
      </c>
      <c r="D49" s="490"/>
      <c r="E49" s="42">
        <v>28.51</v>
      </c>
      <c r="F49" s="170">
        <v>511</v>
      </c>
      <c r="G49" s="159">
        <f t="shared" si="27"/>
        <v>14568.61</v>
      </c>
      <c r="H49" s="125" t="s">
        <v>79</v>
      </c>
      <c r="I49" s="168">
        <v>16</v>
      </c>
      <c r="J49" s="37">
        <v>2400</v>
      </c>
      <c r="K49" s="17">
        <f t="shared" si="1"/>
        <v>150</v>
      </c>
      <c r="L49" s="168">
        <v>16</v>
      </c>
      <c r="M49" s="18">
        <f t="shared" si="28"/>
        <v>2358.4615384615327</v>
      </c>
      <c r="N49" s="17">
        <f t="shared" si="3"/>
        <v>147.40384615384579</v>
      </c>
      <c r="O49" s="19">
        <f t="shared" si="4"/>
        <v>0</v>
      </c>
      <c r="P49" s="20">
        <f t="shared" si="5"/>
        <v>-2.5961538461542091</v>
      </c>
      <c r="Q49" s="158">
        <f t="shared" si="6"/>
        <v>0.98269230769230531</v>
      </c>
      <c r="R49" s="489"/>
      <c r="S49" s="40">
        <v>0.46249999999999991</v>
      </c>
      <c r="T49" s="40">
        <v>0.47152777777777771</v>
      </c>
      <c r="U49" s="159">
        <f t="shared" si="30"/>
        <v>5.9999999999999787</v>
      </c>
      <c r="V49" s="169">
        <f t="shared" si="29"/>
        <v>13.000000000000034</v>
      </c>
      <c r="W49" s="23">
        <f>T49</f>
        <v>0.47152777777777771</v>
      </c>
      <c r="X49" s="23">
        <f>S50</f>
        <v>0.51111111111111096</v>
      </c>
      <c r="Y49" s="26"/>
      <c r="Z49" s="26"/>
      <c r="AA49" s="503"/>
      <c r="AB49" s="504"/>
      <c r="AC49" s="154"/>
      <c r="AD49" s="25"/>
      <c r="AE49" s="19">
        <f t="shared" si="8"/>
        <v>-41.538461538467345</v>
      </c>
      <c r="AF49" s="158">
        <f t="shared" si="9"/>
        <v>0.98269230769230531</v>
      </c>
      <c r="AG49" s="489"/>
    </row>
    <row r="50" spans="1:33">
      <c r="A50" s="517" t="s">
        <v>598</v>
      </c>
      <c r="B50" s="42" t="s">
        <v>80</v>
      </c>
      <c r="C50" s="490" t="s">
        <v>87</v>
      </c>
      <c r="D50" s="490"/>
      <c r="E50" s="42">
        <v>26.2</v>
      </c>
      <c r="F50" s="170">
        <v>2772</v>
      </c>
      <c r="G50" s="159">
        <f t="shared" si="27"/>
        <v>72626.399999999994</v>
      </c>
      <c r="H50" s="125" t="s">
        <v>79</v>
      </c>
      <c r="I50" s="168">
        <v>18</v>
      </c>
      <c r="J50" s="37">
        <v>2400</v>
      </c>
      <c r="K50" s="17">
        <f t="shared" si="1"/>
        <v>133.33333333333334</v>
      </c>
      <c r="L50" s="168">
        <v>18</v>
      </c>
      <c r="M50" s="18">
        <f t="shared" si="28"/>
        <v>2309.9999999999982</v>
      </c>
      <c r="N50" s="17">
        <f t="shared" si="3"/>
        <v>128.33333333333323</v>
      </c>
      <c r="O50" s="19">
        <f t="shared" si="4"/>
        <v>0</v>
      </c>
      <c r="P50" s="20">
        <f t="shared" si="5"/>
        <v>-5.0000000000001137</v>
      </c>
      <c r="Q50" s="158">
        <f t="shared" si="6"/>
        <v>0.96249999999999913</v>
      </c>
      <c r="R50" s="489"/>
      <c r="S50" s="40">
        <v>0.51111111111111096</v>
      </c>
      <c r="T50" s="40">
        <v>0.56111111111111101</v>
      </c>
      <c r="U50" s="159">
        <f t="shared" si="30"/>
        <v>56.999999999999879</v>
      </c>
      <c r="V50" s="169">
        <f t="shared" si="29"/>
        <v>72.000000000000057</v>
      </c>
      <c r="W50" s="23"/>
      <c r="X50" s="23"/>
      <c r="Y50" s="26"/>
      <c r="Z50" s="26"/>
      <c r="AA50" s="503"/>
      <c r="AB50" s="504"/>
      <c r="AC50" s="154"/>
      <c r="AD50" s="25"/>
      <c r="AE50" s="19">
        <f t="shared" si="8"/>
        <v>-90.000000000001819</v>
      </c>
      <c r="AF50" s="158">
        <f t="shared" si="9"/>
        <v>0.96249999999999925</v>
      </c>
      <c r="AG50" s="489"/>
    </row>
    <row r="51" spans="1:33">
      <c r="A51" s="517" t="s">
        <v>598</v>
      </c>
      <c r="B51" s="44" t="s">
        <v>594</v>
      </c>
      <c r="C51" s="494"/>
      <c r="D51" s="494"/>
      <c r="E51" s="161"/>
      <c r="F51" s="44"/>
      <c r="G51" s="17"/>
      <c r="H51" s="170"/>
      <c r="I51" s="30">
        <v>17.5</v>
      </c>
      <c r="J51" s="37">
        <v>2400</v>
      </c>
      <c r="K51" s="17">
        <f t="shared" si="1"/>
        <v>137.14285714285714</v>
      </c>
      <c r="L51" s="30">
        <v>17.5</v>
      </c>
      <c r="M51" s="18">
        <f>AVERAGE(M43:M50)</f>
        <v>2305.4767895812138</v>
      </c>
      <c r="N51" s="17">
        <f t="shared" si="3"/>
        <v>131.74153083321221</v>
      </c>
      <c r="O51" s="19">
        <f t="shared" si="4"/>
        <v>0</v>
      </c>
      <c r="P51" s="20">
        <f t="shared" si="5"/>
        <v>-5.4013263096449293</v>
      </c>
      <c r="Q51" s="158">
        <f t="shared" si="6"/>
        <v>0.96061532899217239</v>
      </c>
      <c r="R51" s="489"/>
      <c r="S51" s="40"/>
      <c r="T51" s="40"/>
      <c r="U51" s="17"/>
      <c r="V51" s="169"/>
      <c r="W51" s="17"/>
      <c r="X51" s="17"/>
      <c r="Y51" s="31">
        <f>SUM(Y43:Y50)</f>
        <v>0</v>
      </c>
      <c r="Z51" s="31">
        <f>SUM(Z43:Z50)</f>
        <v>0</v>
      </c>
      <c r="AA51" s="495"/>
      <c r="AB51" s="495"/>
      <c r="AC51" s="31">
        <v>7</v>
      </c>
      <c r="AD51" s="31">
        <f>SUM(AD43:AD50)</f>
        <v>0</v>
      </c>
      <c r="AE51" s="19">
        <f t="shared" si="8"/>
        <v>-94.523210418786221</v>
      </c>
      <c r="AF51" s="158">
        <f t="shared" si="9"/>
        <v>0.96061532899217239</v>
      </c>
      <c r="AG51" s="489"/>
    </row>
    <row r="52" spans="1:33" ht="15.75" customHeight="1">
      <c r="A52" s="512" t="s">
        <v>599</v>
      </c>
      <c r="B52" s="42" t="s">
        <v>93</v>
      </c>
      <c r="C52" s="501" t="s">
        <v>94</v>
      </c>
      <c r="D52" s="502"/>
      <c r="E52" s="42">
        <v>21.13</v>
      </c>
      <c r="F52" s="170">
        <v>5592</v>
      </c>
      <c r="G52" s="159">
        <f t="shared" ref="G52:G57" si="31">E52*F52</f>
        <v>118158.95999999999</v>
      </c>
      <c r="H52" s="125" t="s">
        <v>79</v>
      </c>
      <c r="I52" s="168">
        <v>10</v>
      </c>
      <c r="J52" s="37">
        <v>3000</v>
      </c>
      <c r="K52" s="17">
        <f t="shared" si="1"/>
        <v>300</v>
      </c>
      <c r="L52" s="168">
        <v>10</v>
      </c>
      <c r="M52" s="18">
        <f t="shared" ref="M52:M57" si="32">F52/V52*60</f>
        <v>2867.6923076923072</v>
      </c>
      <c r="N52" s="18">
        <f t="shared" si="3"/>
        <v>286.76923076923072</v>
      </c>
      <c r="O52" s="19">
        <f t="shared" si="4"/>
        <v>0</v>
      </c>
      <c r="P52" s="20">
        <f t="shared" si="5"/>
        <v>-13.230769230769283</v>
      </c>
      <c r="Q52" s="158">
        <f t="shared" si="6"/>
        <v>0.9558974358974357</v>
      </c>
      <c r="R52" s="509">
        <f>Q58</f>
        <v>0.95793787918714912</v>
      </c>
      <c r="S52" s="40">
        <v>8.3333333333333329E-2</v>
      </c>
      <c r="T52" s="40">
        <v>0.16458333333333333</v>
      </c>
      <c r="U52" s="28"/>
      <c r="V52" s="169">
        <f t="shared" ref="V52:V57" si="33">(T52-S52)*24*60</f>
        <v>117.00000000000001</v>
      </c>
      <c r="W52" s="23">
        <f>T52</f>
        <v>0.16458333333333333</v>
      </c>
      <c r="X52" s="23">
        <f>S53</f>
        <v>0.18263888888888888</v>
      </c>
      <c r="Y52" s="26"/>
      <c r="Z52" s="26"/>
      <c r="AA52" s="503"/>
      <c r="AB52" s="504"/>
      <c r="AC52" s="154">
        <v>1</v>
      </c>
      <c r="AD52" s="25"/>
      <c r="AE52" s="19">
        <f t="shared" si="8"/>
        <v>-132.30769230769283</v>
      </c>
      <c r="AF52" s="158">
        <f t="shared" si="9"/>
        <v>0.9558974358974357</v>
      </c>
      <c r="AG52" s="509">
        <f>AF58</f>
        <v>0.95793787918714923</v>
      </c>
    </row>
    <row r="53" spans="1:33" ht="15.75" customHeight="1">
      <c r="A53" s="513" t="s">
        <v>599</v>
      </c>
      <c r="B53" s="42" t="s">
        <v>93</v>
      </c>
      <c r="C53" s="501" t="s">
        <v>95</v>
      </c>
      <c r="D53" s="502"/>
      <c r="E53" s="42">
        <v>27.17</v>
      </c>
      <c r="F53" s="170">
        <v>7040</v>
      </c>
      <c r="G53" s="159">
        <f t="shared" si="31"/>
        <v>191276.80000000002</v>
      </c>
      <c r="H53" s="125" t="s">
        <v>79</v>
      </c>
      <c r="I53" s="168">
        <v>10</v>
      </c>
      <c r="J53" s="37">
        <v>3000</v>
      </c>
      <c r="K53" s="17">
        <f t="shared" si="1"/>
        <v>300</v>
      </c>
      <c r="L53" s="168">
        <v>10</v>
      </c>
      <c r="M53" s="18">
        <f t="shared" si="32"/>
        <v>2854.0540540540537</v>
      </c>
      <c r="N53" s="18">
        <f t="shared" si="3"/>
        <v>285.40540540540536</v>
      </c>
      <c r="O53" s="19">
        <f t="shared" si="4"/>
        <v>0</v>
      </c>
      <c r="P53" s="20">
        <f t="shared" si="5"/>
        <v>-14.594594594594639</v>
      </c>
      <c r="Q53" s="158">
        <f t="shared" si="6"/>
        <v>0.95135135135135118</v>
      </c>
      <c r="R53" s="510"/>
      <c r="S53" s="40">
        <v>0.18263888888888888</v>
      </c>
      <c r="T53" s="40">
        <v>0.28541666666666665</v>
      </c>
      <c r="U53" s="159">
        <f t="shared" ref="U53:U57" si="34">(S53-T52)*24*60</f>
        <v>25.999999999999986</v>
      </c>
      <c r="V53" s="169">
        <f t="shared" si="33"/>
        <v>148</v>
      </c>
      <c r="W53" s="23"/>
      <c r="X53" s="23"/>
      <c r="Y53" s="26"/>
      <c r="Z53" s="26"/>
      <c r="AA53" s="503"/>
      <c r="AB53" s="504"/>
      <c r="AC53" s="154">
        <v>1</v>
      </c>
      <c r="AD53" s="25"/>
      <c r="AE53" s="19">
        <f t="shared" si="8"/>
        <v>-145.94594594594628</v>
      </c>
      <c r="AF53" s="158">
        <f t="shared" si="9"/>
        <v>0.95135135135135129</v>
      </c>
      <c r="AG53" s="510"/>
    </row>
    <row r="54" spans="1:33" ht="15.75" customHeight="1">
      <c r="A54" s="513" t="s">
        <v>599</v>
      </c>
      <c r="B54" s="42" t="s">
        <v>93</v>
      </c>
      <c r="C54" s="501" t="s">
        <v>96</v>
      </c>
      <c r="D54" s="502"/>
      <c r="E54" s="42">
        <v>35.119999999999997</v>
      </c>
      <c r="F54" s="170">
        <v>5114</v>
      </c>
      <c r="G54" s="159">
        <f t="shared" si="31"/>
        <v>179603.68</v>
      </c>
      <c r="H54" s="125" t="s">
        <v>79</v>
      </c>
      <c r="I54" s="168">
        <v>10</v>
      </c>
      <c r="J54" s="37">
        <v>3000</v>
      </c>
      <c r="K54" s="17">
        <f t="shared" si="1"/>
        <v>300</v>
      </c>
      <c r="L54" s="168">
        <v>10</v>
      </c>
      <c r="M54" s="18">
        <f t="shared" si="32"/>
        <v>2867.663551401869</v>
      </c>
      <c r="N54" s="18">
        <f t="shared" si="3"/>
        <v>286.76635514018687</v>
      </c>
      <c r="O54" s="19">
        <f t="shared" si="4"/>
        <v>0</v>
      </c>
      <c r="P54" s="20">
        <f t="shared" si="5"/>
        <v>-13.233644859813126</v>
      </c>
      <c r="Q54" s="158">
        <f t="shared" si="6"/>
        <v>0.95588785046728963</v>
      </c>
      <c r="R54" s="510"/>
      <c r="S54" s="40">
        <v>0.2895833333333333</v>
      </c>
      <c r="T54" s="40">
        <v>0.36388888888888887</v>
      </c>
      <c r="U54" s="159">
        <f t="shared" si="34"/>
        <v>5.9999999999999787</v>
      </c>
      <c r="V54" s="169">
        <f t="shared" si="33"/>
        <v>107.00000000000001</v>
      </c>
      <c r="W54" s="23"/>
      <c r="X54" s="23"/>
      <c r="Y54" s="26"/>
      <c r="Z54" s="26"/>
      <c r="AA54" s="503"/>
      <c r="AB54" s="504"/>
      <c r="AC54" s="154">
        <v>1</v>
      </c>
      <c r="AD54" s="25"/>
      <c r="AE54" s="19">
        <f t="shared" si="8"/>
        <v>-132.33644859813103</v>
      </c>
      <c r="AF54" s="158">
        <f t="shared" si="9"/>
        <v>0.95588785046728963</v>
      </c>
      <c r="AG54" s="510"/>
    </row>
    <row r="55" spans="1:33" ht="15.75" customHeight="1">
      <c r="A55" s="513" t="s">
        <v>599</v>
      </c>
      <c r="B55" s="42" t="s">
        <v>93</v>
      </c>
      <c r="C55" s="501" t="s">
        <v>97</v>
      </c>
      <c r="D55" s="502"/>
      <c r="E55" s="42">
        <v>31</v>
      </c>
      <c r="F55" s="170">
        <v>1663</v>
      </c>
      <c r="G55" s="159">
        <f t="shared" si="31"/>
        <v>51553</v>
      </c>
      <c r="H55" s="125" t="s">
        <v>79</v>
      </c>
      <c r="I55" s="168">
        <v>13</v>
      </c>
      <c r="J55" s="37">
        <v>2000</v>
      </c>
      <c r="K55" s="17">
        <f t="shared" si="1"/>
        <v>153.84615384615384</v>
      </c>
      <c r="L55" s="168">
        <v>13</v>
      </c>
      <c r="M55" s="18">
        <f t="shared" si="32"/>
        <v>1918.8461538461549</v>
      </c>
      <c r="N55" s="18">
        <f t="shared" si="3"/>
        <v>147.60355029585807</v>
      </c>
      <c r="O55" s="19">
        <f t="shared" si="4"/>
        <v>0</v>
      </c>
      <c r="P55" s="20">
        <f t="shared" si="5"/>
        <v>-6.2426035502957689</v>
      </c>
      <c r="Q55" s="158">
        <f t="shared" si="6"/>
        <v>0.95942307692307749</v>
      </c>
      <c r="R55" s="510"/>
      <c r="S55" s="40">
        <v>0.36736111111111108</v>
      </c>
      <c r="T55" s="40">
        <v>0.40347222222222218</v>
      </c>
      <c r="U55" s="159">
        <f t="shared" si="34"/>
        <v>4.9999999999999822</v>
      </c>
      <c r="V55" s="169">
        <f t="shared" si="33"/>
        <v>51.999999999999972</v>
      </c>
      <c r="W55" s="23"/>
      <c r="X55" s="23"/>
      <c r="Y55" s="26"/>
      <c r="Z55" s="26"/>
      <c r="AA55" s="503"/>
      <c r="AB55" s="504"/>
      <c r="AC55" s="154" t="s">
        <v>79</v>
      </c>
      <c r="AD55" s="25"/>
      <c r="AE55" s="19">
        <f t="shared" si="8"/>
        <v>-81.153846153845052</v>
      </c>
      <c r="AF55" s="158">
        <f t="shared" si="9"/>
        <v>0.95942307692307749</v>
      </c>
      <c r="AG55" s="510"/>
    </row>
    <row r="56" spans="1:33" ht="15.75" customHeight="1">
      <c r="A56" s="513" t="s">
        <v>599</v>
      </c>
      <c r="B56" s="42" t="s">
        <v>93</v>
      </c>
      <c r="C56" s="501" t="s">
        <v>98</v>
      </c>
      <c r="D56" s="502"/>
      <c r="E56" s="42">
        <v>37.880000000000003</v>
      </c>
      <c r="F56" s="170">
        <v>2272</v>
      </c>
      <c r="G56" s="159">
        <f t="shared" si="31"/>
        <v>86063.360000000001</v>
      </c>
      <c r="H56" s="125" t="s">
        <v>79</v>
      </c>
      <c r="I56" s="168">
        <v>14</v>
      </c>
      <c r="J56" s="37">
        <v>2000</v>
      </c>
      <c r="K56" s="17">
        <f t="shared" si="1"/>
        <v>142.85714285714286</v>
      </c>
      <c r="L56" s="168">
        <v>14</v>
      </c>
      <c r="M56" s="18">
        <f t="shared" si="32"/>
        <v>1920.0000000000005</v>
      </c>
      <c r="N56" s="18">
        <f t="shared" si="3"/>
        <v>137.14285714285717</v>
      </c>
      <c r="O56" s="19">
        <f t="shared" si="4"/>
        <v>0</v>
      </c>
      <c r="P56" s="20">
        <f t="shared" si="5"/>
        <v>-5.714285714285694</v>
      </c>
      <c r="Q56" s="158">
        <f t="shared" si="6"/>
        <v>0.96000000000000019</v>
      </c>
      <c r="R56" s="510"/>
      <c r="S56" s="40">
        <v>0.40833333333333327</v>
      </c>
      <c r="T56" s="40">
        <v>0.45763888888888882</v>
      </c>
      <c r="U56" s="159">
        <f t="shared" si="34"/>
        <v>6.9999999999999751</v>
      </c>
      <c r="V56" s="169">
        <f t="shared" si="33"/>
        <v>70.999999999999986</v>
      </c>
      <c r="W56" s="23"/>
      <c r="X56" s="23"/>
      <c r="Y56" s="26"/>
      <c r="Z56" s="26"/>
      <c r="AA56" s="503"/>
      <c r="AB56" s="504"/>
      <c r="AC56" s="154" t="s">
        <v>79</v>
      </c>
      <c r="AD56" s="25"/>
      <c r="AE56" s="19">
        <f t="shared" si="8"/>
        <v>-79.999999999999545</v>
      </c>
      <c r="AF56" s="158">
        <f t="shared" si="9"/>
        <v>0.96000000000000019</v>
      </c>
      <c r="AG56" s="510"/>
    </row>
    <row r="57" spans="1:33" ht="15.75" customHeight="1">
      <c r="A57" s="513" t="s">
        <v>599</v>
      </c>
      <c r="B57" s="42" t="s">
        <v>93</v>
      </c>
      <c r="C57" s="501" t="s">
        <v>99</v>
      </c>
      <c r="D57" s="502"/>
      <c r="E57" s="42">
        <v>32.020000000000003</v>
      </c>
      <c r="F57" s="170">
        <v>3092</v>
      </c>
      <c r="G57" s="159">
        <f t="shared" si="31"/>
        <v>99005.840000000011</v>
      </c>
      <c r="H57" s="125" t="s">
        <v>79</v>
      </c>
      <c r="I57" s="168">
        <v>11</v>
      </c>
      <c r="J57" s="37">
        <v>3000</v>
      </c>
      <c r="K57" s="17">
        <f t="shared" si="1"/>
        <v>272.72727272727275</v>
      </c>
      <c r="L57" s="168">
        <v>11</v>
      </c>
      <c r="M57" s="18">
        <f t="shared" si="32"/>
        <v>2898.7500000000036</v>
      </c>
      <c r="N57" s="18">
        <f t="shared" si="3"/>
        <v>263.52272727272759</v>
      </c>
      <c r="O57" s="19">
        <f t="shared" si="4"/>
        <v>0</v>
      </c>
      <c r="P57" s="20">
        <f t="shared" si="5"/>
        <v>-9.2045454545451548</v>
      </c>
      <c r="Q57" s="158">
        <f t="shared" si="6"/>
        <v>0.96625000000000105</v>
      </c>
      <c r="R57" s="510"/>
      <c r="S57" s="40">
        <v>0.46180555555555547</v>
      </c>
      <c r="T57" s="40">
        <v>0.50624999999999987</v>
      </c>
      <c r="U57" s="159">
        <f t="shared" si="34"/>
        <v>5.9999999999999787</v>
      </c>
      <c r="V57" s="169">
        <f t="shared" si="33"/>
        <v>63.999999999999929</v>
      </c>
      <c r="W57" s="23"/>
      <c r="X57" s="23"/>
      <c r="Y57" s="26"/>
      <c r="Z57" s="26"/>
      <c r="AA57" s="503"/>
      <c r="AB57" s="504"/>
      <c r="AC57" s="154" t="s">
        <v>79</v>
      </c>
      <c r="AD57" s="25"/>
      <c r="AE57" s="19">
        <f t="shared" si="8"/>
        <v>-101.24999999999636</v>
      </c>
      <c r="AF57" s="158">
        <f t="shared" si="9"/>
        <v>0.96625000000000116</v>
      </c>
      <c r="AG57" s="510"/>
    </row>
    <row r="58" spans="1:33" ht="15.75" customHeight="1">
      <c r="A58" s="514" t="s">
        <v>599</v>
      </c>
      <c r="B58" s="42" t="s">
        <v>594</v>
      </c>
      <c r="C58" s="492"/>
      <c r="D58" s="493"/>
      <c r="E58" s="160"/>
      <c r="F58" s="170"/>
      <c r="G58" s="159"/>
      <c r="H58" s="170"/>
      <c r="I58" s="30">
        <v>11.333333333333334</v>
      </c>
      <c r="J58" s="37">
        <v>2666.6666666666665</v>
      </c>
      <c r="K58" s="17">
        <f t="shared" si="1"/>
        <v>235.29411764705881</v>
      </c>
      <c r="L58" s="30">
        <v>11.333333333333334</v>
      </c>
      <c r="M58" s="18">
        <f>AVERAGE(M52:M57)</f>
        <v>2554.5010111657311</v>
      </c>
      <c r="N58" s="17">
        <f t="shared" si="3"/>
        <v>225.39714804403508</v>
      </c>
      <c r="O58" s="19">
        <f t="shared" si="4"/>
        <v>0</v>
      </c>
      <c r="P58" s="20">
        <f t="shared" si="5"/>
        <v>-9.8969696030237344</v>
      </c>
      <c r="Q58" s="158">
        <f t="shared" si="6"/>
        <v>0.95793787918714912</v>
      </c>
      <c r="R58" s="511"/>
      <c r="S58" s="40"/>
      <c r="T58" s="40"/>
      <c r="U58" s="159"/>
      <c r="V58" s="169"/>
      <c r="W58" s="23"/>
      <c r="X58" s="23"/>
      <c r="Y58" s="31">
        <f>SUM(Y52:Y57)</f>
        <v>0</v>
      </c>
      <c r="Z58" s="31">
        <f>SUM(Z52:Z57)</f>
        <v>0</v>
      </c>
      <c r="AA58" s="505"/>
      <c r="AB58" s="506"/>
      <c r="AC58" s="31">
        <v>3</v>
      </c>
      <c r="AD58" s="31">
        <f>SUM(AD52:AD57)</f>
        <v>0</v>
      </c>
      <c r="AE58" s="19">
        <f t="shared" si="8"/>
        <v>-112.16565550093537</v>
      </c>
      <c r="AF58" s="158">
        <f t="shared" si="9"/>
        <v>0.95793787918714923</v>
      </c>
      <c r="AG58" s="511"/>
    </row>
    <row r="59" spans="1:33" ht="15.75" customHeight="1">
      <c r="A59" s="507" t="s">
        <v>600</v>
      </c>
      <c r="B59" s="42" t="s">
        <v>100</v>
      </c>
      <c r="C59" s="490" t="s">
        <v>101</v>
      </c>
      <c r="D59" s="490"/>
      <c r="E59" s="42">
        <v>46</v>
      </c>
      <c r="F59" s="46">
        <v>1599</v>
      </c>
      <c r="G59" s="159">
        <f t="shared" ref="G59:G65" si="35">E59*F59</f>
        <v>73554</v>
      </c>
      <c r="H59" s="125" t="s">
        <v>79</v>
      </c>
      <c r="I59" s="168">
        <v>17</v>
      </c>
      <c r="J59" s="37">
        <v>2000</v>
      </c>
      <c r="K59" s="17">
        <f t="shared" si="1"/>
        <v>117.64705882352941</v>
      </c>
      <c r="L59" s="168">
        <v>17</v>
      </c>
      <c r="M59" s="18">
        <f t="shared" ref="M59:M65" si="36">F59/V59*60</f>
        <v>1918.7999999999993</v>
      </c>
      <c r="N59" s="18">
        <f t="shared" si="3"/>
        <v>112.87058823529408</v>
      </c>
      <c r="O59" s="19">
        <f t="shared" si="4"/>
        <v>0</v>
      </c>
      <c r="P59" s="20">
        <f t="shared" si="5"/>
        <v>-4.7764705882353269</v>
      </c>
      <c r="Q59" s="158">
        <f t="shared" si="6"/>
        <v>0.9593999999999997</v>
      </c>
      <c r="R59" s="489">
        <f>Q66</f>
        <v>0.9230748173169917</v>
      </c>
      <c r="S59" s="40">
        <v>0.20833333333333334</v>
      </c>
      <c r="T59" s="40">
        <v>0.24305555555555558</v>
      </c>
      <c r="U59" s="28"/>
      <c r="V59" s="169">
        <f t="shared" ref="V59:V65" si="37">(T59-S59)*24*60</f>
        <v>50.000000000000021</v>
      </c>
      <c r="W59" s="28"/>
      <c r="X59" s="28"/>
      <c r="Y59" s="28"/>
      <c r="Z59" s="28"/>
      <c r="AA59" s="491"/>
      <c r="AB59" s="491"/>
      <c r="AC59" s="154">
        <v>4</v>
      </c>
      <c r="AD59" s="25"/>
      <c r="AE59" s="19">
        <f t="shared" si="8"/>
        <v>-81.200000000000728</v>
      </c>
      <c r="AF59" s="158">
        <f t="shared" si="9"/>
        <v>0.95939999999999959</v>
      </c>
      <c r="AG59" s="489">
        <f>AF66</f>
        <v>0.9230748173169917</v>
      </c>
    </row>
    <row r="60" spans="1:33" ht="15.75" customHeight="1">
      <c r="A60" s="507" t="s">
        <v>600</v>
      </c>
      <c r="B60" s="42" t="s">
        <v>100</v>
      </c>
      <c r="C60" s="490" t="s">
        <v>102</v>
      </c>
      <c r="D60" s="490"/>
      <c r="E60" s="42">
        <v>46</v>
      </c>
      <c r="F60" s="46">
        <v>1778</v>
      </c>
      <c r="G60" s="159">
        <f t="shared" si="35"/>
        <v>81788</v>
      </c>
      <c r="H60" s="125" t="s">
        <v>79</v>
      </c>
      <c r="I60" s="168">
        <v>17</v>
      </c>
      <c r="J60" s="37">
        <v>2000</v>
      </c>
      <c r="K60" s="17">
        <f t="shared" si="1"/>
        <v>117.64705882352941</v>
      </c>
      <c r="L60" s="168">
        <v>17</v>
      </c>
      <c r="M60" s="18">
        <f t="shared" si="36"/>
        <v>1905</v>
      </c>
      <c r="N60" s="18">
        <f t="shared" si="3"/>
        <v>112.05882352941177</v>
      </c>
      <c r="O60" s="19">
        <f t="shared" si="4"/>
        <v>0</v>
      </c>
      <c r="P60" s="20">
        <f t="shared" si="5"/>
        <v>-5.5882352941176379</v>
      </c>
      <c r="Q60" s="158">
        <f t="shared" si="6"/>
        <v>0.95250000000000012</v>
      </c>
      <c r="R60" s="489"/>
      <c r="S60" s="40">
        <v>0.2479166666666667</v>
      </c>
      <c r="T60" s="40">
        <v>0.28680555555555559</v>
      </c>
      <c r="U60" s="159">
        <f t="shared" ref="U60:U65" si="38">IF(S60=TIME(17,0,0),"",(S60-T59)*24*60)</f>
        <v>7.0000000000000151</v>
      </c>
      <c r="V60" s="169">
        <f t="shared" si="37"/>
        <v>56</v>
      </c>
      <c r="W60" s="23"/>
      <c r="X60" s="23"/>
      <c r="Y60" s="23"/>
      <c r="Z60" s="23"/>
      <c r="AA60" s="491"/>
      <c r="AB60" s="491"/>
      <c r="AC60" s="154"/>
      <c r="AD60" s="25"/>
      <c r="AE60" s="19">
        <f t="shared" si="8"/>
        <v>-95</v>
      </c>
      <c r="AF60" s="158">
        <f t="shared" si="9"/>
        <v>0.95250000000000001</v>
      </c>
      <c r="AG60" s="489"/>
    </row>
    <row r="61" spans="1:33" ht="15.75" customHeight="1">
      <c r="A61" s="507" t="s">
        <v>600</v>
      </c>
      <c r="B61" s="42" t="s">
        <v>103</v>
      </c>
      <c r="C61" s="501" t="s">
        <v>105</v>
      </c>
      <c r="D61" s="502"/>
      <c r="E61" s="42">
        <v>56.43</v>
      </c>
      <c r="F61" s="46">
        <v>2404</v>
      </c>
      <c r="G61" s="159">
        <f t="shared" si="35"/>
        <v>135657.72</v>
      </c>
      <c r="H61" s="125" t="s">
        <v>79</v>
      </c>
      <c r="I61" s="168">
        <v>22</v>
      </c>
      <c r="J61" s="37">
        <v>2000</v>
      </c>
      <c r="K61" s="17">
        <f t="shared" si="1"/>
        <v>90.909090909090907</v>
      </c>
      <c r="L61" s="168">
        <v>22</v>
      </c>
      <c r="M61" s="18">
        <f t="shared" si="36"/>
        <v>1428.1188118811874</v>
      </c>
      <c r="N61" s="18">
        <f t="shared" si="3"/>
        <v>64.914491449144876</v>
      </c>
      <c r="O61" s="19">
        <f t="shared" si="4"/>
        <v>0</v>
      </c>
      <c r="P61" s="20">
        <f t="shared" si="5"/>
        <v>-25.994599459946031</v>
      </c>
      <c r="Q61" s="158">
        <f t="shared" si="6"/>
        <v>0.71405940594059369</v>
      </c>
      <c r="R61" s="489"/>
      <c r="S61" s="40">
        <v>0.29166666666666669</v>
      </c>
      <c r="T61" s="40">
        <v>0.3618055555555556</v>
      </c>
      <c r="U61" s="159">
        <f t="shared" si="38"/>
        <v>6.9999999999999751</v>
      </c>
      <c r="V61" s="169">
        <f t="shared" si="37"/>
        <v>101.00000000000004</v>
      </c>
      <c r="W61" s="23"/>
      <c r="X61" s="23"/>
      <c r="Y61" s="26"/>
      <c r="Z61" s="26"/>
      <c r="AA61" s="491"/>
      <c r="AB61" s="491"/>
      <c r="AC61" s="154"/>
      <c r="AD61" s="25"/>
      <c r="AE61" s="19">
        <f t="shared" si="8"/>
        <v>-571.88118811881259</v>
      </c>
      <c r="AF61" s="158">
        <f t="shared" si="9"/>
        <v>0.71405940594059369</v>
      </c>
      <c r="AG61" s="489"/>
    </row>
    <row r="62" spans="1:33" ht="15.75" customHeight="1">
      <c r="A62" s="507" t="s">
        <v>600</v>
      </c>
      <c r="B62" s="42" t="s">
        <v>103</v>
      </c>
      <c r="C62" s="163" t="s">
        <v>106</v>
      </c>
      <c r="D62" s="164"/>
      <c r="E62" s="42">
        <v>55.56</v>
      </c>
      <c r="F62" s="46">
        <v>2139</v>
      </c>
      <c r="G62" s="159">
        <f t="shared" si="35"/>
        <v>118842.84000000001</v>
      </c>
      <c r="H62" s="125" t="s">
        <v>79</v>
      </c>
      <c r="I62" s="168">
        <v>17</v>
      </c>
      <c r="J62" s="37">
        <v>2000</v>
      </c>
      <c r="K62" s="17">
        <f t="shared" si="1"/>
        <v>117.64705882352941</v>
      </c>
      <c r="L62" s="168">
        <v>17</v>
      </c>
      <c r="M62" s="18">
        <f t="shared" si="36"/>
        <v>1915.5223880596991</v>
      </c>
      <c r="N62" s="18">
        <f t="shared" si="3"/>
        <v>112.67778753292347</v>
      </c>
      <c r="O62" s="19">
        <f t="shared" si="4"/>
        <v>0</v>
      </c>
      <c r="P62" s="20">
        <f t="shared" si="5"/>
        <v>-4.9692712906059313</v>
      </c>
      <c r="Q62" s="158">
        <f t="shared" si="6"/>
        <v>0.95776119402984961</v>
      </c>
      <c r="R62" s="489"/>
      <c r="S62" s="40">
        <v>0.70833333333333337</v>
      </c>
      <c r="T62" s="40">
        <v>0.7548611111111112</v>
      </c>
      <c r="U62" s="159" t="str">
        <f t="shared" si="38"/>
        <v/>
      </c>
      <c r="V62" s="169">
        <f t="shared" si="37"/>
        <v>67.000000000000085</v>
      </c>
      <c r="W62" s="23"/>
      <c r="X62" s="23"/>
      <c r="Y62" s="26"/>
      <c r="Z62" s="26"/>
      <c r="AA62" s="491"/>
      <c r="AB62" s="491"/>
      <c r="AC62" s="154"/>
      <c r="AD62" s="25"/>
      <c r="AE62" s="19">
        <f t="shared" si="8"/>
        <v>-84.477611940300903</v>
      </c>
      <c r="AF62" s="158">
        <f t="shared" si="9"/>
        <v>0.95776119402984949</v>
      </c>
      <c r="AG62" s="489"/>
    </row>
    <row r="63" spans="1:33" ht="15.75" customHeight="1">
      <c r="A63" s="507" t="s">
        <v>600</v>
      </c>
      <c r="B63" s="42" t="s">
        <v>103</v>
      </c>
      <c r="C63" s="163" t="s">
        <v>107</v>
      </c>
      <c r="D63" s="164"/>
      <c r="E63" s="42">
        <v>55.32</v>
      </c>
      <c r="F63" s="46">
        <v>1564</v>
      </c>
      <c r="G63" s="159">
        <f t="shared" si="35"/>
        <v>86520.48</v>
      </c>
      <c r="H63" s="125" t="s">
        <v>79</v>
      </c>
      <c r="I63" s="168">
        <v>15</v>
      </c>
      <c r="J63" s="37">
        <v>2000</v>
      </c>
      <c r="K63" s="17">
        <f t="shared" si="1"/>
        <v>133.33333333333334</v>
      </c>
      <c r="L63" s="168">
        <v>15</v>
      </c>
      <c r="M63" s="18">
        <f t="shared" si="36"/>
        <v>1915.102040816327</v>
      </c>
      <c r="N63" s="18">
        <f t="shared" si="3"/>
        <v>127.67346938775513</v>
      </c>
      <c r="O63" s="19">
        <f t="shared" si="4"/>
        <v>0</v>
      </c>
      <c r="P63" s="20">
        <f t="shared" si="5"/>
        <v>-5.6598639455782092</v>
      </c>
      <c r="Q63" s="158">
        <f t="shared" si="6"/>
        <v>0.95755102040816342</v>
      </c>
      <c r="R63" s="489"/>
      <c r="S63" s="40">
        <v>0.7597222222222223</v>
      </c>
      <c r="T63" s="40">
        <v>0.79375000000000007</v>
      </c>
      <c r="U63" s="159">
        <f t="shared" si="38"/>
        <v>6.9999999999999751</v>
      </c>
      <c r="V63" s="169">
        <f t="shared" si="37"/>
        <v>48.999999999999986</v>
      </c>
      <c r="W63" s="23"/>
      <c r="X63" s="23"/>
      <c r="Y63" s="26"/>
      <c r="Z63" s="26"/>
      <c r="AA63" s="491"/>
      <c r="AB63" s="491"/>
      <c r="AC63" s="154"/>
      <c r="AD63" s="25"/>
      <c r="AE63" s="19">
        <f t="shared" si="8"/>
        <v>-84.897959183673038</v>
      </c>
      <c r="AF63" s="158">
        <f t="shared" si="9"/>
        <v>0.95755102040816353</v>
      </c>
      <c r="AG63" s="489"/>
    </row>
    <row r="64" spans="1:33" ht="15.75" customHeight="1">
      <c r="A64" s="507" t="s">
        <v>600</v>
      </c>
      <c r="B64" s="42" t="s">
        <v>103</v>
      </c>
      <c r="C64" s="501" t="s">
        <v>516</v>
      </c>
      <c r="D64" s="502"/>
      <c r="E64" s="42">
        <v>48.36</v>
      </c>
      <c r="F64" s="46">
        <v>1600</v>
      </c>
      <c r="G64" s="159">
        <f t="shared" si="35"/>
        <v>77376</v>
      </c>
      <c r="H64" s="125">
        <v>2</v>
      </c>
      <c r="I64" s="168">
        <v>16</v>
      </c>
      <c r="J64" s="37">
        <v>2000</v>
      </c>
      <c r="K64" s="17">
        <f t="shared" si="1"/>
        <v>125</v>
      </c>
      <c r="L64" s="168">
        <v>16</v>
      </c>
      <c r="M64" s="18">
        <f t="shared" si="36"/>
        <v>1920.0000000000005</v>
      </c>
      <c r="N64" s="18">
        <f t="shared" si="3"/>
        <v>120.00000000000003</v>
      </c>
      <c r="O64" s="19">
        <f t="shared" si="4"/>
        <v>0</v>
      </c>
      <c r="P64" s="20">
        <f t="shared" si="5"/>
        <v>-4.9999999999999716</v>
      </c>
      <c r="Q64" s="158">
        <f t="shared" si="6"/>
        <v>0.96000000000000019</v>
      </c>
      <c r="R64" s="489"/>
      <c r="S64" s="40">
        <v>0.79791666666666672</v>
      </c>
      <c r="T64" s="40">
        <v>0.83263888888888893</v>
      </c>
      <c r="U64" s="159">
        <f t="shared" si="38"/>
        <v>5.9999999999999787</v>
      </c>
      <c r="V64" s="169">
        <f t="shared" si="37"/>
        <v>49.999999999999986</v>
      </c>
      <c r="W64" s="23">
        <f>T64</f>
        <v>0.83263888888888893</v>
      </c>
      <c r="X64" s="23">
        <f>S65</f>
        <v>0.87291666666666667</v>
      </c>
      <c r="Y64" s="26"/>
      <c r="Z64" s="26"/>
      <c r="AA64" s="503"/>
      <c r="AB64" s="504"/>
      <c r="AC64" s="154"/>
      <c r="AD64" s="25"/>
      <c r="AE64" s="19">
        <f t="shared" si="8"/>
        <v>-79.999999999999545</v>
      </c>
      <c r="AF64" s="158">
        <f t="shared" si="9"/>
        <v>0.96000000000000019</v>
      </c>
      <c r="AG64" s="489"/>
    </row>
    <row r="65" spans="1:33" ht="15.75" customHeight="1">
      <c r="A65" s="507" t="s">
        <v>600</v>
      </c>
      <c r="B65" s="42" t="s">
        <v>103</v>
      </c>
      <c r="C65" s="501" t="s">
        <v>516</v>
      </c>
      <c r="D65" s="502"/>
      <c r="E65" s="42">
        <v>48.36</v>
      </c>
      <c r="F65" s="46">
        <v>3809</v>
      </c>
      <c r="G65" s="159">
        <f t="shared" si="35"/>
        <v>184203.24</v>
      </c>
      <c r="H65" s="125" t="s">
        <v>79</v>
      </c>
      <c r="I65" s="168">
        <v>16</v>
      </c>
      <c r="J65" s="37">
        <v>2000</v>
      </c>
      <c r="K65" s="17">
        <f t="shared" si="1"/>
        <v>125</v>
      </c>
      <c r="L65" s="168">
        <v>16</v>
      </c>
      <c r="M65" s="18">
        <f t="shared" si="36"/>
        <v>1920.5042016806713</v>
      </c>
      <c r="N65" s="18">
        <f t="shared" si="3"/>
        <v>120.03151260504195</v>
      </c>
      <c r="O65" s="19">
        <f t="shared" si="4"/>
        <v>0</v>
      </c>
      <c r="P65" s="20">
        <f t="shared" si="5"/>
        <v>-4.9684873949580464</v>
      </c>
      <c r="Q65" s="158">
        <f t="shared" si="6"/>
        <v>0.96025210084033563</v>
      </c>
      <c r="R65" s="489"/>
      <c r="S65" s="40">
        <v>0.87291666666666667</v>
      </c>
      <c r="T65" s="40">
        <v>0.9555555555555556</v>
      </c>
      <c r="U65" s="159">
        <f t="shared" si="38"/>
        <v>57.999999999999957</v>
      </c>
      <c r="V65" s="169">
        <f t="shared" si="37"/>
        <v>119.00000000000006</v>
      </c>
      <c r="W65" s="23"/>
      <c r="X65" s="23"/>
      <c r="Y65" s="26"/>
      <c r="Z65" s="26"/>
      <c r="AA65" s="503"/>
      <c r="AB65" s="504"/>
      <c r="AC65" s="154"/>
      <c r="AD65" s="25"/>
      <c r="AE65" s="19">
        <f t="shared" si="8"/>
        <v>-79.495798319328742</v>
      </c>
      <c r="AF65" s="158">
        <f t="shared" si="9"/>
        <v>0.96025210084033563</v>
      </c>
      <c r="AG65" s="489"/>
    </row>
    <row r="66" spans="1:33">
      <c r="A66" s="508" t="s">
        <v>600</v>
      </c>
      <c r="B66" s="42" t="s">
        <v>594</v>
      </c>
      <c r="C66" s="494"/>
      <c r="D66" s="494"/>
      <c r="E66" s="161"/>
      <c r="F66" s="44"/>
      <c r="G66" s="17"/>
      <c r="H66" s="170"/>
      <c r="I66" s="30">
        <v>18.285714285714285</v>
      </c>
      <c r="J66" s="37">
        <v>2000</v>
      </c>
      <c r="K66" s="17">
        <f t="shared" si="1"/>
        <v>109.375</v>
      </c>
      <c r="L66" s="30">
        <v>18.285714285714285</v>
      </c>
      <c r="M66" s="18">
        <f>AVERAGE(M59:M65)</f>
        <v>1846.1496346339834</v>
      </c>
      <c r="N66" s="17">
        <f t="shared" si="3"/>
        <v>100.96130814404597</v>
      </c>
      <c r="O66" s="19">
        <f t="shared" si="4"/>
        <v>0</v>
      </c>
      <c r="P66" s="20">
        <f t="shared" si="5"/>
        <v>-8.4136918559540277</v>
      </c>
      <c r="Q66" s="158">
        <f t="shared" si="6"/>
        <v>0.9230748173169917</v>
      </c>
      <c r="R66" s="489"/>
      <c r="S66" s="41"/>
      <c r="T66" s="40"/>
      <c r="U66" s="17"/>
      <c r="V66" s="169"/>
      <c r="W66" s="17"/>
      <c r="X66" s="17"/>
      <c r="Y66" s="31">
        <f>SUM(Y59:Y65)</f>
        <v>0</v>
      </c>
      <c r="Z66" s="31">
        <f>SUM(Z59:Z65)</f>
        <v>0</v>
      </c>
      <c r="AA66" s="495"/>
      <c r="AB66" s="495"/>
      <c r="AC66" s="31">
        <v>4</v>
      </c>
      <c r="AD66" s="31">
        <f>SUM(AD59:AD65)</f>
        <v>0</v>
      </c>
      <c r="AE66" s="19">
        <f t="shared" si="8"/>
        <v>-153.8503653660166</v>
      </c>
      <c r="AF66" s="158">
        <f t="shared" si="9"/>
        <v>0.9230748173169917</v>
      </c>
      <c r="AG66" s="489"/>
    </row>
    <row r="67" spans="1:33" ht="15.75" customHeight="1">
      <c r="A67" s="499" t="s">
        <v>601</v>
      </c>
      <c r="B67" s="170" t="s">
        <v>100</v>
      </c>
      <c r="C67" s="490" t="s">
        <v>109</v>
      </c>
      <c r="D67" s="490"/>
      <c r="E67" s="42">
        <v>26.97</v>
      </c>
      <c r="F67" s="46">
        <v>2386</v>
      </c>
      <c r="G67" s="159">
        <f t="shared" ref="G67:G72" si="39">E67*F67</f>
        <v>64350.42</v>
      </c>
      <c r="H67" s="125" t="s">
        <v>79</v>
      </c>
      <c r="I67" s="168">
        <v>8</v>
      </c>
      <c r="J67" s="37">
        <v>1500</v>
      </c>
      <c r="K67" s="17">
        <f t="shared" si="1"/>
        <v>187.5</v>
      </c>
      <c r="L67" s="168">
        <v>8</v>
      </c>
      <c r="M67" s="18">
        <f t="shared" ref="M67:M72" si="40">F67/V67*60</f>
        <v>1431.6</v>
      </c>
      <c r="N67" s="17">
        <f t="shared" si="3"/>
        <v>178.95</v>
      </c>
      <c r="O67" s="19">
        <f t="shared" si="4"/>
        <v>0</v>
      </c>
      <c r="P67" s="20">
        <f t="shared" si="5"/>
        <v>-8.5500000000000114</v>
      </c>
      <c r="Q67" s="158">
        <f t="shared" si="6"/>
        <v>0.95439999999999992</v>
      </c>
      <c r="R67" s="489">
        <f>Q73</f>
        <v>0.96257690014028685</v>
      </c>
      <c r="S67" s="40">
        <v>0.20833333333333334</v>
      </c>
      <c r="T67" s="40">
        <v>0.27777777777777779</v>
      </c>
      <c r="U67" s="159"/>
      <c r="V67" s="169">
        <f t="shared" ref="V67:V72" si="41">(T67-S67)*24*60</f>
        <v>100</v>
      </c>
      <c r="W67" s="28"/>
      <c r="X67" s="28"/>
      <c r="Y67" s="28"/>
      <c r="Z67" s="28"/>
      <c r="AA67" s="491"/>
      <c r="AB67" s="491"/>
      <c r="AC67" s="154" t="s">
        <v>79</v>
      </c>
      <c r="AD67" s="25"/>
      <c r="AE67" s="19">
        <f t="shared" si="8"/>
        <v>-68.400000000000091</v>
      </c>
      <c r="AF67" s="158">
        <f t="shared" si="9"/>
        <v>0.95439999999999992</v>
      </c>
      <c r="AG67" s="489">
        <f>AF73</f>
        <v>0.96257690014028696</v>
      </c>
    </row>
    <row r="68" spans="1:33" ht="15.75" customHeight="1">
      <c r="A68" s="499" t="s">
        <v>601</v>
      </c>
      <c r="B68" s="170" t="s">
        <v>93</v>
      </c>
      <c r="C68" s="490" t="s">
        <v>110</v>
      </c>
      <c r="D68" s="490"/>
      <c r="E68" s="42">
        <v>26.78</v>
      </c>
      <c r="F68" s="46">
        <v>2741</v>
      </c>
      <c r="G68" s="159">
        <f t="shared" si="39"/>
        <v>73403.98</v>
      </c>
      <c r="H68" s="125" t="s">
        <v>79</v>
      </c>
      <c r="I68" s="168">
        <v>10</v>
      </c>
      <c r="J68" s="37">
        <v>3000</v>
      </c>
      <c r="K68" s="17">
        <f t="shared" si="1"/>
        <v>300</v>
      </c>
      <c r="L68" s="168">
        <v>10</v>
      </c>
      <c r="M68" s="18">
        <f t="shared" si="40"/>
        <v>2885.2631578947389</v>
      </c>
      <c r="N68" s="17">
        <f t="shared" si="3"/>
        <v>288.52631578947387</v>
      </c>
      <c r="O68" s="19">
        <f t="shared" si="4"/>
        <v>0</v>
      </c>
      <c r="P68" s="20">
        <f t="shared" si="5"/>
        <v>-11.47368421052613</v>
      </c>
      <c r="Q68" s="158">
        <f t="shared" si="6"/>
        <v>0.96175438596491292</v>
      </c>
      <c r="R68" s="489"/>
      <c r="S68" s="40">
        <v>0.28194444444444444</v>
      </c>
      <c r="T68" s="40">
        <v>0.32152777777777775</v>
      </c>
      <c r="U68" s="159">
        <f t="shared" ref="U68:U72" si="42">(S68-T67)*24*60</f>
        <v>5.9999999999999787</v>
      </c>
      <c r="V68" s="169">
        <f t="shared" si="41"/>
        <v>56.999999999999957</v>
      </c>
      <c r="W68" s="159"/>
      <c r="X68" s="159"/>
      <c r="Y68" s="159"/>
      <c r="Z68" s="159"/>
      <c r="AA68" s="491"/>
      <c r="AB68" s="491"/>
      <c r="AC68" s="154" t="s">
        <v>79</v>
      </c>
      <c r="AD68" s="25"/>
      <c r="AE68" s="19">
        <f t="shared" si="8"/>
        <v>-114.73684210526108</v>
      </c>
      <c r="AF68" s="158">
        <f t="shared" si="9"/>
        <v>0.96175438596491303</v>
      </c>
      <c r="AG68" s="489"/>
    </row>
    <row r="69" spans="1:33" ht="15.75" customHeight="1">
      <c r="A69" s="499" t="s">
        <v>601</v>
      </c>
      <c r="B69" s="170" t="s">
        <v>93</v>
      </c>
      <c r="C69" s="490" t="s">
        <v>111</v>
      </c>
      <c r="D69" s="490"/>
      <c r="E69" s="42">
        <v>37.880000000000003</v>
      </c>
      <c r="F69" s="46">
        <v>2713</v>
      </c>
      <c r="G69" s="159">
        <f t="shared" si="39"/>
        <v>102768.44</v>
      </c>
      <c r="H69" s="125" t="s">
        <v>79</v>
      </c>
      <c r="I69" s="168">
        <v>10</v>
      </c>
      <c r="J69" s="37">
        <v>3000</v>
      </c>
      <c r="K69" s="17">
        <f t="shared" ref="K69:K80" si="43">J69/I69</f>
        <v>300</v>
      </c>
      <c r="L69" s="168">
        <v>10</v>
      </c>
      <c r="M69" s="18">
        <f t="shared" si="40"/>
        <v>2855.7894736842127</v>
      </c>
      <c r="N69" s="17">
        <f t="shared" ref="N69:N80" si="44">M69/L69</f>
        <v>285.57894736842127</v>
      </c>
      <c r="O69" s="19">
        <f t="shared" ref="O69:O80" si="45">L69-I69</f>
        <v>0</v>
      </c>
      <c r="P69" s="20">
        <f t="shared" ref="P69:P80" si="46">N69-K69</f>
        <v>-14.421052631578732</v>
      </c>
      <c r="Q69" s="158">
        <f t="shared" ref="Q69:Q80" si="47">N69/K69</f>
        <v>0.95192982456140418</v>
      </c>
      <c r="R69" s="489"/>
      <c r="S69" s="40">
        <v>0.32499999999999996</v>
      </c>
      <c r="T69" s="40">
        <v>0.36458333333333326</v>
      </c>
      <c r="U69" s="159">
        <f t="shared" si="42"/>
        <v>4.9999999999999822</v>
      </c>
      <c r="V69" s="169">
        <f t="shared" si="41"/>
        <v>56.999999999999957</v>
      </c>
      <c r="W69" s="159"/>
      <c r="X69" s="159"/>
      <c r="Y69" s="159"/>
      <c r="Z69" s="159"/>
      <c r="AA69" s="491"/>
      <c r="AB69" s="491"/>
      <c r="AC69" s="154" t="s">
        <v>79</v>
      </c>
      <c r="AD69" s="25"/>
      <c r="AE69" s="19">
        <f t="shared" ref="AE69:AE80" si="48">M69-J69</f>
        <v>-144.21052631578732</v>
      </c>
      <c r="AF69" s="158">
        <f t="shared" ref="AF69:AF80" si="49">M69/J69</f>
        <v>0.95192982456140418</v>
      </c>
      <c r="AG69" s="489"/>
    </row>
    <row r="70" spans="1:33" ht="15.75" customHeight="1">
      <c r="A70" s="499" t="s">
        <v>72</v>
      </c>
      <c r="B70" s="170" t="s">
        <v>93</v>
      </c>
      <c r="C70" s="490" t="s">
        <v>112</v>
      </c>
      <c r="D70" s="490"/>
      <c r="E70" s="42">
        <v>35.869999999999997</v>
      </c>
      <c r="F70" s="46">
        <v>3280</v>
      </c>
      <c r="G70" s="159">
        <f t="shared" si="39"/>
        <v>117653.59999999999</v>
      </c>
      <c r="H70" s="125" t="s">
        <v>79</v>
      </c>
      <c r="I70" s="168">
        <v>9</v>
      </c>
      <c r="J70" s="37">
        <v>3000</v>
      </c>
      <c r="K70" s="17">
        <f t="shared" si="43"/>
        <v>333.33333333333331</v>
      </c>
      <c r="L70" s="168">
        <v>9</v>
      </c>
      <c r="M70" s="18">
        <f t="shared" si="40"/>
        <v>2852.173913043478</v>
      </c>
      <c r="N70" s="17">
        <f t="shared" si="44"/>
        <v>316.90821256038646</v>
      </c>
      <c r="O70" s="19">
        <f t="shared" si="45"/>
        <v>0</v>
      </c>
      <c r="P70" s="20">
        <f t="shared" si="46"/>
        <v>-16.425120772946855</v>
      </c>
      <c r="Q70" s="158">
        <f t="shared" si="47"/>
        <v>0.95072463768115945</v>
      </c>
      <c r="R70" s="489"/>
      <c r="S70" s="40">
        <v>0.36805555555555547</v>
      </c>
      <c r="T70" s="40">
        <v>0.41597222222222213</v>
      </c>
      <c r="U70" s="159">
        <f t="shared" si="42"/>
        <v>4.9999999999999822</v>
      </c>
      <c r="V70" s="169">
        <f t="shared" si="41"/>
        <v>69</v>
      </c>
      <c r="W70" s="159"/>
      <c r="X70" s="159"/>
      <c r="Y70" s="159"/>
      <c r="Z70" s="159"/>
      <c r="AA70" s="491"/>
      <c r="AB70" s="491"/>
      <c r="AC70" s="154" t="s">
        <v>79</v>
      </c>
      <c r="AD70" s="25"/>
      <c r="AE70" s="19">
        <f t="shared" si="48"/>
        <v>-147.82608695652198</v>
      </c>
      <c r="AF70" s="158">
        <f t="shared" si="49"/>
        <v>0.95072463768115933</v>
      </c>
      <c r="AG70" s="489"/>
    </row>
    <row r="71" spans="1:33">
      <c r="A71" s="500" t="s">
        <v>602</v>
      </c>
      <c r="B71" s="170" t="s">
        <v>93</v>
      </c>
      <c r="C71" s="490" t="s">
        <v>113</v>
      </c>
      <c r="D71" s="490"/>
      <c r="E71" s="42">
        <v>34.36</v>
      </c>
      <c r="F71" s="46">
        <v>1883</v>
      </c>
      <c r="G71" s="159">
        <f t="shared" si="39"/>
        <v>64699.88</v>
      </c>
      <c r="H71" s="125" t="s">
        <v>79</v>
      </c>
      <c r="I71" s="168">
        <v>10</v>
      </c>
      <c r="J71" s="37">
        <v>3000</v>
      </c>
      <c r="K71" s="17">
        <f t="shared" si="43"/>
        <v>300</v>
      </c>
      <c r="L71" s="168">
        <v>10</v>
      </c>
      <c r="M71" s="18">
        <f t="shared" si="40"/>
        <v>2896.9230769230753</v>
      </c>
      <c r="N71" s="17">
        <f t="shared" si="44"/>
        <v>289.69230769230751</v>
      </c>
      <c r="O71" s="19">
        <f t="shared" si="45"/>
        <v>0</v>
      </c>
      <c r="P71" s="20">
        <f t="shared" si="46"/>
        <v>-10.307692307692491</v>
      </c>
      <c r="Q71" s="158">
        <f t="shared" si="47"/>
        <v>0.96564102564102505</v>
      </c>
      <c r="R71" s="489"/>
      <c r="S71" s="40">
        <v>0.42152777777777767</v>
      </c>
      <c r="T71" s="40">
        <v>0.44861111111111102</v>
      </c>
      <c r="U71" s="159">
        <f t="shared" si="42"/>
        <v>7.9999999999999716</v>
      </c>
      <c r="V71" s="169">
        <f t="shared" si="41"/>
        <v>39.000000000000021</v>
      </c>
      <c r="W71" s="23"/>
      <c r="X71" s="23"/>
      <c r="Y71" s="23"/>
      <c r="Z71" s="23"/>
      <c r="AA71" s="491"/>
      <c r="AB71" s="491"/>
      <c r="AC71" s="154" t="s">
        <v>79</v>
      </c>
      <c r="AD71" s="25"/>
      <c r="AE71" s="19">
        <f t="shared" si="48"/>
        <v>-103.07692307692469</v>
      </c>
      <c r="AF71" s="158">
        <f t="shared" si="49"/>
        <v>0.96564102564102505</v>
      </c>
      <c r="AG71" s="489"/>
    </row>
    <row r="72" spans="1:33" ht="15" customHeight="1">
      <c r="A72" s="500" t="s">
        <v>602</v>
      </c>
      <c r="B72" s="170" t="s">
        <v>93</v>
      </c>
      <c r="C72" s="501" t="s">
        <v>114</v>
      </c>
      <c r="D72" s="502"/>
      <c r="E72" s="42">
        <v>36.14</v>
      </c>
      <c r="F72" s="46">
        <v>1283</v>
      </c>
      <c r="G72" s="159">
        <f t="shared" si="39"/>
        <v>46367.62</v>
      </c>
      <c r="H72" s="125" t="s">
        <v>79</v>
      </c>
      <c r="I72" s="168">
        <v>9</v>
      </c>
      <c r="J72" s="37">
        <v>3000</v>
      </c>
      <c r="K72" s="17">
        <f t="shared" si="43"/>
        <v>333.33333333333331</v>
      </c>
      <c r="L72" s="168">
        <v>9</v>
      </c>
      <c r="M72" s="18">
        <f t="shared" si="40"/>
        <v>2960.7692307692323</v>
      </c>
      <c r="N72" s="17">
        <f t="shared" si="44"/>
        <v>328.97435897435912</v>
      </c>
      <c r="O72" s="19">
        <f t="shared" si="45"/>
        <v>0</v>
      </c>
      <c r="P72" s="20">
        <f t="shared" si="46"/>
        <v>-4.3589743589741943</v>
      </c>
      <c r="Q72" s="158">
        <f t="shared" si="47"/>
        <v>0.98692307692307746</v>
      </c>
      <c r="R72" s="489"/>
      <c r="S72" s="40">
        <v>0.45208333333333323</v>
      </c>
      <c r="T72" s="40">
        <v>0.47013888888888877</v>
      </c>
      <c r="U72" s="159">
        <f t="shared" si="42"/>
        <v>4.9999999999999822</v>
      </c>
      <c r="V72" s="169">
        <f t="shared" si="41"/>
        <v>25.999999999999986</v>
      </c>
      <c r="W72" s="159"/>
      <c r="X72" s="159"/>
      <c r="Y72" s="165"/>
      <c r="Z72" s="165"/>
      <c r="AA72" s="503"/>
      <c r="AB72" s="504"/>
      <c r="AC72" s="154" t="s">
        <v>79</v>
      </c>
      <c r="AD72" s="25"/>
      <c r="AE72" s="19">
        <f t="shared" si="48"/>
        <v>-39.230769230767692</v>
      </c>
      <c r="AF72" s="158">
        <f t="shared" si="49"/>
        <v>0.98692307692307746</v>
      </c>
      <c r="AG72" s="489"/>
    </row>
    <row r="73" spans="1:33">
      <c r="A73" s="500" t="s">
        <v>72</v>
      </c>
      <c r="B73" s="42" t="s">
        <v>603</v>
      </c>
      <c r="C73" s="494"/>
      <c r="D73" s="494"/>
      <c r="E73" s="161"/>
      <c r="F73" s="44"/>
      <c r="G73" s="17"/>
      <c r="H73" s="170"/>
      <c r="I73" s="30">
        <v>9.3333333333333339</v>
      </c>
      <c r="J73" s="37">
        <v>2750</v>
      </c>
      <c r="K73" s="17">
        <f t="shared" si="43"/>
        <v>294.64285714285711</v>
      </c>
      <c r="L73" s="30">
        <v>9.3333333333333339</v>
      </c>
      <c r="M73" s="18">
        <f>AVERAGE(M67:M72)</f>
        <v>2647.0864753857891</v>
      </c>
      <c r="N73" s="17">
        <f t="shared" si="44"/>
        <v>283.61640807704879</v>
      </c>
      <c r="O73" s="19">
        <f t="shared" si="45"/>
        <v>0</v>
      </c>
      <c r="P73" s="20">
        <f t="shared" si="46"/>
        <v>-11.026449065808322</v>
      </c>
      <c r="Q73" s="158">
        <f t="shared" si="47"/>
        <v>0.96257690014028685</v>
      </c>
      <c r="R73" s="489"/>
      <c r="S73" s="40"/>
      <c r="T73" s="40"/>
      <c r="U73" s="17"/>
      <c r="V73" s="169"/>
      <c r="W73" s="17"/>
      <c r="X73" s="17"/>
      <c r="Y73" s="31">
        <f>SUM(Y67:Y72)</f>
        <v>0</v>
      </c>
      <c r="Z73" s="31">
        <f>SUM(Z67:Z72)</f>
        <v>0</v>
      </c>
      <c r="AA73" s="495"/>
      <c r="AB73" s="495"/>
      <c r="AC73" s="31">
        <v>0</v>
      </c>
      <c r="AD73" s="31">
        <f>SUM(AD67:AD72)</f>
        <v>0</v>
      </c>
      <c r="AE73" s="19">
        <f t="shared" si="48"/>
        <v>-102.91352461421093</v>
      </c>
      <c r="AF73" s="158">
        <f t="shared" si="49"/>
        <v>0.96257690014028696</v>
      </c>
      <c r="AG73" s="489"/>
    </row>
    <row r="74" spans="1:33" ht="15.75" customHeight="1">
      <c r="A74" s="496" t="s">
        <v>75</v>
      </c>
      <c r="B74" s="170" t="s">
        <v>80</v>
      </c>
      <c r="C74" s="490" t="s">
        <v>115</v>
      </c>
      <c r="D74" s="490"/>
      <c r="E74" s="42">
        <v>20.2</v>
      </c>
      <c r="F74" s="170">
        <v>2098</v>
      </c>
      <c r="G74" s="159">
        <f t="shared" ref="G74:G79" si="50">E74*F74</f>
        <v>42379.6</v>
      </c>
      <c r="H74" s="125" t="s">
        <v>79</v>
      </c>
      <c r="I74" s="168">
        <v>19</v>
      </c>
      <c r="J74" s="37">
        <v>2400</v>
      </c>
      <c r="K74" s="17">
        <f t="shared" si="43"/>
        <v>126.31578947368421</v>
      </c>
      <c r="L74" s="168">
        <v>19</v>
      </c>
      <c r="M74" s="18">
        <f t="shared" ref="M74:M79" si="51">F74/V74*60</f>
        <v>2288.7272727272734</v>
      </c>
      <c r="N74" s="17">
        <f t="shared" si="44"/>
        <v>120.45933014354071</v>
      </c>
      <c r="O74" s="19">
        <f t="shared" si="45"/>
        <v>0</v>
      </c>
      <c r="P74" s="20">
        <f t="shared" si="46"/>
        <v>-5.856459330143494</v>
      </c>
      <c r="Q74" s="158">
        <f t="shared" si="47"/>
        <v>0.95363636363636406</v>
      </c>
      <c r="R74" s="489">
        <f>Q80</f>
        <v>0.95429085670227731</v>
      </c>
      <c r="S74" s="40">
        <v>8.3333333333333329E-2</v>
      </c>
      <c r="T74" s="40">
        <v>0.12152777777777776</v>
      </c>
      <c r="U74" s="28"/>
      <c r="V74" s="169">
        <f t="shared" ref="V74:V79" si="52">(T74-S74)*24*60</f>
        <v>54.999999999999986</v>
      </c>
      <c r="W74" s="23">
        <f>T74</f>
        <v>0.12152777777777776</v>
      </c>
      <c r="X74" s="23">
        <f>S75</f>
        <v>0.14027777777777775</v>
      </c>
      <c r="Y74" s="23"/>
      <c r="Z74" s="23"/>
      <c r="AA74" s="491"/>
      <c r="AB74" s="491"/>
      <c r="AC74" s="154">
        <v>8</v>
      </c>
      <c r="AD74" s="25"/>
      <c r="AE74" s="19">
        <f t="shared" si="48"/>
        <v>-111.27272727272657</v>
      </c>
      <c r="AF74" s="158">
        <f t="shared" si="49"/>
        <v>0.95363636363636395</v>
      </c>
      <c r="AG74" s="489">
        <f>AF80</f>
        <v>0.9542908567022772</v>
      </c>
    </row>
    <row r="75" spans="1:33" ht="15.75" customHeight="1">
      <c r="A75" s="497" t="s">
        <v>604</v>
      </c>
      <c r="B75" s="170" t="s">
        <v>80</v>
      </c>
      <c r="C75" s="490" t="s">
        <v>116</v>
      </c>
      <c r="D75" s="490"/>
      <c r="E75" s="42">
        <v>20.52</v>
      </c>
      <c r="F75" s="170">
        <v>3132</v>
      </c>
      <c r="G75" s="159">
        <f t="shared" si="50"/>
        <v>64268.639999999999</v>
      </c>
      <c r="H75" s="125" t="s">
        <v>79</v>
      </c>
      <c r="I75" s="168">
        <v>18</v>
      </c>
      <c r="J75" s="37">
        <v>2400</v>
      </c>
      <c r="K75" s="17">
        <f t="shared" si="43"/>
        <v>133.33333333333334</v>
      </c>
      <c r="L75" s="168">
        <v>18</v>
      </c>
      <c r="M75" s="18">
        <f t="shared" si="51"/>
        <v>2291.707317073171</v>
      </c>
      <c r="N75" s="17">
        <f t="shared" si="44"/>
        <v>127.31707317073172</v>
      </c>
      <c r="O75" s="19">
        <f t="shared" si="45"/>
        <v>0</v>
      </c>
      <c r="P75" s="20">
        <f t="shared" si="46"/>
        <v>-6.0162601626016254</v>
      </c>
      <c r="Q75" s="158">
        <f t="shared" si="47"/>
        <v>0.95487804878048776</v>
      </c>
      <c r="R75" s="489"/>
      <c r="S75" s="40">
        <v>0.14027777777777775</v>
      </c>
      <c r="T75" s="40">
        <v>0.19722222222222219</v>
      </c>
      <c r="U75" s="159">
        <f t="shared" ref="U75:U79" si="53">(S75-T74)*24*60</f>
        <v>26.999999999999986</v>
      </c>
      <c r="V75" s="169">
        <f t="shared" si="52"/>
        <v>81.999999999999986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-108.292682926829</v>
      </c>
      <c r="AF75" s="158">
        <f t="shared" si="49"/>
        <v>0.95487804878048788</v>
      </c>
      <c r="AG75" s="489"/>
    </row>
    <row r="76" spans="1:33" ht="15.75" customHeight="1">
      <c r="A76" s="497" t="s">
        <v>605</v>
      </c>
      <c r="B76" s="170" t="s">
        <v>80</v>
      </c>
      <c r="C76" s="490" t="s">
        <v>117</v>
      </c>
      <c r="D76" s="490"/>
      <c r="E76" s="42">
        <v>24.43</v>
      </c>
      <c r="F76" s="170">
        <v>6617</v>
      </c>
      <c r="G76" s="159">
        <f t="shared" si="50"/>
        <v>161653.31</v>
      </c>
      <c r="H76" s="125" t="s">
        <v>79</v>
      </c>
      <c r="I76" s="168">
        <v>14</v>
      </c>
      <c r="J76" s="37">
        <v>2400</v>
      </c>
      <c r="K76" s="17">
        <f t="shared" si="43"/>
        <v>171.42857142857142</v>
      </c>
      <c r="L76" s="168">
        <v>14</v>
      </c>
      <c r="M76" s="18">
        <f t="shared" si="51"/>
        <v>2281.7241379310349</v>
      </c>
      <c r="N76" s="17">
        <f t="shared" si="44"/>
        <v>162.98029556650249</v>
      </c>
      <c r="O76" s="19">
        <f t="shared" si="45"/>
        <v>0</v>
      </c>
      <c r="P76" s="20">
        <f t="shared" si="46"/>
        <v>-8.4482758620689253</v>
      </c>
      <c r="Q76" s="158">
        <f t="shared" si="47"/>
        <v>0.95071839080459797</v>
      </c>
      <c r="R76" s="489"/>
      <c r="S76" s="40">
        <v>0.20208333333333331</v>
      </c>
      <c r="T76" s="40">
        <v>0.32291666666666663</v>
      </c>
      <c r="U76" s="159">
        <f t="shared" si="53"/>
        <v>7.0000000000000151</v>
      </c>
      <c r="V76" s="169">
        <f t="shared" si="52"/>
        <v>173.99999999999997</v>
      </c>
      <c r="W76" s="23"/>
      <c r="X76" s="23"/>
      <c r="Y76" s="23"/>
      <c r="Z76" s="23"/>
      <c r="AA76" s="491"/>
      <c r="AB76" s="491"/>
      <c r="AC76" s="154"/>
      <c r="AD76" s="25"/>
      <c r="AE76" s="19">
        <f t="shared" si="48"/>
        <v>-118.27586206896513</v>
      </c>
      <c r="AF76" s="158">
        <f t="shared" si="49"/>
        <v>0.95071839080459786</v>
      </c>
      <c r="AG76" s="489"/>
    </row>
    <row r="77" spans="1:33" ht="15.75" customHeight="1">
      <c r="A77" s="497" t="s">
        <v>605</v>
      </c>
      <c r="B77" s="170" t="s">
        <v>80</v>
      </c>
      <c r="C77" s="490" t="s">
        <v>118</v>
      </c>
      <c r="D77" s="490"/>
      <c r="E77" s="42">
        <v>20.21</v>
      </c>
      <c r="F77" s="170">
        <v>4367</v>
      </c>
      <c r="G77" s="159">
        <f t="shared" si="50"/>
        <v>88257.07</v>
      </c>
      <c r="H77" s="125" t="s">
        <v>79</v>
      </c>
      <c r="I77" s="168">
        <v>16</v>
      </c>
      <c r="J77" s="37">
        <v>2400</v>
      </c>
      <c r="K77" s="17">
        <f t="shared" si="43"/>
        <v>150</v>
      </c>
      <c r="L77" s="168">
        <v>16</v>
      </c>
      <c r="M77" s="18">
        <f t="shared" si="51"/>
        <v>2298.4210526315792</v>
      </c>
      <c r="N77" s="17">
        <f t="shared" si="44"/>
        <v>143.6513157894737</v>
      </c>
      <c r="O77" s="19">
        <f t="shared" si="45"/>
        <v>0</v>
      </c>
      <c r="P77" s="20">
        <f t="shared" si="46"/>
        <v>-6.3486842105263008</v>
      </c>
      <c r="Q77" s="158">
        <f t="shared" si="47"/>
        <v>0.95767543859649129</v>
      </c>
      <c r="R77" s="489"/>
      <c r="S77" s="40">
        <v>0.32638888888888884</v>
      </c>
      <c r="T77" s="40">
        <v>0.4055555555555555</v>
      </c>
      <c r="U77" s="159">
        <f t="shared" si="53"/>
        <v>4.9999999999999822</v>
      </c>
      <c r="V77" s="169">
        <f t="shared" si="52"/>
        <v>114</v>
      </c>
      <c r="W77" s="23"/>
      <c r="X77" s="23"/>
      <c r="Y77" s="23"/>
      <c r="Z77" s="23"/>
      <c r="AA77" s="491"/>
      <c r="AB77" s="491"/>
      <c r="AC77" s="154"/>
      <c r="AD77" s="25"/>
      <c r="AE77" s="19">
        <f t="shared" si="48"/>
        <v>-101.57894736842081</v>
      </c>
      <c r="AF77" s="158">
        <f t="shared" si="49"/>
        <v>0.95767543859649129</v>
      </c>
      <c r="AG77" s="489"/>
    </row>
    <row r="78" spans="1:33" ht="15.75" customHeight="1">
      <c r="A78" s="497" t="s">
        <v>605</v>
      </c>
      <c r="B78" s="170" t="s">
        <v>80</v>
      </c>
      <c r="C78" s="490" t="s">
        <v>119</v>
      </c>
      <c r="D78" s="490"/>
      <c r="E78" s="42">
        <v>19.02</v>
      </c>
      <c r="F78" s="170">
        <v>5200</v>
      </c>
      <c r="G78" s="159">
        <f t="shared" si="50"/>
        <v>98904</v>
      </c>
      <c r="H78" s="125">
        <v>2</v>
      </c>
      <c r="I78" s="168">
        <v>15</v>
      </c>
      <c r="J78" s="37">
        <v>2400</v>
      </c>
      <c r="K78" s="17">
        <f t="shared" si="43"/>
        <v>160</v>
      </c>
      <c r="L78" s="168">
        <v>15</v>
      </c>
      <c r="M78" s="18">
        <f t="shared" si="51"/>
        <v>2294.1176470588221</v>
      </c>
      <c r="N78" s="17">
        <f t="shared" si="44"/>
        <v>152.94117647058815</v>
      </c>
      <c r="O78" s="19">
        <f t="shared" si="45"/>
        <v>0</v>
      </c>
      <c r="P78" s="20">
        <f t="shared" si="46"/>
        <v>-7.0588235294118533</v>
      </c>
      <c r="Q78" s="158">
        <f t="shared" si="47"/>
        <v>0.95588235294117596</v>
      </c>
      <c r="R78" s="489"/>
      <c r="S78" s="40">
        <v>0.40972222222222215</v>
      </c>
      <c r="T78" s="40">
        <v>0.50416666666666665</v>
      </c>
      <c r="U78" s="159">
        <f t="shared" si="53"/>
        <v>5.9999999999999787</v>
      </c>
      <c r="V78" s="169">
        <f t="shared" si="52"/>
        <v>136.00000000000009</v>
      </c>
      <c r="W78" s="23">
        <f>T78</f>
        <v>0.50416666666666665</v>
      </c>
      <c r="X78" s="23">
        <f>S79</f>
        <v>0.54305555555555551</v>
      </c>
      <c r="Y78" s="23"/>
      <c r="Z78" s="23"/>
      <c r="AA78" s="491"/>
      <c r="AB78" s="491"/>
      <c r="AC78" s="154"/>
      <c r="AD78" s="25"/>
      <c r="AE78" s="19">
        <f t="shared" si="48"/>
        <v>-105.88235294117794</v>
      </c>
      <c r="AF78" s="158">
        <f t="shared" si="49"/>
        <v>0.95588235294117585</v>
      </c>
      <c r="AG78" s="489"/>
    </row>
    <row r="79" spans="1:33" ht="15.75" customHeight="1">
      <c r="A79" s="497" t="s">
        <v>605</v>
      </c>
      <c r="B79" s="170" t="s">
        <v>80</v>
      </c>
      <c r="C79" s="490" t="s">
        <v>119</v>
      </c>
      <c r="D79" s="490"/>
      <c r="E79" s="42">
        <v>19.02</v>
      </c>
      <c r="F79" s="170">
        <v>4193</v>
      </c>
      <c r="G79" s="159">
        <f t="shared" si="50"/>
        <v>79750.86</v>
      </c>
      <c r="H79" s="125" t="s">
        <v>79</v>
      </c>
      <c r="I79" s="168">
        <v>15</v>
      </c>
      <c r="J79" s="37">
        <v>2400</v>
      </c>
      <c r="K79" s="17">
        <f t="shared" si="43"/>
        <v>160</v>
      </c>
      <c r="L79" s="168">
        <v>15</v>
      </c>
      <c r="M79" s="18">
        <f t="shared" si="51"/>
        <v>2287.0909090909108</v>
      </c>
      <c r="N79" s="17">
        <f t="shared" si="44"/>
        <v>152.47272727272738</v>
      </c>
      <c r="O79" s="19">
        <f t="shared" si="45"/>
        <v>0</v>
      </c>
      <c r="P79" s="20">
        <f t="shared" si="46"/>
        <v>-7.5272727272726172</v>
      </c>
      <c r="Q79" s="158">
        <f t="shared" si="47"/>
        <v>0.95295454545454616</v>
      </c>
      <c r="R79" s="489"/>
      <c r="S79" s="40">
        <v>0.54305555555555551</v>
      </c>
      <c r="T79" s="40">
        <v>0.61944444444444435</v>
      </c>
      <c r="U79" s="159">
        <f t="shared" si="53"/>
        <v>55.999999999999957</v>
      </c>
      <c r="V79" s="169">
        <f t="shared" si="52"/>
        <v>109.99999999999993</v>
      </c>
      <c r="W79" s="23"/>
      <c r="X79" s="23"/>
      <c r="Y79" s="23"/>
      <c r="Z79" s="23"/>
      <c r="AA79" s="491"/>
      <c r="AB79" s="491"/>
      <c r="AC79" s="154"/>
      <c r="AD79" s="25"/>
      <c r="AE79" s="19">
        <f t="shared" si="48"/>
        <v>-112.90909090908917</v>
      </c>
      <c r="AF79" s="158">
        <f t="shared" si="49"/>
        <v>0.95295454545454616</v>
      </c>
      <c r="AG79" s="489"/>
    </row>
    <row r="80" spans="1:33" ht="16.5" customHeight="1">
      <c r="A80" s="498" t="s">
        <v>606</v>
      </c>
      <c r="B80" s="42" t="s">
        <v>603</v>
      </c>
      <c r="C80" s="492"/>
      <c r="D80" s="493"/>
      <c r="E80" s="161"/>
      <c r="F80" s="44"/>
      <c r="G80" s="17"/>
      <c r="H80" s="170"/>
      <c r="I80" s="30">
        <v>16.166666666666668</v>
      </c>
      <c r="J80" s="37">
        <v>2400</v>
      </c>
      <c r="K80" s="17">
        <f t="shared" si="43"/>
        <v>148.45360824742266</v>
      </c>
      <c r="L80" s="30">
        <v>16.166666666666668</v>
      </c>
      <c r="M80" s="18">
        <f>AVERAGE(M74:M79)</f>
        <v>2290.2980560854653</v>
      </c>
      <c r="N80" s="17">
        <f t="shared" si="44"/>
        <v>141.66792099497724</v>
      </c>
      <c r="O80" s="19">
        <f t="shared" si="45"/>
        <v>0</v>
      </c>
      <c r="P80" s="20">
        <f t="shared" si="46"/>
        <v>-6.7856872524454275</v>
      </c>
      <c r="Q80" s="158">
        <f t="shared" si="47"/>
        <v>0.95429085670227731</v>
      </c>
      <c r="R80" s="489"/>
      <c r="S80" s="40"/>
      <c r="T80" s="40"/>
      <c r="U80" s="17"/>
      <c r="V80" s="169"/>
      <c r="W80" s="17"/>
      <c r="X80" s="17"/>
      <c r="Y80" s="31">
        <f>SUM(Y74:Y79)</f>
        <v>0</v>
      </c>
      <c r="Z80" s="31">
        <f>SUM(Z74:Z79)</f>
        <v>0</v>
      </c>
      <c r="AA80" s="495"/>
      <c r="AB80" s="495"/>
      <c r="AC80" s="31">
        <v>8</v>
      </c>
      <c r="AD80" s="31">
        <f>SUM(AD74:AD79)</f>
        <v>0</v>
      </c>
      <c r="AE80" s="19">
        <f t="shared" si="48"/>
        <v>-109.7019439145347</v>
      </c>
      <c r="AF80" s="158">
        <f t="shared" si="49"/>
        <v>0.9542908567022772</v>
      </c>
      <c r="AG80" s="489"/>
    </row>
    <row r="81" spans="4:5">
      <c r="D81" s="33"/>
      <c r="E81" s="33"/>
    </row>
  </sheetData>
  <mergeCells count="211">
    <mergeCell ref="AA77:AB77"/>
    <mergeCell ref="C78:D78"/>
    <mergeCell ref="AA78:AB78"/>
    <mergeCell ref="A74:A80"/>
    <mergeCell ref="C74:D74"/>
    <mergeCell ref="R74:R80"/>
    <mergeCell ref="AA74:AB74"/>
    <mergeCell ref="AG74:AG80"/>
    <mergeCell ref="C75:D75"/>
    <mergeCell ref="AA75:AB75"/>
    <mergeCell ref="C76:D76"/>
    <mergeCell ref="AA76:AB76"/>
    <mergeCell ref="C77:D77"/>
    <mergeCell ref="C79:D79"/>
    <mergeCell ref="AA79:AB79"/>
    <mergeCell ref="C80:D80"/>
    <mergeCell ref="AA80:AB80"/>
    <mergeCell ref="AG67:AG73"/>
    <mergeCell ref="C68:D68"/>
    <mergeCell ref="AA68:AB68"/>
    <mergeCell ref="C69:D69"/>
    <mergeCell ref="AA69:AB69"/>
    <mergeCell ref="C70:D70"/>
    <mergeCell ref="AG59:AG66"/>
    <mergeCell ref="C60:D60"/>
    <mergeCell ref="AA60:AB60"/>
    <mergeCell ref="C61:D61"/>
    <mergeCell ref="AA61:AB61"/>
    <mergeCell ref="AA62:AB62"/>
    <mergeCell ref="C65:D65"/>
    <mergeCell ref="AA65:AB65"/>
    <mergeCell ref="C66:D66"/>
    <mergeCell ref="AA66:AB66"/>
    <mergeCell ref="AA70:AB70"/>
    <mergeCell ref="C71:D71"/>
    <mergeCell ref="AA71:AB71"/>
    <mergeCell ref="C72:D72"/>
    <mergeCell ref="AA72:AB72"/>
    <mergeCell ref="C73:D73"/>
    <mergeCell ref="AA73:AB73"/>
    <mergeCell ref="AA63:AB63"/>
    <mergeCell ref="C64:D64"/>
    <mergeCell ref="AA64:AB64"/>
    <mergeCell ref="A59:A66"/>
    <mergeCell ref="C59:D59"/>
    <mergeCell ref="R59:R66"/>
    <mergeCell ref="AA59:AB59"/>
    <mergeCell ref="A67:A73"/>
    <mergeCell ref="C67:D67"/>
    <mergeCell ref="R67:R73"/>
    <mergeCell ref="AA67:AB67"/>
    <mergeCell ref="A52:A58"/>
    <mergeCell ref="C52:D52"/>
    <mergeCell ref="R52:R58"/>
    <mergeCell ref="AA52:AB52"/>
    <mergeCell ref="AG52:AG58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AG43:AG51"/>
    <mergeCell ref="C44:D44"/>
    <mergeCell ref="AA44:AB44"/>
    <mergeCell ref="C45:D45"/>
    <mergeCell ref="AA45:AB45"/>
    <mergeCell ref="AG36:AG42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C49:D49"/>
    <mergeCell ref="AA49:AB49"/>
    <mergeCell ref="C50:D50"/>
    <mergeCell ref="AA50:AB50"/>
    <mergeCell ref="C51:D51"/>
    <mergeCell ref="AA51:AB51"/>
    <mergeCell ref="C46:D46"/>
    <mergeCell ref="AA46:AB46"/>
    <mergeCell ref="C47:D47"/>
    <mergeCell ref="A36:A42"/>
    <mergeCell ref="C36:D36"/>
    <mergeCell ref="R36:R42"/>
    <mergeCell ref="AA36:AB36"/>
    <mergeCell ref="AA41:AB41"/>
    <mergeCell ref="C42:D42"/>
    <mergeCell ref="AA42:AB42"/>
    <mergeCell ref="A43:A51"/>
    <mergeCell ref="C43:D43"/>
    <mergeCell ref="R43:R51"/>
    <mergeCell ref="AA43:AB43"/>
    <mergeCell ref="AA47:AB47"/>
    <mergeCell ref="C48:D48"/>
    <mergeCell ref="AA48:AB48"/>
    <mergeCell ref="AG24:AG35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4:D34"/>
    <mergeCell ref="AA34:AB34"/>
    <mergeCell ref="C35:D35"/>
    <mergeCell ref="AA35:AB35"/>
    <mergeCell ref="C23:D23"/>
    <mergeCell ref="AA23:AB23"/>
    <mergeCell ref="A24:A35"/>
    <mergeCell ref="C24:D24"/>
    <mergeCell ref="R24:R35"/>
    <mergeCell ref="AA24:AB24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AG11:AG13"/>
    <mergeCell ref="C12:D12"/>
    <mergeCell ref="AA12:AB12"/>
    <mergeCell ref="C13:D13"/>
    <mergeCell ref="AA13:AB13"/>
    <mergeCell ref="A14:A23"/>
    <mergeCell ref="C14:D14"/>
    <mergeCell ref="R14:R23"/>
    <mergeCell ref="AA14:AB14"/>
    <mergeCell ref="AG14:AG23"/>
    <mergeCell ref="C18:D18"/>
    <mergeCell ref="AA18:AB18"/>
    <mergeCell ref="C19:D19"/>
    <mergeCell ref="AA19:AB19"/>
    <mergeCell ref="AA20:AB20"/>
    <mergeCell ref="AA21:AB21"/>
    <mergeCell ref="C15:D15"/>
    <mergeCell ref="AA15:AB15"/>
    <mergeCell ref="C16:D16"/>
    <mergeCell ref="AA16:AB16"/>
    <mergeCell ref="C17:D17"/>
    <mergeCell ref="AA17:AB17"/>
    <mergeCell ref="C22:D22"/>
    <mergeCell ref="AA22:AB22"/>
    <mergeCell ref="A11:A13"/>
    <mergeCell ref="C11:D11"/>
    <mergeCell ref="R11:R13"/>
    <mergeCell ref="AA11:AB11"/>
    <mergeCell ref="C7:D7"/>
    <mergeCell ref="AA7:AB7"/>
    <mergeCell ref="C8:D8"/>
    <mergeCell ref="AA8:AB8"/>
    <mergeCell ref="C9:D9"/>
    <mergeCell ref="AA9:AB9"/>
    <mergeCell ref="A5:A10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10:D10"/>
    <mergeCell ref="AA10:AB10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6:O67 O5:O11 O13:O15 O23:O64 O70:O80">
    <cfRule type="cellIs" dxfId="396" priority="58" operator="greaterThan">
      <formula>0</formula>
    </cfRule>
  </conditionalFormatting>
  <conditionalFormatting sqref="P5:P9 P70:P72 AE70:AE72 P36:P41 P67 P11 P13:P15 P24:P34 P59:P64 P43:P57 AE5:AE67 P74:P79 AE74:AE80">
    <cfRule type="cellIs" dxfId="395" priority="62" operator="lessThan">
      <formula>0</formula>
    </cfRule>
  </conditionalFormatting>
  <conditionalFormatting sqref="AF70:AF72 Q66:Q67 Q5:Q11 Q13:Q15 Q23:Q64 AF5:AF67 Q70:Q80 AF74:AF80">
    <cfRule type="cellIs" dxfId="394" priority="59" operator="greaterThan">
      <formula>1</formula>
    </cfRule>
    <cfRule type="cellIs" dxfId="393" priority="60" operator="lessThan">
      <formula>0.8</formula>
    </cfRule>
  </conditionalFormatting>
  <conditionalFormatting sqref="AG14:AG15 R14:R15 AG70 R23:R29 AG23:AG29 AG66:AG67 R66:R67 AG5:AG11 R5:R11 AG35:AG64 R35:R64 R70:R80">
    <cfRule type="cellIs" dxfId="392" priority="64" operator="lessThan">
      <formula>0.8</formula>
    </cfRule>
  </conditionalFormatting>
  <conditionalFormatting sqref="AG52">
    <cfRule type="cellIs" dxfId="391" priority="66" operator="lessThan">
      <formula>0.8</formula>
    </cfRule>
  </conditionalFormatting>
  <conditionalFormatting sqref="AG24:AG29">
    <cfRule type="cellIs" dxfId="390" priority="63" operator="lessThan">
      <formula>0.8</formula>
    </cfRule>
  </conditionalFormatting>
  <conditionalFormatting sqref="AG36">
    <cfRule type="cellIs" dxfId="389" priority="65" operator="lessThan">
      <formula>0.8</formula>
    </cfRule>
  </conditionalFormatting>
  <conditionalFormatting sqref="AG43:AG50">
    <cfRule type="cellIs" dxfId="388" priority="61" operator="lessThan">
      <formula>0.8</formula>
    </cfRule>
  </conditionalFormatting>
  <conditionalFormatting sqref="AE73">
    <cfRule type="cellIs" dxfId="387" priority="57" operator="lessThan">
      <formula>0</formula>
    </cfRule>
  </conditionalFormatting>
  <conditionalFormatting sqref="AF73">
    <cfRule type="cellIs" dxfId="386" priority="55" operator="greaterThan">
      <formula>1</formula>
    </cfRule>
    <cfRule type="cellIs" dxfId="385" priority="56" operator="lessThan">
      <formula>0.8</formula>
    </cfRule>
  </conditionalFormatting>
  <conditionalFormatting sqref="O16:O17">
    <cfRule type="cellIs" dxfId="384" priority="50" operator="greaterThan">
      <formula>0</formula>
    </cfRule>
  </conditionalFormatting>
  <conditionalFormatting sqref="P16:P17">
    <cfRule type="cellIs" dxfId="383" priority="53" operator="lessThan">
      <formula>0</formula>
    </cfRule>
  </conditionalFormatting>
  <conditionalFormatting sqref="Q16:Q17">
    <cfRule type="cellIs" dxfId="382" priority="51" operator="greaterThan">
      <formula>1</formula>
    </cfRule>
    <cfRule type="cellIs" dxfId="381" priority="52" operator="lessThan">
      <formula>0.8</formula>
    </cfRule>
  </conditionalFormatting>
  <conditionalFormatting sqref="R16:R17 AG16:AG17">
    <cfRule type="cellIs" dxfId="380" priority="54" operator="lessThan">
      <formula>0.8</formula>
    </cfRule>
  </conditionalFormatting>
  <conditionalFormatting sqref="O12">
    <cfRule type="cellIs" dxfId="379" priority="46" operator="greaterThan">
      <formula>0</formula>
    </cfRule>
  </conditionalFormatting>
  <conditionalFormatting sqref="P12">
    <cfRule type="cellIs" dxfId="378" priority="49" operator="lessThan">
      <formula>0</formula>
    </cfRule>
  </conditionalFormatting>
  <conditionalFormatting sqref="Q12">
    <cfRule type="cellIs" dxfId="377" priority="47" operator="greaterThan">
      <formula>1</formula>
    </cfRule>
    <cfRule type="cellIs" dxfId="376" priority="48" operator="lessThan">
      <formula>0.8</formula>
    </cfRule>
  </conditionalFormatting>
  <conditionalFormatting sqref="O65">
    <cfRule type="cellIs" dxfId="375" priority="41" operator="greaterThan">
      <formula>0</formula>
    </cfRule>
  </conditionalFormatting>
  <conditionalFormatting sqref="P65">
    <cfRule type="cellIs" dxfId="374" priority="44" operator="lessThan">
      <formula>0</formula>
    </cfRule>
  </conditionalFormatting>
  <conditionalFormatting sqref="Q65">
    <cfRule type="cellIs" dxfId="373" priority="42" operator="greaterThan">
      <formula>1</formula>
    </cfRule>
    <cfRule type="cellIs" dxfId="372" priority="43" operator="lessThan">
      <formula>0.8</formula>
    </cfRule>
  </conditionalFormatting>
  <conditionalFormatting sqref="R65 AG65">
    <cfRule type="cellIs" dxfId="371" priority="45" operator="lessThan">
      <formula>0.8</formula>
    </cfRule>
  </conditionalFormatting>
  <conditionalFormatting sqref="AG31 R31">
    <cfRule type="cellIs" dxfId="370" priority="40" operator="lessThan">
      <formula>0.8</formula>
    </cfRule>
  </conditionalFormatting>
  <conditionalFormatting sqref="O69">
    <cfRule type="cellIs" dxfId="369" priority="35" operator="greaterThan">
      <formula>0</formula>
    </cfRule>
  </conditionalFormatting>
  <conditionalFormatting sqref="P69 AE69">
    <cfRule type="cellIs" dxfId="368" priority="38" operator="lessThan">
      <formula>0</formula>
    </cfRule>
  </conditionalFormatting>
  <conditionalFormatting sqref="Q69 AF69">
    <cfRule type="cellIs" dxfId="367" priority="36" operator="greaterThan">
      <formula>1</formula>
    </cfRule>
    <cfRule type="cellIs" dxfId="366" priority="37" operator="lessThan">
      <formula>0.8</formula>
    </cfRule>
  </conditionalFormatting>
  <conditionalFormatting sqref="R69 AG69">
    <cfRule type="cellIs" dxfId="365" priority="39" operator="lessThan">
      <formula>0.8</formula>
    </cfRule>
  </conditionalFormatting>
  <conditionalFormatting sqref="O18:O19">
    <cfRule type="cellIs" dxfId="364" priority="30" operator="greaterThan">
      <formula>0</formula>
    </cfRule>
  </conditionalFormatting>
  <conditionalFormatting sqref="P18:P19">
    <cfRule type="cellIs" dxfId="363" priority="33" operator="lessThan">
      <formula>0</formula>
    </cfRule>
  </conditionalFormatting>
  <conditionalFormatting sqref="Q18:Q19">
    <cfRule type="cellIs" dxfId="362" priority="31" operator="greaterThan">
      <formula>1</formula>
    </cfRule>
    <cfRule type="cellIs" dxfId="361" priority="32" operator="lessThan">
      <formula>0.8</formula>
    </cfRule>
  </conditionalFormatting>
  <conditionalFormatting sqref="R18:R19 AG18:AG19">
    <cfRule type="cellIs" dxfId="360" priority="34" operator="lessThan">
      <formula>0.8</formula>
    </cfRule>
  </conditionalFormatting>
  <conditionalFormatting sqref="AG32 R32">
    <cfRule type="cellIs" dxfId="359" priority="29" operator="lessThan">
      <formula>0.8</formula>
    </cfRule>
  </conditionalFormatting>
  <conditionalFormatting sqref="AG34 R34">
    <cfRule type="cellIs" dxfId="358" priority="28" operator="lessThan">
      <formula>0.8</formula>
    </cfRule>
  </conditionalFormatting>
  <conditionalFormatting sqref="R30 AG30">
    <cfRule type="cellIs" dxfId="357" priority="27" operator="lessThan">
      <formula>0.8</formula>
    </cfRule>
  </conditionalFormatting>
  <conditionalFormatting sqref="AG30">
    <cfRule type="cellIs" dxfId="356" priority="26" operator="lessThan">
      <formula>0.8</formula>
    </cfRule>
  </conditionalFormatting>
  <conditionalFormatting sqref="O68">
    <cfRule type="cellIs" dxfId="355" priority="21" operator="greaterThan">
      <formula>0</formula>
    </cfRule>
  </conditionalFormatting>
  <conditionalFormatting sqref="P68 AE68">
    <cfRule type="cellIs" dxfId="354" priority="24" operator="lessThan">
      <formula>0</formula>
    </cfRule>
  </conditionalFormatting>
  <conditionalFormatting sqref="Q68 AF68">
    <cfRule type="cellIs" dxfId="353" priority="22" operator="greaterThan">
      <formula>1</formula>
    </cfRule>
    <cfRule type="cellIs" dxfId="352" priority="23" operator="lessThan">
      <formula>0.8</formula>
    </cfRule>
  </conditionalFormatting>
  <conditionalFormatting sqref="R68 AG68">
    <cfRule type="cellIs" dxfId="351" priority="25" operator="lessThan">
      <formula>0.8</formula>
    </cfRule>
  </conditionalFormatting>
  <conditionalFormatting sqref="O20">
    <cfRule type="cellIs" dxfId="350" priority="16" operator="greaterThan">
      <formula>0</formula>
    </cfRule>
  </conditionalFormatting>
  <conditionalFormatting sqref="P20">
    <cfRule type="cellIs" dxfId="349" priority="19" operator="lessThan">
      <formula>0</formula>
    </cfRule>
  </conditionalFormatting>
  <conditionalFormatting sqref="Q20">
    <cfRule type="cellIs" dxfId="348" priority="17" operator="greaterThan">
      <formula>1</formula>
    </cfRule>
    <cfRule type="cellIs" dxfId="347" priority="18" operator="lessThan">
      <formula>0.8</formula>
    </cfRule>
  </conditionalFormatting>
  <conditionalFormatting sqref="AG20 R20">
    <cfRule type="cellIs" dxfId="346" priority="20" operator="lessThan">
      <formula>0.8</formula>
    </cfRule>
  </conditionalFormatting>
  <conditionalFormatting sqref="O21:O22">
    <cfRule type="cellIs" dxfId="345" priority="11" operator="greaterThan">
      <formula>0</formula>
    </cfRule>
  </conditionalFormatting>
  <conditionalFormatting sqref="P21:P22">
    <cfRule type="cellIs" dxfId="344" priority="14" operator="lessThan">
      <formula>0</formula>
    </cfRule>
  </conditionalFormatting>
  <conditionalFormatting sqref="Q21:Q22">
    <cfRule type="cellIs" dxfId="343" priority="12" operator="greaterThan">
      <formula>1</formula>
    </cfRule>
    <cfRule type="cellIs" dxfId="342" priority="13" operator="lessThan">
      <formula>0.8</formula>
    </cfRule>
  </conditionalFormatting>
  <conditionalFormatting sqref="AG21 R21">
    <cfRule type="cellIs" dxfId="341" priority="15" operator="lessThan">
      <formula>0.8</formula>
    </cfRule>
  </conditionalFormatting>
  <conditionalFormatting sqref="P10">
    <cfRule type="cellIs" dxfId="340" priority="10" operator="lessThan">
      <formula>0</formula>
    </cfRule>
  </conditionalFormatting>
  <conditionalFormatting sqref="P23">
    <cfRule type="cellIs" dxfId="339" priority="9" operator="lessThan">
      <formula>0</formula>
    </cfRule>
  </conditionalFormatting>
  <conditionalFormatting sqref="P35">
    <cfRule type="cellIs" dxfId="338" priority="8" operator="lessThan">
      <formula>0</formula>
    </cfRule>
  </conditionalFormatting>
  <conditionalFormatting sqref="P42">
    <cfRule type="cellIs" dxfId="337" priority="7" operator="lessThan">
      <formula>0</formula>
    </cfRule>
  </conditionalFormatting>
  <conditionalFormatting sqref="P58">
    <cfRule type="cellIs" dxfId="336" priority="6" operator="lessThan">
      <formula>0</formula>
    </cfRule>
  </conditionalFormatting>
  <conditionalFormatting sqref="P66">
    <cfRule type="cellIs" dxfId="335" priority="5" operator="lessThan">
      <formula>0</formula>
    </cfRule>
  </conditionalFormatting>
  <conditionalFormatting sqref="P73">
    <cfRule type="cellIs" dxfId="334" priority="4" operator="lessThan">
      <formula>0</formula>
    </cfRule>
  </conditionalFormatting>
  <conditionalFormatting sqref="P80">
    <cfRule type="cellIs" dxfId="333" priority="3" operator="lessThan">
      <formula>0</formula>
    </cfRule>
  </conditionalFormatting>
  <conditionalFormatting sqref="AG22 R22">
    <cfRule type="cellIs" dxfId="332" priority="2" operator="lessThan">
      <formula>0.8</formula>
    </cfRule>
  </conditionalFormatting>
  <conditionalFormatting sqref="AG33 R33">
    <cfRule type="cellIs" dxfId="331" priority="1" operator="lessThan">
      <formula>0.8</formula>
    </cfRule>
  </conditionalFormatting>
  <dataValidations count="1">
    <dataValidation type="list" allowBlank="1" showInputMessage="1" showErrorMessage="1" sqref="AB10 AA5:AB9 AB71:AB72 AA10:AA72 AB12:AB67 AA73:AB8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1" sqref="A11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422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423</v>
      </c>
      <c r="C3" s="478" t="str">
        <f>TEXT('0104 4度C'!A2,"yyyy.mm.ddaaaa")</f>
        <v>2026.01.04星期日</v>
      </c>
      <c r="D3" s="479"/>
      <c r="E3" s="56" t="s">
        <v>424</v>
      </c>
      <c r="F3" s="480">
        <f>'0104 4度C'!D1</f>
        <v>177204</v>
      </c>
      <c r="G3" s="481"/>
      <c r="H3" s="56" t="s">
        <v>425</v>
      </c>
      <c r="I3" s="482">
        <f>'0104 4度C'!F1</f>
        <v>6044481.5600000005</v>
      </c>
      <c r="J3" s="483"/>
      <c r="K3" s="57"/>
      <c r="L3" s="58"/>
      <c r="M3" s="59"/>
      <c r="N3" s="59"/>
    </row>
    <row r="4" spans="2:17" ht="28.5" customHeight="1">
      <c r="B4" s="484" t="s">
        <v>426</v>
      </c>
      <c r="C4" s="470" t="s">
        <v>427</v>
      </c>
      <c r="D4" s="471"/>
      <c r="E4" s="487" t="s">
        <v>428</v>
      </c>
      <c r="F4" s="488"/>
      <c r="G4" s="487" t="s">
        <v>429</v>
      </c>
      <c r="H4" s="488"/>
      <c r="I4" s="487" t="s">
        <v>430</v>
      </c>
      <c r="J4" s="488"/>
      <c r="K4" s="468" t="s">
        <v>431</v>
      </c>
      <c r="L4" s="469"/>
      <c r="M4" s="469" t="s">
        <v>432</v>
      </c>
      <c r="N4" s="469"/>
    </row>
    <row r="5" spans="2:17" ht="28.5" customHeight="1">
      <c r="B5" s="485"/>
      <c r="C5" s="470" t="s">
        <v>171</v>
      </c>
      <c r="D5" s="471"/>
      <c r="E5" s="470" t="s">
        <v>433</v>
      </c>
      <c r="F5" s="471"/>
      <c r="G5" s="472" t="s">
        <v>434</v>
      </c>
      <c r="H5" s="473"/>
      <c r="I5" s="474" t="s">
        <v>435</v>
      </c>
      <c r="J5" s="475"/>
      <c r="K5" s="60" t="s">
        <v>436</v>
      </c>
      <c r="L5" s="61" t="s">
        <v>437</v>
      </c>
      <c r="M5" s="60" t="s">
        <v>438</v>
      </c>
      <c r="N5" s="61" t="s">
        <v>177</v>
      </c>
    </row>
    <row r="6" spans="2:17" ht="28.5" customHeight="1">
      <c r="B6" s="485"/>
      <c r="C6" s="470" t="s">
        <v>144</v>
      </c>
      <c r="D6" s="471"/>
      <c r="E6" s="462">
        <f>AVERAGE(D13:M13)</f>
        <v>148.01783914821235</v>
      </c>
      <c r="F6" s="463">
        <f>AVERAGE(D31:O31,D13:J13)</f>
        <v>152.04990970747272</v>
      </c>
      <c r="G6" s="464">
        <f>AVERAGE(D13:J13)</f>
        <v>152.04990970747272</v>
      </c>
      <c r="H6" s="465"/>
      <c r="I6" s="464">
        <f>AVERAGE(K13:M13)</f>
        <v>138.60967450993823</v>
      </c>
      <c r="J6" s="465"/>
      <c r="K6" s="466">
        <f>'0104 4度C'!Y2</f>
        <v>0</v>
      </c>
      <c r="L6" s="451">
        <f>'0104 4度C'!Z2</f>
        <v>0</v>
      </c>
      <c r="M6" s="467">
        <f>'0104 4度C'!AC2</f>
        <v>44</v>
      </c>
      <c r="N6" s="451">
        <f>'0104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141.29616699111784</v>
      </c>
      <c r="F7" s="455">
        <f>AVERAGE(D32:O32,D14:J14)</f>
        <v>144.98703260739177</v>
      </c>
      <c r="G7" s="456">
        <f>AVERAGE(D14:J14)</f>
        <v>144.98703260739177</v>
      </c>
      <c r="H7" s="457"/>
      <c r="I7" s="456">
        <f>AVERAGE(K14:M14)</f>
        <v>132.68414721981202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0.95361529079861973</v>
      </c>
      <c r="F8" s="459">
        <f>AVERAGE(D15:J15,D33:O33)</f>
        <v>0.95206144250955127</v>
      </c>
      <c r="G8" s="460">
        <f>AVERAGE(D15:J15)</f>
        <v>0.95206144250955127</v>
      </c>
      <c r="H8" s="461"/>
      <c r="I8" s="460">
        <f>AVERAGE(K15:M15)</f>
        <v>0.95724093680644617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439</v>
      </c>
      <c r="N9" s="59"/>
      <c r="O9" s="59"/>
      <c r="P9" s="59"/>
      <c r="Q9" s="59"/>
    </row>
    <row r="10" spans="2:17" ht="30" customHeight="1">
      <c r="B10" s="434" t="s">
        <v>440</v>
      </c>
      <c r="C10" s="435"/>
      <c r="D10" s="436" t="s">
        <v>441</v>
      </c>
      <c r="E10" s="437"/>
      <c r="F10" s="437"/>
      <c r="G10" s="437"/>
      <c r="H10" s="437"/>
      <c r="I10" s="437"/>
      <c r="J10" s="438"/>
      <c r="K10" s="439" t="s">
        <v>442</v>
      </c>
      <c r="L10" s="440"/>
      <c r="M10" s="441"/>
      <c r="P10" s="65"/>
      <c r="Q10" s="65"/>
    </row>
    <row r="11" spans="2:17" ht="17.25" customHeight="1">
      <c r="B11" s="442" t="s">
        <v>443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444</v>
      </c>
      <c r="C13" s="72" t="s">
        <v>232</v>
      </c>
      <c r="D13" s="73">
        <f>SUMIFS('0104 4度C'!$K:$K,'0104 4度C'!$A:$A,"新豐6線",'0104 4度C'!$B:$B,"平均")</f>
        <v>115.38461538461539</v>
      </c>
      <c r="E13" s="74">
        <f>SUMIFS('0104 4度C'!$K:$K,'0104 4度C'!$A:$A,"新豐2線",'0104 4度C'!$B:$B,"平均")</f>
        <v>83.333333333333329</v>
      </c>
      <c r="F13" s="75">
        <f>SUMIFS('0104 4度C'!$K:$K,'0104 4度C'!$A:$A,"新豐5線",'0104 4度C'!$B:$B,"平均")</f>
        <v>109.99999999999999</v>
      </c>
      <c r="G13" s="75">
        <f>SUMIFS('0104 4度C'!$K:$K,'0104 4度C'!$A:$A,"新豐7線",'0104 4度C'!$B:$B,"平均")</f>
        <v>114.58333333333333</v>
      </c>
      <c r="H13" s="75">
        <f>SUMIFS('0104 4度C'!$K:$K,'0104 4度C'!$A:$A,"新豐3線",'0104 4度C'!$B:$B,"平均")</f>
        <v>235.29411764705881</v>
      </c>
      <c r="I13" s="75">
        <f>SUMIFS('0104 4度C'!$K:$K,'0104 4度C'!$A:$A,"新豐1線",'0104 4度C'!$B:$B,"平均")</f>
        <v>111.11111111111111</v>
      </c>
      <c r="J13" s="76">
        <f>SUMIFS('0104 4度C'!$K:$K,'0104 4度C'!$A:$A,"新豐10線",'0104 4度C'!$B:$B,"平均")</f>
        <v>294.64285714285711</v>
      </c>
      <c r="K13" s="77">
        <f>SUMIFS('0104 4度C'!$K:$K,'0104 4度C'!$A:$A,"新豐8線",'0104 4度C'!$B:$B,"平均")</f>
        <v>130.23255813953489</v>
      </c>
      <c r="L13" s="78">
        <f>SUMIFS('0104 4度C'!$K:$K,'0104 4度C'!$A:$A,"新豐9線",'0104 4度C'!$B:$B,"平均")</f>
        <v>137.14285714285714</v>
      </c>
      <c r="M13" s="76">
        <f>SUMIFS('0104 4度C'!$K:$K,'0104 4度C'!$A:$A,"新豐4線",'0104 4度C'!$B:$B,"平均")</f>
        <v>148.45360824742266</v>
      </c>
    </row>
    <row r="14" spans="2:17" ht="39.6" customHeight="1">
      <c r="B14" s="447"/>
      <c r="C14" s="79" t="s">
        <v>445</v>
      </c>
      <c r="D14" s="80">
        <f>SUMIFS('0104 4度C'!$N:$N,'0104 4度C'!$A:$A,"新豐6線",'0104 4度C'!$B:$B,"平均")</f>
        <v>110.50822384916265</v>
      </c>
      <c r="E14" s="81">
        <f>SUMIFS('0104 4度C'!$N:$N,'0104 4度C'!$A:$A,"新豐2線",'0104 4度C'!$B:$B,"平均")</f>
        <v>79.509957399975349</v>
      </c>
      <c r="F14" s="81">
        <f>SUMIFS('0104 4度C'!$N:$N,'0104 4度C'!$A:$A,"新豐5線",'0104 4度C'!$B:$B,"平均")</f>
        <v>105.46396940824033</v>
      </c>
      <c r="G14" s="81">
        <f>SUMIFS('0104 4度C'!$N:$N,'0104 4度C'!$A:$A,"新豐7線",'0104 4度C'!$B:$B,"平均")</f>
        <v>110.20697428139918</v>
      </c>
      <c r="H14" s="81">
        <f>SUMIFS('0104 4度C'!$N:$N,'0104 4度C'!$A:$A,"新豐3線",'0104 4度C'!$B:$B,"平均")</f>
        <v>224.8758462364207</v>
      </c>
      <c r="I14" s="81">
        <f>SUMIFS('0104 4度C'!$N:$N,'0104 4度C'!$A:$A,"新豐1線",'0104 4度C'!$B:$B,"平均")</f>
        <v>102.00380770653813</v>
      </c>
      <c r="J14" s="82">
        <f>SUMIFS('0104 4度C'!$N:$N,'0104 4度C'!$A:$A,"新豐10線",'0104 4度C'!$B:$B,"平均")</f>
        <v>282.34044937000596</v>
      </c>
      <c r="K14" s="83">
        <f>SUMIFS('0104 4度C'!$N:$N,'0104 4度C'!$A:$A,"新豐8線",'0104 4度C'!$B:$B,"平均")</f>
        <v>124.34244823488265</v>
      </c>
      <c r="L14" s="84">
        <f>SUMIFS('0104 4度C'!$N:$N,'0104 4度C'!$A:$A,"新豐9線",'0104 4度C'!$B:$B,"平均")</f>
        <v>131.77712180711325</v>
      </c>
      <c r="M14" s="82">
        <f>SUMIFS('0104 4度C'!$N:$N,'0104 4度C'!$A:$A,"新豐4線",'0104 4度C'!$B:$B,"平均")</f>
        <v>141.93287161744018</v>
      </c>
    </row>
    <row r="15" spans="2:17" ht="40.15" customHeight="1">
      <c r="B15" s="448"/>
      <c r="C15" s="85" t="s">
        <v>186</v>
      </c>
      <c r="D15" s="86">
        <f t="shared" ref="D15:M15" si="0">D14/D13</f>
        <v>0.95773794002607626</v>
      </c>
      <c r="E15" s="87">
        <f t="shared" si="0"/>
        <v>0.95411948879970421</v>
      </c>
      <c r="F15" s="87">
        <f t="shared" si="0"/>
        <v>0.95876335825673042</v>
      </c>
      <c r="G15" s="87">
        <f t="shared" si="0"/>
        <v>0.96180632100130203</v>
      </c>
      <c r="H15" s="87">
        <f t="shared" si="0"/>
        <v>0.95572234650478805</v>
      </c>
      <c r="I15" s="87">
        <f t="shared" si="0"/>
        <v>0.91803426935884314</v>
      </c>
      <c r="J15" s="88">
        <f t="shared" si="0"/>
        <v>0.95824637361941423</v>
      </c>
      <c r="K15" s="86">
        <f t="shared" si="0"/>
        <v>0.95477237037499174</v>
      </c>
      <c r="L15" s="87">
        <f t="shared" si="0"/>
        <v>0.96087484651020083</v>
      </c>
      <c r="M15" s="88">
        <f t="shared" si="0"/>
        <v>0.95607559353414584</v>
      </c>
    </row>
    <row r="16" spans="2:17" ht="17.25" customHeight="1">
      <c r="B16" s="449" t="s">
        <v>446</v>
      </c>
      <c r="C16" s="89" t="s">
        <v>236</v>
      </c>
      <c r="D16" s="90">
        <f>VLOOKUP("新豐6線",'0104 4度C'!$A:$T,19,0)</f>
        <v>0.70833333333333337</v>
      </c>
      <c r="E16" s="91">
        <f>VLOOKUP("新豐2線",'0104 4度C'!$A:$T,19,0)</f>
        <v>0.16666666666666666</v>
      </c>
      <c r="F16" s="91">
        <f>VLOOKUP("新豐5線",'0104 4度C'!$A:$T,19,0)</f>
        <v>0.20833333333333334</v>
      </c>
      <c r="G16" s="91">
        <f>VLOOKUP("新豐7線",'0104 4度C'!$A:$T,19,0)</f>
        <v>0.20833333333333334</v>
      </c>
      <c r="H16" s="91">
        <f>VLOOKUP("新豐3線",'0104 4度C'!$A:$T,19,0)</f>
        <v>8.3333333333333329E-2</v>
      </c>
      <c r="I16" s="91">
        <f>VLOOKUP("新豐1線",'0104 4度C'!$A:$T,19,0)</f>
        <v>0.20833333333333334</v>
      </c>
      <c r="J16" s="92">
        <f>VLOOKUP("新豐10線",'0104 4度C'!$A:$T,19,0)</f>
        <v>0.20833333333333334</v>
      </c>
      <c r="K16" s="93">
        <f>VLOOKUP("新豐8線",'0104 4度C'!$A:$T,19,0)</f>
        <v>8.3333333333333329E-2</v>
      </c>
      <c r="L16" s="94">
        <f>VLOOKUP("新豐9線",'0104 4度C'!$A:$T,19,0)</f>
        <v>8.3333333333333329E-2</v>
      </c>
      <c r="M16" s="95">
        <f>VLOOKUP("新豐4線",'0104 4度C'!$A:$T,19,0)</f>
        <v>8.3333333333333329E-2</v>
      </c>
    </row>
    <row r="17" spans="2:13" ht="17.25" customHeight="1">
      <c r="B17" s="450"/>
      <c r="C17" s="89" t="s">
        <v>447</v>
      </c>
      <c r="D17" s="93">
        <f>LOOKUP(2,1/(('0104 4度C'!$A:$A="新豐6線")*('0104 4度C'!$T:$T&lt;&gt;"")),'0104 4度C'!$T:$T)</f>
        <v>0.83055555555555549</v>
      </c>
      <c r="E17" s="91">
        <f>LOOKUP(2,1/(('0104 4度C'!$A:$A="新豐2線")*('0104 4度C'!$T:$T&lt;&gt;"")),'0104 4度C'!$T:$T)</f>
        <v>0.45555555555555549</v>
      </c>
      <c r="F17" s="91">
        <f>LOOKUP(2,1/(('0104 4度C'!$A:$A="新豐5線")*('0104 4度C'!$T:$T&lt;&gt;"")),'0104 4度C'!$T:$T)</f>
        <v>0.98472222222222217</v>
      </c>
      <c r="G17" s="91">
        <f>LOOKUP(2,1/(('0104 4度C'!$A:$A="新豐7線")*('0104 4度C'!$T:$T&lt;&gt;"")),'0104 4度C'!$T:$T)</f>
        <v>0.91736111111111107</v>
      </c>
      <c r="H17" s="91">
        <f>LOOKUP(2,1/(('0104 4度C'!$A:$A="新豐3線")*('0104 4度C'!$T:$T&lt;&gt;"")),'0104 4度C'!$T:$T)</f>
        <v>0.5215277777777777</v>
      </c>
      <c r="I17" s="91">
        <f>LOOKUP(2,1/(('0104 4度C'!$A:$A="新豐1線")*('0104 4度C'!$T:$T&lt;&gt;"")),'0104 4度C'!$T:$T)</f>
        <v>0.87013888888888891</v>
      </c>
      <c r="J17" s="92">
        <f>LOOKUP(2,1/(('0104 4度C'!$A:$A="新豐10線")*('0104 4度C'!$T:$T&lt;&gt;"")),'0104 4度C'!$T:$T)</f>
        <v>0.46944444444444439</v>
      </c>
      <c r="K17" s="90">
        <f>LOOKUP(2,1/(('0104 4度C'!$A:$A="新豐8線")*('0104 4度C'!$T:$T&lt;&gt;"")),'0104 4度C'!$T:$T)</f>
        <v>0.6875</v>
      </c>
      <c r="L17" s="91">
        <f>LOOKUP(2,1/(('0104 4度C'!$A:$A="新豐9線")*('0104 4度C'!$T:$T&lt;&gt;"")),'0104 4度C'!$T:$T)</f>
        <v>0.59236111111111101</v>
      </c>
      <c r="M17" s="92">
        <f>LOOKUP(2,1/(('0104 4度C'!$A:$A="新豐4線")*('0104 4度C'!$T:$T&lt;&gt;"")),'0104 4度C'!$T:$T)</f>
        <v>0.66180555555555554</v>
      </c>
    </row>
    <row r="18" spans="2:13" ht="17.25" customHeight="1">
      <c r="B18" s="428" t="s">
        <v>190</v>
      </c>
      <c r="C18" s="96" t="s">
        <v>448</v>
      </c>
      <c r="D18" s="97">
        <f>SUMIFS('0104 4度C'!$Y:$Y,'0104 4度C'!$A:$A,"新豐6線",'0104 4度C'!$B:$B,"平均")</f>
        <v>0</v>
      </c>
      <c r="E18" s="98">
        <f>SUMIFS('0104 4度C'!$Y:$Y,'0104 4度C'!$A:$A,"新豐2線",'0104 4度C'!$B:$B,"平均")</f>
        <v>0</v>
      </c>
      <c r="F18" s="98">
        <f>SUMIFS('0104 4度C'!$Y:$Y,'0104 4度C'!$A:$A,"新豐5線",'0104 4度C'!$B:$B,"平均")</f>
        <v>0</v>
      </c>
      <c r="G18" s="98">
        <f>SUMIFS('0104 4度C'!$Y:$Y,'0104 4度C'!$A:$A,"新豐7線",'0104 4度C'!$B:$B,"平均")</f>
        <v>0</v>
      </c>
      <c r="H18" s="98">
        <f>SUMIFS('0104 4度C'!$Y:$Y,'0104 4度C'!$A:$A,"新豐3線",'0104 4度C'!$B:$B,"平均")</f>
        <v>0</v>
      </c>
      <c r="I18" s="98">
        <f>SUMIFS('0104 4度C'!$Y:$Y,'0104 4度C'!$A:$A,"新豐1線",'0104 4度C'!$B:$B,"平均")</f>
        <v>0</v>
      </c>
      <c r="J18" s="99">
        <f>SUMIFS('0104 4度C'!$Y:$Y,'0104 4度C'!$A:$A,"新豐10線",'0104 4度C'!$B:$B,"平均")</f>
        <v>0</v>
      </c>
      <c r="K18" s="100">
        <f>SUMIFS('0104 4度C'!$Y:$Y,'0104 4度C'!$A:$A,"新豐8線",'0104 4度C'!$B:$B,"平均")</f>
        <v>0</v>
      </c>
      <c r="L18" s="98">
        <f>SUMIFS('0104 4度C'!$Y:$Y,'0104 4度C'!$A:$A,"新豐9線",'0104 4度C'!$B:$B,"平均")</f>
        <v>0</v>
      </c>
      <c r="M18" s="99">
        <f>SUMIFS('0104 4度C'!$Y:$Y,'0104 4度C'!$A:$A,"新豐4線",'0104 4度C'!$B:$B,"平均")</f>
        <v>0</v>
      </c>
    </row>
    <row r="19" spans="2:13" ht="17.25" customHeight="1">
      <c r="B19" s="429"/>
      <c r="C19" s="96" t="s">
        <v>449</v>
      </c>
      <c r="D19" s="97">
        <f>SUMIFS('0104 4度C'!$Z:$Z,'0104 4度C'!$A:$A,"新豐6線",'0104 4度C'!$B:$B,"平均")</f>
        <v>0</v>
      </c>
      <c r="E19" s="98">
        <f>SUMIFS('0104 4度C'!$Z:$Z,'0104 4度C'!$A:$A,"新豐2線",'0104 4度C'!$B:$B,"平均")</f>
        <v>0</v>
      </c>
      <c r="F19" s="98">
        <f>SUMIFS('0104 4度C'!$Z:$Z,'0104 4度C'!$A:$A,"新豐5線",'0104 4度C'!$B:$B,"平均")</f>
        <v>0</v>
      </c>
      <c r="G19" s="98">
        <f>SUMIFS('0104 4度C'!$Z:$Z,'0104 4度C'!$A:$A,"新豐7線",'0104 4度C'!$B:$B,"平均")</f>
        <v>0</v>
      </c>
      <c r="H19" s="98">
        <f>SUMIFS('0104 4度C'!$Z:$Z,'0104 4度C'!$A:$A,"新豐3線",'0104 4度C'!$B:$B,"平均")</f>
        <v>0</v>
      </c>
      <c r="I19" s="98">
        <f>SUMIFS('0104 4度C'!$Z:$Z,'0104 4度C'!$A:$A,"新豐1線",'0104 4度C'!$B:$B,"平均")</f>
        <v>0</v>
      </c>
      <c r="J19" s="99">
        <f>SUMIFS('0104 4度C'!$Z:$Z,'0104 4度C'!$A:$A,"新豐10線",'0104 4度C'!$B:$B,"平均")</f>
        <v>0</v>
      </c>
      <c r="K19" s="100">
        <f>SUMIFS('0104 4度C'!$Z:$Z,'0104 4度C'!$A:$A,"新豐8線",'0104 4度C'!$B:$B,"平均")</f>
        <v>0</v>
      </c>
      <c r="L19" s="98">
        <f>SUMIFS('0104 4度C'!$Z:$Z,'0104 4度C'!$A:$A,"新豐9線",'0104 4度C'!$B:$B,"平均")</f>
        <v>0</v>
      </c>
      <c r="M19" s="99">
        <f>SUMIFS('0104 4度C'!$Z:$Z,'0104 4度C'!$A:$A,"新豐4線",'0104 4度C'!$B:$B,"平均")</f>
        <v>0</v>
      </c>
    </row>
    <row r="20" spans="2:13" ht="17.25" customHeight="1">
      <c r="B20" s="428" t="s">
        <v>450</v>
      </c>
      <c r="C20" s="96" t="s">
        <v>448</v>
      </c>
      <c r="D20" s="97">
        <f>SUMIFS('0104 4度C'!$AC:$AC,'0104 4度C'!$A:$A,"新豐6線",'0104 4度C'!$B:$B,"平均")</f>
        <v>1</v>
      </c>
      <c r="E20" s="98">
        <f>SUMIFS('0104 4度C'!$AC:$AC,'0104 4度C'!$A:$A,"新豐2線",'0104 4度C'!$B:$B,"平均")</f>
        <v>3</v>
      </c>
      <c r="F20" s="98">
        <f>SUMIFS('0104 4度C'!$AC:$AC,'0104 4度C'!$A:$A,"新豐5線",'0104 4度C'!$B:$B,"平均")</f>
        <v>4</v>
      </c>
      <c r="G20" s="98">
        <f>SUMIFS('0104 4度C'!$AC:$AC,'0104 4度C'!$A:$A,"新豐7線",'0104 4度C'!$B:$B,"平均")</f>
        <v>4</v>
      </c>
      <c r="H20" s="98">
        <f>SUMIFS('0104 4度C'!$AC:$AC,'0104 4度C'!$A:$A,"新豐3線",'0104 4度C'!$B:$B,"平均")</f>
        <v>3</v>
      </c>
      <c r="I20" s="98">
        <f>SUMIFS('0104 4度C'!$AC:$AC,'0104 4度C'!$A:$A,"新豐1線",'0104 4度C'!$B:$B,"平均")</f>
        <v>4</v>
      </c>
      <c r="J20" s="99">
        <f>SUMIFS('0104 4度C'!$AC:$AC,'0104 4度C'!$A:$A,"新豐10線",'0104 4度C'!$B:$B,"平均")</f>
        <v>0</v>
      </c>
      <c r="K20" s="100">
        <f>SUMIFS('0104 4度C'!$AC:$AC,'0104 4度C'!$A:$A,"新豐8線",'0104 4度C'!$B:$B,"平均")</f>
        <v>9</v>
      </c>
      <c r="L20" s="98">
        <f>SUMIFS('0104 4度C'!$AC:$AC,'0104 4度C'!$A:$A,"新豐9線",'0104 4度C'!$B:$B,"平均")</f>
        <v>7</v>
      </c>
      <c r="M20" s="99">
        <f>SUMIFS('0104 4度C'!$AC:$AC,'0104 4度C'!$A:$A,"新豐4線",'0104 4度C'!$B:$B,"平均")</f>
        <v>9</v>
      </c>
    </row>
    <row r="21" spans="2:13" ht="17.25" customHeight="1">
      <c r="B21" s="429"/>
      <c r="C21" s="96" t="s">
        <v>451</v>
      </c>
      <c r="D21" s="97">
        <f>SUMIFS('0104 4度C'!$AD:$AD,'0104 4度C'!$A:$A,"新豐6線",'0104 4度C'!$B:$B,"平均")</f>
        <v>0</v>
      </c>
      <c r="E21" s="98">
        <f>SUMIFS('0104 4度C'!$AD:$AD,'0104 4度C'!$A:$A,"新豐2線",'0104 4度C'!$B:$B,"平均")</f>
        <v>0</v>
      </c>
      <c r="F21" s="98">
        <f>SUMIFS('0104 4度C'!$AD:$AD,'0104 4度C'!$A:$A,"新豐5線",'0104 4度C'!$B:$B,"平均")</f>
        <v>0</v>
      </c>
      <c r="G21" s="98">
        <f>SUMIFS('0104 4度C'!$AD:$AD,'0104 4度C'!$A:$A,"新豐7線",'0104 4度C'!$B:$B,"平均")</f>
        <v>0</v>
      </c>
      <c r="H21" s="98">
        <f>SUMIFS('0104 4度C'!$AD:$AD,'0104 4度C'!$A:$A,"新豐3線",'0104 4度C'!$B:$B,"平均")</f>
        <v>0</v>
      </c>
      <c r="I21" s="98">
        <f>SUMIFS('0104 4度C'!$AD:$AD,'0104 4度C'!$A:$A,"新豐1線",'0104 4度C'!$B:$B,"平均")</f>
        <v>0</v>
      </c>
      <c r="J21" s="99">
        <f>SUMIFS('0104 4度C'!$AD:$AD,'0104 4度C'!$A:$A,"新豐10線",'0104 4度C'!$B:$B,"平均")</f>
        <v>0</v>
      </c>
      <c r="K21" s="100">
        <f>SUMIFS('0104 4度C'!$AD:$AD,'0104 4度C'!$A:$A,"新豐8線",'0104 4度C'!$B:$B,"平均")</f>
        <v>0</v>
      </c>
      <c r="L21" s="98">
        <f>SUMIFS('0104 4度C'!$AD:$AD,'0104 4度C'!$A:$A,"新豐9線",'0104 4度C'!$B:$B,"平均")</f>
        <v>0</v>
      </c>
      <c r="M21" s="99">
        <f>SUMIFS('0104 4度C'!$AD:$AD,'0104 4度C'!$A:$A,"新豐4線",'0104 4度C'!$B:$B,"平均")</f>
        <v>0</v>
      </c>
    </row>
    <row r="22" spans="2:13" ht="17.25" customHeight="1">
      <c r="B22" s="430" t="s">
        <v>452</v>
      </c>
      <c r="C22" s="431"/>
      <c r="D22" s="101">
        <f>SUMIFS('0104 4度C'!$I:$I,'0104 4度C'!$A:$A,"新豐6線",'0104 4度C'!$B:$B,"平均")</f>
        <v>17.333333333333332</v>
      </c>
      <c r="E22" s="102">
        <f>SUMIFS('0104 4度C'!$I:$I,'0104 4度C'!$A:$A,"新豐2線",'0104 4度C'!$B:$B,"平均")</f>
        <v>18</v>
      </c>
      <c r="F22" s="102">
        <f>SUMIFS('0104 4度C'!$I:$I,'0104 4度C'!$A:$A,"新豐5線",'0104 4度C'!$B:$B,"平均")</f>
        <v>16.666666666666668</v>
      </c>
      <c r="G22" s="102">
        <f>SUMIFS('0104 4度C'!$I:$I,'0104 4度C'!$A:$A,"新豐7線",'0104 4度C'!$B:$B,"平均")</f>
        <v>16</v>
      </c>
      <c r="H22" s="102">
        <f>SUMIFS('0104 4度C'!$I:$I,'0104 4度C'!$A:$A,"新豐3線",'0104 4度C'!$B:$B,"平均")</f>
        <v>11.333333333333334</v>
      </c>
      <c r="I22" s="102">
        <f>SUMIFS('0104 4度C'!$I:$I,'0104 4度C'!$A:$A,"新豐1線",'0104 4度C'!$B:$B,"平均")</f>
        <v>18</v>
      </c>
      <c r="J22" s="103">
        <f>SUMIFS('0104 4度C'!$I:$I,'0104 4度C'!$A:$A,"新豐10線",'0104 4度C'!$B:$B,"平均")</f>
        <v>9.3333333333333339</v>
      </c>
      <c r="K22" s="101">
        <f>SUMIFS('0104 4度C'!$I:$I,'0104 4度C'!$A:$A,"新豐8線",'0104 4度C'!$B:$B,"平均")</f>
        <v>18.428571428571427</v>
      </c>
      <c r="L22" s="102">
        <f>SUMIFS('0104 4度C'!$I:$I,'0104 4度C'!$A:$A,"新豐9線",'0104 4度C'!$B:$B,"平均")</f>
        <v>17.5</v>
      </c>
      <c r="M22" s="103">
        <f>SUMIFS('0104 4度C'!$I:$I,'0104 4度C'!$A:$A,"新豐4線",'0104 4度C'!$B:$B,"平均")</f>
        <v>16.166666666666668</v>
      </c>
    </row>
    <row r="23" spans="2:13" ht="17.25" customHeight="1">
      <c r="B23" s="430" t="s">
        <v>453</v>
      </c>
      <c r="C23" s="431"/>
      <c r="D23" s="104" t="s">
        <v>157</v>
      </c>
      <c r="E23" s="105" t="s">
        <v>158</v>
      </c>
      <c r="F23" s="105" t="s">
        <v>454</v>
      </c>
      <c r="G23" s="105" t="s">
        <v>454</v>
      </c>
      <c r="H23" s="105" t="s">
        <v>159</v>
      </c>
      <c r="I23" s="105" t="s">
        <v>157</v>
      </c>
      <c r="J23" s="106" t="s">
        <v>159</v>
      </c>
      <c r="K23" s="104" t="s">
        <v>199</v>
      </c>
      <c r="L23" s="105" t="s">
        <v>455</v>
      </c>
      <c r="M23" s="106" t="s">
        <v>455</v>
      </c>
    </row>
    <row r="24" spans="2:13" ht="17.25" customHeight="1">
      <c r="B24" s="430" t="s">
        <v>456</v>
      </c>
      <c r="C24" s="431"/>
      <c r="D24" s="104"/>
      <c r="E24" s="105"/>
      <c r="F24" s="105" t="s">
        <v>201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457</v>
      </c>
      <c r="C25" s="433"/>
      <c r="D25" s="107"/>
      <c r="E25" s="108" t="s">
        <v>458</v>
      </c>
      <c r="F25" s="426" t="s">
        <v>459</v>
      </c>
      <c r="G25" s="427"/>
      <c r="H25" s="108" t="s">
        <v>460</v>
      </c>
      <c r="I25" s="108" t="s">
        <v>461</v>
      </c>
      <c r="J25" s="109" t="s">
        <v>460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3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" activePane="bottomLeft" state="frozen"/>
      <selection activeCell="A11" sqref="A11"/>
      <selection pane="bottomLeft" activeCell="A9" sqref="A9:A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bestFit="1" customWidth="1"/>
    <col min="6" max="6" width="14.375" style="9" bestFit="1" customWidth="1"/>
    <col min="7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462</v>
      </c>
      <c r="B1" s="1"/>
      <c r="C1" s="2" t="s">
        <v>463</v>
      </c>
      <c r="D1" s="3">
        <f>SUM(F5:F76)</f>
        <v>177204</v>
      </c>
      <c r="E1" s="140" t="s">
        <v>464</v>
      </c>
      <c r="F1" s="1">
        <f>SUM(G5:G76)</f>
        <v>6044481.5600000005</v>
      </c>
      <c r="G1" s="1" t="s">
        <v>465</v>
      </c>
      <c r="H1" s="5">
        <f>L8+L11+L55+L62+L21+L69+L39+L48+L31+L76</f>
        <v>158.76190476190473</v>
      </c>
      <c r="I1" s="542" t="s">
        <v>466</v>
      </c>
      <c r="J1" s="542"/>
      <c r="K1" s="542"/>
      <c r="L1" s="542" t="s">
        <v>261</v>
      </c>
      <c r="M1" s="542"/>
      <c r="N1" s="542"/>
      <c r="O1" s="542" t="s">
        <v>467</v>
      </c>
      <c r="P1" s="542"/>
      <c r="Q1" s="542"/>
      <c r="R1" s="542"/>
      <c r="S1" s="542" t="s">
        <v>468</v>
      </c>
      <c r="T1" s="542"/>
      <c r="U1" s="542"/>
      <c r="V1" s="542"/>
      <c r="W1" s="542"/>
      <c r="X1" s="542"/>
      <c r="Y1" s="6" t="s">
        <v>469</v>
      </c>
      <c r="Z1" s="7" t="s">
        <v>9</v>
      </c>
      <c r="AA1" s="543" t="s">
        <v>470</v>
      </c>
      <c r="AB1" s="543"/>
      <c r="AC1" s="8" t="s">
        <v>469</v>
      </c>
      <c r="AD1" s="7" t="s">
        <v>471</v>
      </c>
      <c r="AE1" s="542" t="s">
        <v>472</v>
      </c>
      <c r="AF1" s="544"/>
      <c r="AG1" s="544"/>
    </row>
    <row r="2" spans="1:33" ht="26.25" customHeight="1">
      <c r="A2" s="49">
        <v>46026</v>
      </c>
      <c r="B2" s="50" t="s">
        <v>473</v>
      </c>
      <c r="C2" s="2" t="s">
        <v>474</v>
      </c>
      <c r="D2" s="10">
        <f>AVERAGE(N8,N11,N55,N62,N21,N69,N31,N39,N48,N76)</f>
        <v>141.29616699111784</v>
      </c>
      <c r="E2" s="11" t="s">
        <v>14</v>
      </c>
      <c r="F2" s="12">
        <f>F1/D1</f>
        <v>34.110299767499605</v>
      </c>
      <c r="G2" s="1" t="s">
        <v>475</v>
      </c>
      <c r="H2" s="153">
        <f>COUNT(H5:H76)</f>
        <v>7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SUM(Y8+Y11+Y21+Y31+Y39+Y48+Y55+Y62+Y69+Y76)</f>
        <v>0</v>
      </c>
      <c r="Z2" s="14">
        <f>SUM(Z8+Z11+Z21+Z31+Z39+Z48+Z55+Z62+Z69+Z76)</f>
        <v>0</v>
      </c>
      <c r="AA2" s="543"/>
      <c r="AB2" s="543"/>
      <c r="AC2" s="14">
        <f>SUM(AC8+AC11+AC21+AC31+AC39+AC48+AC55+AC62+AC69+AC76)</f>
        <v>44</v>
      </c>
      <c r="AD2" s="14">
        <f>SUM(AD8+AD11+AD21+AD31+AD39+AD48+AD55+AD62+AD69+AD76)</f>
        <v>0</v>
      </c>
      <c r="AE2" s="544"/>
      <c r="AF2" s="544"/>
      <c r="AG2" s="544"/>
    </row>
    <row r="3" spans="1:33" ht="40.5" customHeight="1">
      <c r="A3" s="491" t="s">
        <v>476</v>
      </c>
      <c r="B3" s="491" t="s">
        <v>477</v>
      </c>
      <c r="C3" s="491" t="s">
        <v>478</v>
      </c>
      <c r="D3" s="491"/>
      <c r="E3" s="540" t="s">
        <v>479</v>
      </c>
      <c r="F3" s="491" t="s">
        <v>480</v>
      </c>
      <c r="G3" s="540" t="s">
        <v>481</v>
      </c>
      <c r="H3" s="533" t="s">
        <v>482</v>
      </c>
      <c r="I3" s="531" t="s">
        <v>483</v>
      </c>
      <c r="J3" s="528" t="s">
        <v>484</v>
      </c>
      <c r="K3" s="538" t="s">
        <v>485</v>
      </c>
      <c r="L3" s="531" t="s">
        <v>486</v>
      </c>
      <c r="M3" s="528" t="s">
        <v>484</v>
      </c>
      <c r="N3" s="538" t="s">
        <v>485</v>
      </c>
      <c r="O3" s="531" t="s">
        <v>486</v>
      </c>
      <c r="P3" s="538" t="s">
        <v>485</v>
      </c>
      <c r="Q3" s="529" t="s">
        <v>487</v>
      </c>
      <c r="R3" s="507" t="s">
        <v>488</v>
      </c>
      <c r="S3" s="539" t="s">
        <v>27</v>
      </c>
      <c r="T3" s="539"/>
      <c r="U3" s="533" t="s">
        <v>28</v>
      </c>
      <c r="V3" s="533" t="s">
        <v>489</v>
      </c>
      <c r="W3" s="491" t="s">
        <v>490</v>
      </c>
      <c r="X3" s="491"/>
      <c r="Y3" s="534" t="s">
        <v>491</v>
      </c>
      <c r="Z3" s="495"/>
      <c r="AA3" s="535" t="s">
        <v>492</v>
      </c>
      <c r="AB3" s="536"/>
      <c r="AC3" s="534" t="s">
        <v>493</v>
      </c>
      <c r="AD3" s="495"/>
      <c r="AE3" s="528" t="s">
        <v>494</v>
      </c>
      <c r="AF3" s="529" t="s">
        <v>495</v>
      </c>
      <c r="AG3" s="507" t="s">
        <v>496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52" t="s">
        <v>37</v>
      </c>
      <c r="T4" s="152" t="s">
        <v>38</v>
      </c>
      <c r="U4" s="533"/>
      <c r="V4" s="533"/>
      <c r="W4" s="140" t="s">
        <v>497</v>
      </c>
      <c r="X4" s="140" t="s">
        <v>498</v>
      </c>
      <c r="Y4" s="142" t="s">
        <v>499</v>
      </c>
      <c r="Z4" s="142" t="s">
        <v>500</v>
      </c>
      <c r="AA4" s="537"/>
      <c r="AB4" s="536"/>
      <c r="AC4" s="142" t="s">
        <v>501</v>
      </c>
      <c r="AD4" s="142" t="s">
        <v>502</v>
      </c>
      <c r="AE4" s="528"/>
      <c r="AF4" s="529"/>
      <c r="AG4" s="507"/>
    </row>
    <row r="5" spans="1:33">
      <c r="A5" s="530" t="s">
        <v>503</v>
      </c>
      <c r="B5" s="42" t="s">
        <v>103</v>
      </c>
      <c r="C5" s="532" t="s">
        <v>120</v>
      </c>
      <c r="D5" s="532"/>
      <c r="E5" s="42">
        <v>50.67</v>
      </c>
      <c r="F5" s="152">
        <v>1663</v>
      </c>
      <c r="G5" s="140">
        <f t="shared" ref="G5:G7" si="0">E5*F5</f>
        <v>84264.21</v>
      </c>
      <c r="H5" s="125" t="s">
        <v>79</v>
      </c>
      <c r="I5" s="150">
        <v>17</v>
      </c>
      <c r="J5" s="37">
        <v>2000</v>
      </c>
      <c r="K5" s="17">
        <f t="shared" ref="K5:K68" si="1">J5/I5</f>
        <v>117.64705882352941</v>
      </c>
      <c r="L5" s="150">
        <v>17</v>
      </c>
      <c r="M5" s="18">
        <f t="shared" ref="M5:M7" si="2">F5/V5*60</f>
        <v>1918.8461538461549</v>
      </c>
      <c r="N5" s="17">
        <f t="shared" ref="N5:N68" si="3">M5/L5</f>
        <v>112.87330316742089</v>
      </c>
      <c r="O5" s="19">
        <f t="shared" ref="O5:O68" si="4">L5-I5</f>
        <v>0</v>
      </c>
      <c r="P5" s="20">
        <f t="shared" ref="P5:P68" si="5">N5-K5</f>
        <v>-4.7737556561085199</v>
      </c>
      <c r="Q5" s="143">
        <f t="shared" ref="Q5:Q68" si="6">N5/K5</f>
        <v>0.9594230769230776</v>
      </c>
      <c r="R5" s="489">
        <f>Q8</f>
        <v>0.95773794002607626</v>
      </c>
      <c r="S5" s="40">
        <v>0.70833333333333337</v>
      </c>
      <c r="T5" s="40">
        <v>0.74444444444444446</v>
      </c>
      <c r="U5" s="140"/>
      <c r="V5" s="151">
        <f t="shared" ref="V5:V7" si="7">(T5-S5)*24*60</f>
        <v>51.999999999999972</v>
      </c>
      <c r="W5" s="23"/>
      <c r="X5" s="24"/>
      <c r="Y5" s="24"/>
      <c r="Z5" s="24"/>
      <c r="AA5" s="491"/>
      <c r="AB5" s="491"/>
      <c r="AC5" s="154">
        <v>1</v>
      </c>
      <c r="AD5" s="25"/>
      <c r="AE5" s="19">
        <f t="shared" ref="AE5:AE68" si="8">M5-J5</f>
        <v>-81.153846153845052</v>
      </c>
      <c r="AF5" s="143">
        <f t="shared" ref="AF5:AF68" si="9">M5/J5</f>
        <v>0.95942307692307749</v>
      </c>
      <c r="AG5" s="489">
        <f>AF8</f>
        <v>0.95773794002607626</v>
      </c>
    </row>
    <row r="6" spans="1:33">
      <c r="A6" s="531" t="s">
        <v>297</v>
      </c>
      <c r="B6" s="42" t="s">
        <v>103</v>
      </c>
      <c r="C6" s="532" t="s">
        <v>121</v>
      </c>
      <c r="D6" s="532"/>
      <c r="E6" s="42">
        <v>54.09</v>
      </c>
      <c r="F6" s="152">
        <v>1655</v>
      </c>
      <c r="G6" s="140">
        <f t="shared" si="0"/>
        <v>89518.950000000012</v>
      </c>
      <c r="H6" s="125" t="s">
        <v>79</v>
      </c>
      <c r="I6" s="150">
        <v>19</v>
      </c>
      <c r="J6" s="37">
        <v>2000</v>
      </c>
      <c r="K6" s="17">
        <f t="shared" si="1"/>
        <v>105.26315789473684</v>
      </c>
      <c r="L6" s="150">
        <v>19</v>
      </c>
      <c r="M6" s="18">
        <f t="shared" si="2"/>
        <v>1909.6153846153857</v>
      </c>
      <c r="N6" s="17">
        <f t="shared" si="3"/>
        <v>100.50607287449398</v>
      </c>
      <c r="O6" s="19">
        <f t="shared" si="4"/>
        <v>0</v>
      </c>
      <c r="P6" s="20">
        <f t="shared" si="5"/>
        <v>-4.7570850202428545</v>
      </c>
      <c r="Q6" s="143">
        <f t="shared" si="6"/>
        <v>0.95480769230769291</v>
      </c>
      <c r="R6" s="489"/>
      <c r="S6" s="40">
        <v>0.74930555555555556</v>
      </c>
      <c r="T6" s="40">
        <v>0.78541666666666665</v>
      </c>
      <c r="U6" s="140">
        <f t="shared" ref="U6:U7" si="10">IF(S6=TIME(17,0,0),"",(S6-T5)*24*60)</f>
        <v>6.9999999999999751</v>
      </c>
      <c r="V6" s="151">
        <f t="shared" si="7"/>
        <v>51.999999999999972</v>
      </c>
      <c r="W6" s="23"/>
      <c r="X6" s="23"/>
      <c r="Y6" s="23"/>
      <c r="Z6" s="23"/>
      <c r="AA6" s="491"/>
      <c r="AB6" s="491"/>
      <c r="AC6" s="154"/>
      <c r="AD6" s="25"/>
      <c r="AE6" s="19">
        <f t="shared" si="8"/>
        <v>-90.384615384614335</v>
      </c>
      <c r="AF6" s="143">
        <f t="shared" si="9"/>
        <v>0.9548076923076928</v>
      </c>
      <c r="AG6" s="489"/>
    </row>
    <row r="7" spans="1:33">
      <c r="A7" s="531" t="s">
        <v>297</v>
      </c>
      <c r="B7" s="42" t="s">
        <v>103</v>
      </c>
      <c r="C7" s="523" t="s">
        <v>122</v>
      </c>
      <c r="D7" s="524"/>
      <c r="E7" s="42">
        <v>50.29</v>
      </c>
      <c r="F7" s="152">
        <v>1886</v>
      </c>
      <c r="G7" s="140">
        <f t="shared" si="0"/>
        <v>94846.94</v>
      </c>
      <c r="H7" s="125" t="s">
        <v>79</v>
      </c>
      <c r="I7" s="150">
        <v>16</v>
      </c>
      <c r="J7" s="37">
        <v>2000</v>
      </c>
      <c r="K7" s="17">
        <f t="shared" si="1"/>
        <v>125</v>
      </c>
      <c r="L7" s="150">
        <v>16</v>
      </c>
      <c r="M7" s="18">
        <f t="shared" si="2"/>
        <v>1917.9661016949169</v>
      </c>
      <c r="N7" s="17">
        <f t="shared" si="3"/>
        <v>119.87288135593231</v>
      </c>
      <c r="O7" s="19">
        <f t="shared" si="4"/>
        <v>0</v>
      </c>
      <c r="P7" s="20">
        <f t="shared" si="5"/>
        <v>-5.1271186440676928</v>
      </c>
      <c r="Q7" s="143">
        <f t="shared" si="6"/>
        <v>0.9589830508474585</v>
      </c>
      <c r="R7" s="489"/>
      <c r="S7" s="40">
        <v>0.7895833333333333</v>
      </c>
      <c r="T7" s="40">
        <v>0.83055555555555549</v>
      </c>
      <c r="U7" s="140">
        <f t="shared" si="10"/>
        <v>5.9999999999999787</v>
      </c>
      <c r="V7" s="151">
        <f t="shared" si="7"/>
        <v>58.99999999999995</v>
      </c>
      <c r="W7" s="23"/>
      <c r="X7" s="23"/>
      <c r="Y7" s="26"/>
      <c r="Z7" s="26"/>
      <c r="AA7" s="503"/>
      <c r="AB7" s="504"/>
      <c r="AC7" s="155"/>
      <c r="AD7" s="27"/>
      <c r="AE7" s="19">
        <f t="shared" si="8"/>
        <v>-82.033898305083085</v>
      </c>
      <c r="AF7" s="143">
        <f t="shared" si="9"/>
        <v>0.9589830508474585</v>
      </c>
      <c r="AG7" s="489"/>
    </row>
    <row r="8" spans="1:33">
      <c r="A8" s="531" t="s">
        <v>297</v>
      </c>
      <c r="B8" s="42" t="s">
        <v>49</v>
      </c>
      <c r="C8" s="494"/>
      <c r="D8" s="494"/>
      <c r="E8" s="147"/>
      <c r="F8" s="44"/>
      <c r="G8" s="17"/>
      <c r="H8" s="152"/>
      <c r="I8" s="30">
        <v>17.333333333333332</v>
      </c>
      <c r="J8" s="37">
        <v>2000</v>
      </c>
      <c r="K8" s="17">
        <f t="shared" si="1"/>
        <v>115.38461538461539</v>
      </c>
      <c r="L8" s="30">
        <v>17.333333333333332</v>
      </c>
      <c r="M8" s="18">
        <f>AVERAGE(M5:M7)</f>
        <v>1915.4758800521524</v>
      </c>
      <c r="N8" s="17">
        <f t="shared" si="3"/>
        <v>110.50822384916265</v>
      </c>
      <c r="O8" s="19">
        <f t="shared" si="4"/>
        <v>0</v>
      </c>
      <c r="P8" s="20">
        <f t="shared" si="5"/>
        <v>-4.8763915354527398</v>
      </c>
      <c r="Q8" s="143">
        <f t="shared" si="6"/>
        <v>0.95773794002607626</v>
      </c>
      <c r="R8" s="489"/>
      <c r="S8" s="40"/>
      <c r="T8" s="40"/>
      <c r="U8" s="140"/>
      <c r="V8" s="151"/>
      <c r="W8" s="17"/>
      <c r="X8" s="17"/>
      <c r="Y8" s="31">
        <f>SUM(Y5:Y7)</f>
        <v>0</v>
      </c>
      <c r="Z8" s="31">
        <f>SUM(Z5:Z7)</f>
        <v>0</v>
      </c>
      <c r="AA8" s="495"/>
      <c r="AB8" s="495"/>
      <c r="AC8" s="31">
        <f>SUM(AC5:AC7)</f>
        <v>1</v>
      </c>
      <c r="AD8" s="31">
        <f>SUM(AD5:AD7)</f>
        <v>0</v>
      </c>
      <c r="AE8" s="19">
        <f t="shared" si="8"/>
        <v>-84.524119947847566</v>
      </c>
      <c r="AF8" s="143">
        <f t="shared" si="9"/>
        <v>0.95773794002607626</v>
      </c>
      <c r="AG8" s="489"/>
    </row>
    <row r="9" spans="1:33" ht="15.75" customHeight="1">
      <c r="A9" s="527" t="s">
        <v>504</v>
      </c>
      <c r="B9" s="42" t="s">
        <v>100</v>
      </c>
      <c r="C9" s="523" t="s">
        <v>124</v>
      </c>
      <c r="D9" s="524"/>
      <c r="E9" s="42">
        <v>39.619999999999997</v>
      </c>
      <c r="F9" s="152">
        <v>3502</v>
      </c>
      <c r="G9" s="140">
        <f t="shared" ref="G9:G10" si="11">E9*F9</f>
        <v>138749.24</v>
      </c>
      <c r="H9" s="125" t="s">
        <v>79</v>
      </c>
      <c r="I9" s="150">
        <v>19</v>
      </c>
      <c r="J9" s="37">
        <v>1500</v>
      </c>
      <c r="K9" s="17">
        <f t="shared" si="1"/>
        <v>78.94736842105263</v>
      </c>
      <c r="L9" s="150">
        <v>19</v>
      </c>
      <c r="M9" s="18">
        <f t="shared" ref="M9:M10" si="12">F9/V9*60</f>
        <v>1429.387755102041</v>
      </c>
      <c r="N9" s="17">
        <f t="shared" si="3"/>
        <v>75.230934479054781</v>
      </c>
      <c r="O9" s="19">
        <f t="shared" si="4"/>
        <v>0</v>
      </c>
      <c r="P9" s="20">
        <f t="shared" si="5"/>
        <v>-3.7164339419978489</v>
      </c>
      <c r="Q9" s="143">
        <f t="shared" si="6"/>
        <v>0.95292517006802724</v>
      </c>
      <c r="R9" s="489">
        <f>Q11</f>
        <v>0.95411948879970421</v>
      </c>
      <c r="S9" s="40">
        <v>0.16666666666666666</v>
      </c>
      <c r="T9" s="40">
        <v>0.26874999999999999</v>
      </c>
      <c r="U9" s="140"/>
      <c r="V9" s="151">
        <f t="shared" ref="V9:V10" si="13">(T9-S9)*24*60</f>
        <v>147</v>
      </c>
      <c r="W9" s="23">
        <f>T9</f>
        <v>0.26874999999999999</v>
      </c>
      <c r="X9" s="23">
        <f>S10</f>
        <v>0.2895833333333333</v>
      </c>
      <c r="Y9" s="23"/>
      <c r="Z9" s="23"/>
      <c r="AA9" s="491"/>
      <c r="AB9" s="491"/>
      <c r="AC9" s="154">
        <v>3</v>
      </c>
      <c r="AD9" s="25"/>
      <c r="AE9" s="19">
        <f t="shared" si="8"/>
        <v>-70.612244897959044</v>
      </c>
      <c r="AF9" s="143">
        <f t="shared" si="9"/>
        <v>0.95292517006802735</v>
      </c>
      <c r="AG9" s="489">
        <f>AF11</f>
        <v>0.9541194887997041</v>
      </c>
    </row>
    <row r="10" spans="1:33" ht="15.75" customHeight="1">
      <c r="A10" s="527" t="s">
        <v>50</v>
      </c>
      <c r="B10" s="42" t="s">
        <v>100</v>
      </c>
      <c r="C10" s="523" t="s">
        <v>125</v>
      </c>
      <c r="D10" s="524"/>
      <c r="E10" s="42">
        <v>39.799999999999997</v>
      </c>
      <c r="F10" s="152">
        <v>5708</v>
      </c>
      <c r="G10" s="140">
        <f t="shared" si="11"/>
        <v>227178.4</v>
      </c>
      <c r="H10" s="125" t="s">
        <v>79</v>
      </c>
      <c r="I10" s="150">
        <v>17</v>
      </c>
      <c r="J10" s="37">
        <v>1500</v>
      </c>
      <c r="K10" s="17">
        <f t="shared" si="1"/>
        <v>88.235294117647058</v>
      </c>
      <c r="L10" s="150">
        <v>17</v>
      </c>
      <c r="M10" s="18">
        <f t="shared" si="12"/>
        <v>1432.9707112970714</v>
      </c>
      <c r="N10" s="17">
        <f t="shared" si="3"/>
        <v>84.292394782180665</v>
      </c>
      <c r="O10" s="19">
        <f t="shared" si="4"/>
        <v>0</v>
      </c>
      <c r="P10" s="20">
        <f t="shared" si="5"/>
        <v>-3.942899335466393</v>
      </c>
      <c r="Q10" s="143">
        <f t="shared" si="6"/>
        <v>0.95531380753138084</v>
      </c>
      <c r="R10" s="489"/>
      <c r="S10" s="40">
        <v>0.2895833333333333</v>
      </c>
      <c r="T10" s="40">
        <v>0.45555555555555549</v>
      </c>
      <c r="U10" s="140">
        <f t="shared" ref="U10" si="14">IF(S10=TIME(17,0,0),"",(S10-T9)*24*60)</f>
        <v>29.999999999999972</v>
      </c>
      <c r="V10" s="151">
        <f t="shared" si="13"/>
        <v>238.99999999999994</v>
      </c>
      <c r="W10" s="23"/>
      <c r="X10" s="23"/>
      <c r="Y10" s="23"/>
      <c r="Z10" s="23"/>
      <c r="AA10" s="491"/>
      <c r="AB10" s="491"/>
      <c r="AC10" s="154"/>
      <c r="AD10" s="25"/>
      <c r="AE10" s="19">
        <f t="shared" si="8"/>
        <v>-67.029288702928625</v>
      </c>
      <c r="AF10" s="143">
        <f t="shared" si="9"/>
        <v>0.95531380753138095</v>
      </c>
      <c r="AG10" s="489"/>
    </row>
    <row r="11" spans="1:33" ht="16.5" customHeight="1">
      <c r="A11" s="527" t="s">
        <v>504</v>
      </c>
      <c r="B11" s="42" t="s">
        <v>49</v>
      </c>
      <c r="C11" s="494"/>
      <c r="D11" s="494"/>
      <c r="E11" s="147"/>
      <c r="F11" s="37"/>
      <c r="G11" s="18"/>
      <c r="H11" s="152"/>
      <c r="I11" s="30">
        <v>18</v>
      </c>
      <c r="J11" s="37">
        <v>1500</v>
      </c>
      <c r="K11" s="17">
        <f t="shared" si="1"/>
        <v>83.333333333333329</v>
      </c>
      <c r="L11" s="30">
        <v>18</v>
      </c>
      <c r="M11" s="18">
        <f>AVERAGE(M9:M10)</f>
        <v>1431.1792331995562</v>
      </c>
      <c r="N11" s="17">
        <f t="shared" si="3"/>
        <v>79.509957399975349</v>
      </c>
      <c r="O11" s="19">
        <f t="shared" si="4"/>
        <v>0</v>
      </c>
      <c r="P11" s="20">
        <f t="shared" si="5"/>
        <v>-3.8233759333579798</v>
      </c>
      <c r="Q11" s="143">
        <f t="shared" si="6"/>
        <v>0.95411948879970421</v>
      </c>
      <c r="R11" s="489"/>
      <c r="S11" s="40"/>
      <c r="T11" s="40"/>
      <c r="U11" s="17"/>
      <c r="V11" s="151"/>
      <c r="W11" s="17"/>
      <c r="X11" s="17"/>
      <c r="Y11" s="31">
        <f>SUM(Y9:Y10)</f>
        <v>0</v>
      </c>
      <c r="Z11" s="31">
        <f>SUM(Z9:Z10)</f>
        <v>0</v>
      </c>
      <c r="AA11" s="495"/>
      <c r="AB11" s="495"/>
      <c r="AC11" s="31">
        <f>SUM(AC9:AC10)</f>
        <v>3</v>
      </c>
      <c r="AD11" s="31">
        <f>SUM(AD9:AD10)</f>
        <v>0</v>
      </c>
      <c r="AE11" s="19">
        <f t="shared" si="8"/>
        <v>-68.820766800443835</v>
      </c>
      <c r="AF11" s="143">
        <f t="shared" si="9"/>
        <v>0.9541194887997041</v>
      </c>
      <c r="AG11" s="489"/>
    </row>
    <row r="12" spans="1:33" ht="16.5" customHeight="1">
      <c r="A12" s="525" t="s">
        <v>52</v>
      </c>
      <c r="B12" s="152" t="s">
        <v>126</v>
      </c>
      <c r="C12" s="515" t="s">
        <v>127</v>
      </c>
      <c r="D12" s="515"/>
      <c r="E12" s="42">
        <v>41</v>
      </c>
      <c r="F12" s="152">
        <v>2503</v>
      </c>
      <c r="G12" s="140">
        <f t="shared" ref="G12:G20" si="15">E12*F12</f>
        <v>102623</v>
      </c>
      <c r="H12" s="125" t="s">
        <v>79</v>
      </c>
      <c r="I12" s="150">
        <v>26</v>
      </c>
      <c r="J12" s="37">
        <v>1500</v>
      </c>
      <c r="K12" s="17">
        <f t="shared" si="1"/>
        <v>57.692307692307693</v>
      </c>
      <c r="L12" s="150">
        <v>26</v>
      </c>
      <c r="M12" s="18">
        <f t="shared" ref="M12:M20" si="16">F12/V12*60</f>
        <v>1430.2857142857144</v>
      </c>
      <c r="N12" s="17">
        <f t="shared" si="3"/>
        <v>55.010989010989015</v>
      </c>
      <c r="O12" s="19">
        <f t="shared" si="4"/>
        <v>0</v>
      </c>
      <c r="P12" s="20">
        <f t="shared" si="5"/>
        <v>-2.6813186813186789</v>
      </c>
      <c r="Q12" s="143">
        <f t="shared" si="6"/>
        <v>0.95352380952380955</v>
      </c>
      <c r="R12" s="489">
        <f>Q21</f>
        <v>0.95876335825673042</v>
      </c>
      <c r="S12" s="40">
        <v>0.20833333333333334</v>
      </c>
      <c r="T12" s="40">
        <v>0.28125</v>
      </c>
      <c r="U12" s="140"/>
      <c r="V12" s="151">
        <f t="shared" ref="V12:V20" si="17">(T12-S12)*24*60</f>
        <v>104.99999999999999</v>
      </c>
      <c r="W12" s="28"/>
      <c r="X12" s="28"/>
      <c r="Y12" s="28"/>
      <c r="Z12" s="28"/>
      <c r="AA12" s="491"/>
      <c r="AB12" s="491"/>
      <c r="AC12" s="154">
        <v>4</v>
      </c>
      <c r="AD12" s="25"/>
      <c r="AE12" s="19">
        <f t="shared" si="8"/>
        <v>-69.714285714285552</v>
      </c>
      <c r="AF12" s="143">
        <f t="shared" si="9"/>
        <v>0.95352380952380966</v>
      </c>
      <c r="AG12" s="489">
        <f>AF21</f>
        <v>0.95876335825673031</v>
      </c>
    </row>
    <row r="13" spans="1:33" ht="16.5" customHeight="1">
      <c r="A13" s="526" t="s">
        <v>52</v>
      </c>
      <c r="B13" s="152" t="s">
        <v>128</v>
      </c>
      <c r="C13" s="515" t="s">
        <v>129</v>
      </c>
      <c r="D13" s="515"/>
      <c r="E13" s="42">
        <v>72.400000000000006</v>
      </c>
      <c r="F13" s="152">
        <v>917</v>
      </c>
      <c r="G13" s="140">
        <f t="shared" si="15"/>
        <v>66390.8</v>
      </c>
      <c r="H13" s="125" t="s">
        <v>79</v>
      </c>
      <c r="I13" s="150">
        <v>18</v>
      </c>
      <c r="J13" s="37">
        <v>1500</v>
      </c>
      <c r="K13" s="17">
        <f t="shared" si="1"/>
        <v>83.333333333333329</v>
      </c>
      <c r="L13" s="150">
        <v>18</v>
      </c>
      <c r="M13" s="18">
        <f t="shared" si="16"/>
        <v>1447.8947368421043</v>
      </c>
      <c r="N13" s="17">
        <f t="shared" si="3"/>
        <v>80.438596491228012</v>
      </c>
      <c r="O13" s="19">
        <f t="shared" si="4"/>
        <v>0</v>
      </c>
      <c r="P13" s="20">
        <f t="shared" si="5"/>
        <v>-2.894736842105317</v>
      </c>
      <c r="Q13" s="143">
        <f t="shared" si="6"/>
        <v>0.96526315789473616</v>
      </c>
      <c r="R13" s="489"/>
      <c r="S13" s="40">
        <v>0.28472222222222221</v>
      </c>
      <c r="T13" s="40">
        <v>0.31111111111111112</v>
      </c>
      <c r="U13" s="140">
        <f t="shared" ref="U13:U20" si="18">IF(S13=TIME(17,0,0),"",(S13-T12)*24*60)</f>
        <v>4.9999999999999822</v>
      </c>
      <c r="V13" s="151">
        <f t="shared" si="17"/>
        <v>38.000000000000028</v>
      </c>
      <c r="W13" s="23"/>
      <c r="X13" s="23"/>
      <c r="Y13" s="23"/>
      <c r="Z13" s="23"/>
      <c r="AA13" s="491"/>
      <c r="AB13" s="491"/>
      <c r="AC13" s="154"/>
      <c r="AD13" s="25"/>
      <c r="AE13" s="19">
        <f t="shared" si="8"/>
        <v>-52.105263157895706</v>
      </c>
      <c r="AF13" s="143">
        <f t="shared" si="9"/>
        <v>0.96526315789473616</v>
      </c>
      <c r="AG13" s="489"/>
    </row>
    <row r="14" spans="1:33" ht="16.5" customHeight="1">
      <c r="A14" s="526" t="s">
        <v>505</v>
      </c>
      <c r="B14" s="152" t="s">
        <v>130</v>
      </c>
      <c r="C14" s="515" t="s">
        <v>131</v>
      </c>
      <c r="D14" s="515"/>
      <c r="E14" s="42">
        <v>50.67</v>
      </c>
      <c r="F14" s="152">
        <v>1550</v>
      </c>
      <c r="G14" s="140">
        <f t="shared" si="15"/>
        <v>78538.5</v>
      </c>
      <c r="H14" s="125" t="s">
        <v>79</v>
      </c>
      <c r="I14" s="150">
        <v>16</v>
      </c>
      <c r="J14" s="37">
        <v>1500</v>
      </c>
      <c r="K14" s="17">
        <f t="shared" si="1"/>
        <v>93.75</v>
      </c>
      <c r="L14" s="150">
        <v>16</v>
      </c>
      <c r="M14" s="18">
        <f t="shared" si="16"/>
        <v>1430.7692307692305</v>
      </c>
      <c r="N14" s="17">
        <f t="shared" si="3"/>
        <v>89.423076923076906</v>
      </c>
      <c r="O14" s="19">
        <f t="shared" si="4"/>
        <v>0</v>
      </c>
      <c r="P14" s="20">
        <f t="shared" si="5"/>
        <v>-4.3269230769230944</v>
      </c>
      <c r="Q14" s="143">
        <f t="shared" si="6"/>
        <v>0.95384615384615368</v>
      </c>
      <c r="R14" s="489"/>
      <c r="S14" s="40">
        <v>0.31666666666666665</v>
      </c>
      <c r="T14" s="40">
        <v>0.36180555555555555</v>
      </c>
      <c r="U14" s="140">
        <f t="shared" si="18"/>
        <v>7.9999999999999716</v>
      </c>
      <c r="V14" s="151">
        <f t="shared" si="17"/>
        <v>65.000000000000014</v>
      </c>
      <c r="W14" s="23"/>
      <c r="X14" s="23"/>
      <c r="Y14" s="23"/>
      <c r="Z14" s="23"/>
      <c r="AA14" s="491"/>
      <c r="AB14" s="491"/>
      <c r="AC14" s="154"/>
      <c r="AD14" s="25"/>
      <c r="AE14" s="19">
        <f t="shared" si="8"/>
        <v>-69.230769230769511</v>
      </c>
      <c r="AF14" s="143">
        <f t="shared" si="9"/>
        <v>0.95384615384615368</v>
      </c>
      <c r="AG14" s="489"/>
    </row>
    <row r="15" spans="1:33" ht="16.5" customHeight="1">
      <c r="A15" s="526" t="s">
        <v>52</v>
      </c>
      <c r="B15" s="152" t="s">
        <v>103</v>
      </c>
      <c r="C15" s="515" t="s">
        <v>123</v>
      </c>
      <c r="D15" s="515"/>
      <c r="E15" s="42">
        <v>50.98</v>
      </c>
      <c r="F15" s="152">
        <v>900</v>
      </c>
      <c r="G15" s="140">
        <f t="shared" si="15"/>
        <v>45882</v>
      </c>
      <c r="H15" s="125">
        <v>2</v>
      </c>
      <c r="I15" s="150">
        <v>16</v>
      </c>
      <c r="J15" s="37">
        <v>2000</v>
      </c>
      <c r="K15" s="17">
        <f t="shared" si="1"/>
        <v>125</v>
      </c>
      <c r="L15" s="150">
        <v>16</v>
      </c>
      <c r="M15" s="18">
        <f t="shared" si="16"/>
        <v>1928.5714285714246</v>
      </c>
      <c r="N15" s="17">
        <f t="shared" si="3"/>
        <v>120.53571428571404</v>
      </c>
      <c r="O15" s="19">
        <f t="shared" si="4"/>
        <v>0</v>
      </c>
      <c r="P15" s="20">
        <f t="shared" si="5"/>
        <v>-4.464285714285964</v>
      </c>
      <c r="Q15" s="143">
        <f t="shared" si="6"/>
        <v>0.9642857142857123</v>
      </c>
      <c r="R15" s="489"/>
      <c r="S15" s="40">
        <v>0.70833333333333337</v>
      </c>
      <c r="T15" s="40">
        <v>0.72777777777777786</v>
      </c>
      <c r="U15" s="140" t="str">
        <f t="shared" si="18"/>
        <v/>
      </c>
      <c r="V15" s="151">
        <f t="shared" si="17"/>
        <v>28.00000000000006</v>
      </c>
      <c r="W15" s="23"/>
      <c r="X15" s="23"/>
      <c r="Y15" s="23"/>
      <c r="Z15" s="23"/>
      <c r="AA15" s="491"/>
      <c r="AB15" s="491"/>
      <c r="AC15" s="154"/>
      <c r="AD15" s="25"/>
      <c r="AE15" s="19">
        <f t="shared" si="8"/>
        <v>-71.428571428575424</v>
      </c>
      <c r="AF15" s="143">
        <f t="shared" si="9"/>
        <v>0.9642857142857123</v>
      </c>
      <c r="AG15" s="489"/>
    </row>
    <row r="16" spans="1:33" ht="16.5" customHeight="1">
      <c r="A16" s="526" t="s">
        <v>505</v>
      </c>
      <c r="B16" s="152" t="s">
        <v>103</v>
      </c>
      <c r="C16" s="515" t="s">
        <v>132</v>
      </c>
      <c r="D16" s="515"/>
      <c r="E16" s="42">
        <v>50.92</v>
      </c>
      <c r="F16" s="152">
        <v>900</v>
      </c>
      <c r="G16" s="140">
        <f t="shared" si="15"/>
        <v>45828</v>
      </c>
      <c r="H16" s="125">
        <v>2</v>
      </c>
      <c r="I16" s="150">
        <v>15</v>
      </c>
      <c r="J16" s="37">
        <v>2000</v>
      </c>
      <c r="K16" s="17">
        <f t="shared" si="1"/>
        <v>133.33333333333334</v>
      </c>
      <c r="L16" s="150">
        <v>15</v>
      </c>
      <c r="M16" s="18">
        <f t="shared" si="16"/>
        <v>1928.5714285714246</v>
      </c>
      <c r="N16" s="17">
        <f t="shared" si="3"/>
        <v>128.5714285714283</v>
      </c>
      <c r="O16" s="19">
        <f t="shared" si="4"/>
        <v>0</v>
      </c>
      <c r="P16" s="20">
        <f t="shared" si="5"/>
        <v>-4.7619047619050434</v>
      </c>
      <c r="Q16" s="143">
        <f t="shared" si="6"/>
        <v>0.96428571428571219</v>
      </c>
      <c r="R16" s="489"/>
      <c r="S16" s="40">
        <v>0.73125000000000007</v>
      </c>
      <c r="T16" s="40">
        <v>0.75069444444444455</v>
      </c>
      <c r="U16" s="140">
        <f t="shared" si="18"/>
        <v>4.9999999999999822</v>
      </c>
      <c r="V16" s="151">
        <f t="shared" si="17"/>
        <v>28.00000000000006</v>
      </c>
      <c r="W16" s="23"/>
      <c r="X16" s="23"/>
      <c r="Y16" s="23"/>
      <c r="Z16" s="23"/>
      <c r="AA16" s="491"/>
      <c r="AB16" s="491"/>
      <c r="AC16" s="154"/>
      <c r="AD16" s="25"/>
      <c r="AE16" s="19">
        <f t="shared" si="8"/>
        <v>-71.428571428575424</v>
      </c>
      <c r="AF16" s="143">
        <f t="shared" si="9"/>
        <v>0.9642857142857123</v>
      </c>
      <c r="AG16" s="489"/>
    </row>
    <row r="17" spans="1:33" ht="16.5" customHeight="1">
      <c r="A17" s="526" t="s">
        <v>505</v>
      </c>
      <c r="B17" s="152" t="s">
        <v>103</v>
      </c>
      <c r="C17" s="521" t="s">
        <v>133</v>
      </c>
      <c r="D17" s="522"/>
      <c r="E17" s="42">
        <v>50.67</v>
      </c>
      <c r="F17" s="152">
        <v>1875</v>
      </c>
      <c r="G17" s="140">
        <f t="shared" si="15"/>
        <v>95006.25</v>
      </c>
      <c r="H17" s="125" t="s">
        <v>79</v>
      </c>
      <c r="I17" s="150">
        <v>15</v>
      </c>
      <c r="J17" s="37">
        <v>2000</v>
      </c>
      <c r="K17" s="17">
        <f t="shared" si="1"/>
        <v>133.33333333333334</v>
      </c>
      <c r="L17" s="150">
        <v>15</v>
      </c>
      <c r="M17" s="18">
        <f t="shared" si="16"/>
        <v>1906.7796610169507</v>
      </c>
      <c r="N17" s="17">
        <f t="shared" si="3"/>
        <v>127.11864406779672</v>
      </c>
      <c r="O17" s="19">
        <f t="shared" si="4"/>
        <v>0</v>
      </c>
      <c r="P17" s="20">
        <f t="shared" si="5"/>
        <v>-6.2146892655366202</v>
      </c>
      <c r="Q17" s="143">
        <f t="shared" si="6"/>
        <v>0.95338983050847537</v>
      </c>
      <c r="R17" s="489"/>
      <c r="S17" s="40">
        <v>0.75555555555555565</v>
      </c>
      <c r="T17" s="40">
        <v>0.79652777777777783</v>
      </c>
      <c r="U17" s="140">
        <f t="shared" si="18"/>
        <v>6.9999999999999751</v>
      </c>
      <c r="V17" s="151">
        <f t="shared" si="17"/>
        <v>58.99999999999995</v>
      </c>
      <c r="W17" s="23"/>
      <c r="X17" s="23"/>
      <c r="Y17" s="26"/>
      <c r="Z17" s="26"/>
      <c r="AA17" s="503"/>
      <c r="AB17" s="504"/>
      <c r="AC17" s="154"/>
      <c r="AD17" s="25"/>
      <c r="AE17" s="19">
        <f t="shared" si="8"/>
        <v>-93.22033898304926</v>
      </c>
      <c r="AF17" s="143">
        <f t="shared" si="9"/>
        <v>0.95338983050847537</v>
      </c>
      <c r="AG17" s="489"/>
    </row>
    <row r="18" spans="1:33" ht="16.5" customHeight="1">
      <c r="A18" s="526" t="s">
        <v>505</v>
      </c>
      <c r="B18" s="152" t="s">
        <v>103</v>
      </c>
      <c r="C18" s="148" t="s">
        <v>134</v>
      </c>
      <c r="D18" s="149"/>
      <c r="E18" s="42">
        <v>57.3</v>
      </c>
      <c r="F18" s="152">
        <v>2473</v>
      </c>
      <c r="G18" s="140">
        <f t="shared" si="15"/>
        <v>141702.9</v>
      </c>
      <c r="H18" s="125" t="s">
        <v>79</v>
      </c>
      <c r="I18" s="150">
        <v>13</v>
      </c>
      <c r="J18" s="37">
        <v>2000</v>
      </c>
      <c r="K18" s="17">
        <f t="shared" si="1"/>
        <v>153.84615384615384</v>
      </c>
      <c r="L18" s="150">
        <v>13</v>
      </c>
      <c r="M18" s="18">
        <f t="shared" si="16"/>
        <v>1927.0129870129861</v>
      </c>
      <c r="N18" s="17">
        <f t="shared" si="3"/>
        <v>148.23176823176817</v>
      </c>
      <c r="O18" s="19">
        <f t="shared" si="4"/>
        <v>0</v>
      </c>
      <c r="P18" s="20">
        <f t="shared" si="5"/>
        <v>-5.6143856143856681</v>
      </c>
      <c r="Q18" s="143">
        <f t="shared" si="6"/>
        <v>0.9635064935064932</v>
      </c>
      <c r="R18" s="489"/>
      <c r="S18" s="40">
        <v>0.80208333333333337</v>
      </c>
      <c r="T18" s="40">
        <v>0.85555555555555562</v>
      </c>
      <c r="U18" s="140">
        <f t="shared" si="18"/>
        <v>7.9999999999999716</v>
      </c>
      <c r="V18" s="151">
        <f t="shared" si="17"/>
        <v>77.000000000000043</v>
      </c>
      <c r="W18" s="23">
        <f>T18</f>
        <v>0.85555555555555562</v>
      </c>
      <c r="X18" s="23">
        <f>S19</f>
        <v>0.89652777777777781</v>
      </c>
      <c r="Y18" s="26"/>
      <c r="Z18" s="26"/>
      <c r="AA18" s="503"/>
      <c r="AB18" s="504"/>
      <c r="AC18" s="154"/>
      <c r="AD18" s="25"/>
      <c r="AE18" s="19">
        <f t="shared" si="8"/>
        <v>-72.987012987013941</v>
      </c>
      <c r="AF18" s="143">
        <f t="shared" si="9"/>
        <v>0.96350649350649298</v>
      </c>
      <c r="AG18" s="489"/>
    </row>
    <row r="19" spans="1:33" ht="16.5" customHeight="1">
      <c r="A19" s="526" t="s">
        <v>52</v>
      </c>
      <c r="B19" s="152" t="s">
        <v>103</v>
      </c>
      <c r="C19" s="148" t="s">
        <v>123</v>
      </c>
      <c r="D19" s="149"/>
      <c r="E19" s="42">
        <v>50.98</v>
      </c>
      <c r="F19" s="152">
        <v>1983</v>
      </c>
      <c r="G19" s="140">
        <f t="shared" si="15"/>
        <v>101093.34</v>
      </c>
      <c r="H19" s="125" t="s">
        <v>79</v>
      </c>
      <c r="I19" s="150">
        <v>16</v>
      </c>
      <c r="J19" s="37">
        <v>2000</v>
      </c>
      <c r="K19" s="17">
        <f t="shared" si="1"/>
        <v>125</v>
      </c>
      <c r="L19" s="150">
        <v>16</v>
      </c>
      <c r="M19" s="18">
        <f t="shared" si="16"/>
        <v>1919.0322580645179</v>
      </c>
      <c r="N19" s="17">
        <f t="shared" si="3"/>
        <v>119.93951612903237</v>
      </c>
      <c r="O19" s="19">
        <f t="shared" si="4"/>
        <v>0</v>
      </c>
      <c r="P19" s="20">
        <f t="shared" si="5"/>
        <v>-5.0604838709676301</v>
      </c>
      <c r="Q19" s="143">
        <f t="shared" si="6"/>
        <v>0.95951612903225891</v>
      </c>
      <c r="R19" s="489"/>
      <c r="S19" s="40">
        <v>0.89652777777777781</v>
      </c>
      <c r="T19" s="40">
        <v>0.93958333333333333</v>
      </c>
      <c r="U19" s="140">
        <f t="shared" si="18"/>
        <v>58.99999999999995</v>
      </c>
      <c r="V19" s="151">
        <f t="shared" si="17"/>
        <v>61.999999999999943</v>
      </c>
      <c r="W19" s="23"/>
      <c r="X19" s="23"/>
      <c r="Y19" s="26"/>
      <c r="Z19" s="26"/>
      <c r="AA19" s="503"/>
      <c r="AB19" s="504"/>
      <c r="AC19" s="154"/>
      <c r="AD19" s="25"/>
      <c r="AE19" s="19">
        <f t="shared" si="8"/>
        <v>-80.967741935482081</v>
      </c>
      <c r="AF19" s="143">
        <f t="shared" si="9"/>
        <v>0.95951612903225891</v>
      </c>
      <c r="AG19" s="489"/>
    </row>
    <row r="20" spans="1:33" ht="16.5" customHeight="1">
      <c r="A20" s="526" t="s">
        <v>52</v>
      </c>
      <c r="B20" s="152" t="s">
        <v>103</v>
      </c>
      <c r="C20" s="521" t="s">
        <v>132</v>
      </c>
      <c r="D20" s="522"/>
      <c r="E20" s="42">
        <v>50.92</v>
      </c>
      <c r="F20" s="152">
        <v>1869</v>
      </c>
      <c r="G20" s="140">
        <f t="shared" si="15"/>
        <v>95169.48</v>
      </c>
      <c r="H20" s="125" t="s">
        <v>79</v>
      </c>
      <c r="I20" s="150">
        <v>15</v>
      </c>
      <c r="J20" s="37">
        <v>2000</v>
      </c>
      <c r="K20" s="17">
        <f t="shared" si="1"/>
        <v>133.33333333333334</v>
      </c>
      <c r="L20" s="150">
        <v>15</v>
      </c>
      <c r="M20" s="18">
        <f t="shared" si="16"/>
        <v>1900.6779661016965</v>
      </c>
      <c r="N20" s="17">
        <f t="shared" si="3"/>
        <v>126.71186440677977</v>
      </c>
      <c r="O20" s="19">
        <f t="shared" si="4"/>
        <v>0</v>
      </c>
      <c r="P20" s="20">
        <f t="shared" si="5"/>
        <v>-6.6214689265535753</v>
      </c>
      <c r="Q20" s="143">
        <f t="shared" si="6"/>
        <v>0.95033898305084819</v>
      </c>
      <c r="R20" s="489"/>
      <c r="S20" s="40">
        <v>0.94374999999999998</v>
      </c>
      <c r="T20" s="40">
        <v>0.98472222222222217</v>
      </c>
      <c r="U20" s="140">
        <f t="shared" si="18"/>
        <v>5.9999999999999787</v>
      </c>
      <c r="V20" s="151">
        <f t="shared" si="17"/>
        <v>58.99999999999995</v>
      </c>
      <c r="W20" s="23"/>
      <c r="X20" s="23"/>
      <c r="Y20" s="26"/>
      <c r="Z20" s="26"/>
      <c r="AA20" s="503"/>
      <c r="AB20" s="504"/>
      <c r="AC20" s="154"/>
      <c r="AD20" s="25"/>
      <c r="AE20" s="19">
        <f t="shared" si="8"/>
        <v>-99.322033898303516</v>
      </c>
      <c r="AF20" s="143">
        <f t="shared" si="9"/>
        <v>0.9503389830508483</v>
      </c>
      <c r="AG20" s="489"/>
    </row>
    <row r="21" spans="1:33" ht="16.5" customHeight="1">
      <c r="A21" s="526" t="s">
        <v>52</v>
      </c>
      <c r="B21" s="42" t="s">
        <v>506</v>
      </c>
      <c r="C21" s="494"/>
      <c r="D21" s="494"/>
      <c r="E21" s="147"/>
      <c r="F21" s="44"/>
      <c r="G21" s="17"/>
      <c r="H21" s="152"/>
      <c r="I21" s="30">
        <v>16.666666666666668</v>
      </c>
      <c r="J21" s="37">
        <v>1833.3333333333333</v>
      </c>
      <c r="K21" s="17">
        <f t="shared" si="1"/>
        <v>109.99999999999999</v>
      </c>
      <c r="L21" s="30">
        <v>16.666666666666668</v>
      </c>
      <c r="M21" s="18">
        <f>AVERAGE(M12:M20)</f>
        <v>1757.7328234706722</v>
      </c>
      <c r="N21" s="17">
        <f t="shared" si="3"/>
        <v>105.46396940824033</v>
      </c>
      <c r="O21" s="19">
        <f t="shared" si="4"/>
        <v>0</v>
      </c>
      <c r="P21" s="20">
        <f t="shared" si="5"/>
        <v>-4.5360305917596548</v>
      </c>
      <c r="Q21" s="143">
        <f t="shared" si="6"/>
        <v>0.95876335825673042</v>
      </c>
      <c r="R21" s="489"/>
      <c r="S21" s="40"/>
      <c r="T21" s="40"/>
      <c r="U21" s="140"/>
      <c r="V21" s="151"/>
      <c r="W21" s="17"/>
      <c r="X21" s="17"/>
      <c r="Y21" s="31">
        <f>SUM(Y12:Y20)</f>
        <v>0</v>
      </c>
      <c r="Z21" s="31">
        <f>SUM(Z12:Z20)</f>
        <v>0</v>
      </c>
      <c r="AA21" s="495"/>
      <c r="AB21" s="495"/>
      <c r="AC21" s="31">
        <f>SUM(AC12:AC20)</f>
        <v>4</v>
      </c>
      <c r="AD21" s="31">
        <f>SUM(AD12:AD20)</f>
        <v>0</v>
      </c>
      <c r="AE21" s="19">
        <f t="shared" si="8"/>
        <v>-75.600509862661056</v>
      </c>
      <c r="AF21" s="143">
        <f t="shared" si="9"/>
        <v>0.95876335825673031</v>
      </c>
      <c r="AG21" s="489"/>
    </row>
    <row r="22" spans="1:33" ht="15.75" customHeight="1">
      <c r="A22" s="519" t="s">
        <v>57</v>
      </c>
      <c r="B22" s="42" t="s">
        <v>126</v>
      </c>
      <c r="C22" s="515" t="s">
        <v>135</v>
      </c>
      <c r="D22" s="515"/>
      <c r="E22" s="42">
        <v>43.14</v>
      </c>
      <c r="F22" s="152">
        <v>1111</v>
      </c>
      <c r="G22" s="140">
        <f t="shared" ref="G22:G30" si="19">E22*F22</f>
        <v>47928.54</v>
      </c>
      <c r="H22" s="125" t="s">
        <v>79</v>
      </c>
      <c r="I22" s="150">
        <v>17</v>
      </c>
      <c r="J22" s="37">
        <v>2000</v>
      </c>
      <c r="K22" s="17">
        <f t="shared" si="1"/>
        <v>117.64705882352941</v>
      </c>
      <c r="L22" s="150">
        <v>17</v>
      </c>
      <c r="M22" s="18">
        <f t="shared" ref="M22:M30" si="20">F22/V22*60</f>
        <v>1904.5714285714291</v>
      </c>
      <c r="N22" s="17">
        <f t="shared" si="3"/>
        <v>112.03361344537818</v>
      </c>
      <c r="O22" s="19">
        <f t="shared" si="4"/>
        <v>0</v>
      </c>
      <c r="P22" s="20">
        <f t="shared" si="5"/>
        <v>-5.6134453781512264</v>
      </c>
      <c r="Q22" s="143">
        <f t="shared" si="6"/>
        <v>0.95228571428571462</v>
      </c>
      <c r="R22" s="489">
        <f>Q31</f>
        <v>0.96180632100130203</v>
      </c>
      <c r="S22" s="40">
        <v>0.20833333333333334</v>
      </c>
      <c r="T22" s="40">
        <v>0.2326388888888889</v>
      </c>
      <c r="U22" s="140"/>
      <c r="V22" s="151">
        <f t="shared" ref="V22:V30" si="21">(T22-S22)*24*60</f>
        <v>34.999999999999993</v>
      </c>
      <c r="W22" s="28"/>
      <c r="X22" s="28"/>
      <c r="Y22" s="28"/>
      <c r="Z22" s="28"/>
      <c r="AA22" s="491"/>
      <c r="AB22" s="491"/>
      <c r="AC22" s="154">
        <v>4</v>
      </c>
      <c r="AD22" s="25"/>
      <c r="AE22" s="19">
        <f t="shared" si="8"/>
        <v>-95.428571428570876</v>
      </c>
      <c r="AF22" s="143">
        <f t="shared" si="9"/>
        <v>0.95228571428571451</v>
      </c>
      <c r="AG22" s="489">
        <f>AF31</f>
        <v>0.96180632100130203</v>
      </c>
    </row>
    <row r="23" spans="1:33" ht="15.75" customHeight="1">
      <c r="A23" s="520" t="s">
        <v>57</v>
      </c>
      <c r="B23" s="42" t="s">
        <v>130</v>
      </c>
      <c r="C23" s="515" t="s">
        <v>136</v>
      </c>
      <c r="D23" s="515"/>
      <c r="E23" s="42">
        <v>49.9</v>
      </c>
      <c r="F23" s="152">
        <v>1199</v>
      </c>
      <c r="G23" s="140">
        <f t="shared" si="19"/>
        <v>59830.1</v>
      </c>
      <c r="H23" s="125" t="s">
        <v>79</v>
      </c>
      <c r="I23" s="150">
        <v>17</v>
      </c>
      <c r="J23" s="37">
        <v>2000</v>
      </c>
      <c r="K23" s="17">
        <f t="shared" si="1"/>
        <v>117.64705882352941</v>
      </c>
      <c r="L23" s="150">
        <v>17</v>
      </c>
      <c r="M23" s="18">
        <f t="shared" si="20"/>
        <v>1944.3243243243251</v>
      </c>
      <c r="N23" s="17">
        <f t="shared" si="3"/>
        <v>114.37201907790147</v>
      </c>
      <c r="O23" s="19">
        <f t="shared" si="4"/>
        <v>0</v>
      </c>
      <c r="P23" s="20">
        <f t="shared" si="5"/>
        <v>-3.2750397456279359</v>
      </c>
      <c r="Q23" s="143">
        <f t="shared" si="6"/>
        <v>0.97216216216216256</v>
      </c>
      <c r="R23" s="489"/>
      <c r="S23" s="40">
        <v>0.23680555555555557</v>
      </c>
      <c r="T23" s="40">
        <v>0.26250000000000001</v>
      </c>
      <c r="U23" s="140">
        <f t="shared" ref="U23:U30" si="22">IF(S23=TIME(17,0,0),"",(S23-T22)*24*60)</f>
        <v>6.0000000000000187</v>
      </c>
      <c r="V23" s="151">
        <f t="shared" si="21"/>
        <v>36.999999999999986</v>
      </c>
      <c r="W23" s="23"/>
      <c r="X23" s="140"/>
      <c r="Y23" s="140"/>
      <c r="Z23" s="140"/>
      <c r="AA23" s="491"/>
      <c r="AB23" s="491"/>
      <c r="AC23" s="154"/>
      <c r="AD23" s="25"/>
      <c r="AE23" s="19">
        <f t="shared" si="8"/>
        <v>-55.675675675674938</v>
      </c>
      <c r="AF23" s="143">
        <f t="shared" si="9"/>
        <v>0.97216216216216256</v>
      </c>
      <c r="AG23" s="489"/>
    </row>
    <row r="24" spans="1:33" ht="15.75" customHeight="1">
      <c r="A24" s="520" t="s">
        <v>507</v>
      </c>
      <c r="B24" s="42" t="s">
        <v>103</v>
      </c>
      <c r="C24" s="515" t="s">
        <v>137</v>
      </c>
      <c r="D24" s="515"/>
      <c r="E24" s="42">
        <v>57.73</v>
      </c>
      <c r="F24" s="152">
        <v>3208</v>
      </c>
      <c r="G24" s="140">
        <f t="shared" si="19"/>
        <v>185197.84</v>
      </c>
      <c r="H24" s="125" t="s">
        <v>79</v>
      </c>
      <c r="I24" s="150">
        <v>14</v>
      </c>
      <c r="J24" s="37">
        <v>2000</v>
      </c>
      <c r="K24" s="17">
        <f t="shared" si="1"/>
        <v>142.85714285714286</v>
      </c>
      <c r="L24" s="150">
        <v>14</v>
      </c>
      <c r="M24" s="18">
        <f t="shared" si="20"/>
        <v>1905.7425742574248</v>
      </c>
      <c r="N24" s="17">
        <f t="shared" si="3"/>
        <v>136.12446958981607</v>
      </c>
      <c r="O24" s="19">
        <f t="shared" si="4"/>
        <v>0</v>
      </c>
      <c r="P24" s="20">
        <f t="shared" si="5"/>
        <v>-6.7326732673267884</v>
      </c>
      <c r="Q24" s="143">
        <f t="shared" si="6"/>
        <v>0.9528712871287125</v>
      </c>
      <c r="R24" s="489"/>
      <c r="S24" s="40">
        <v>0.26597222222222222</v>
      </c>
      <c r="T24" s="40">
        <v>0.33611111111111114</v>
      </c>
      <c r="U24" s="140">
        <f t="shared" si="22"/>
        <v>4.9999999999999822</v>
      </c>
      <c r="V24" s="151">
        <f t="shared" si="21"/>
        <v>101.00000000000004</v>
      </c>
      <c r="W24" s="23"/>
      <c r="X24" s="140"/>
      <c r="Y24" s="140"/>
      <c r="Z24" s="140"/>
      <c r="AA24" s="491"/>
      <c r="AB24" s="491"/>
      <c r="AC24" s="154"/>
      <c r="AD24" s="25"/>
      <c r="AE24" s="19">
        <f t="shared" si="8"/>
        <v>-94.257425742575151</v>
      </c>
      <c r="AF24" s="143">
        <f t="shared" si="9"/>
        <v>0.95287128712871239</v>
      </c>
      <c r="AG24" s="489"/>
    </row>
    <row r="25" spans="1:33" ht="15.75" customHeight="1">
      <c r="A25" s="520" t="s">
        <v>507</v>
      </c>
      <c r="B25" s="42" t="s">
        <v>103</v>
      </c>
      <c r="C25" s="515" t="s">
        <v>138</v>
      </c>
      <c r="D25" s="515"/>
      <c r="E25" s="42">
        <v>53.68</v>
      </c>
      <c r="F25" s="152">
        <v>1831</v>
      </c>
      <c r="G25" s="140">
        <f t="shared" si="19"/>
        <v>98288.08</v>
      </c>
      <c r="H25" s="125" t="s">
        <v>79</v>
      </c>
      <c r="I25" s="150">
        <v>16</v>
      </c>
      <c r="J25" s="37">
        <v>2000</v>
      </c>
      <c r="K25" s="17">
        <f t="shared" si="1"/>
        <v>125</v>
      </c>
      <c r="L25" s="150">
        <v>16</v>
      </c>
      <c r="M25" s="18">
        <f t="shared" si="20"/>
        <v>1927.368421052633</v>
      </c>
      <c r="N25" s="17">
        <f t="shared" si="3"/>
        <v>120.46052631578956</v>
      </c>
      <c r="O25" s="19">
        <f t="shared" si="4"/>
        <v>0</v>
      </c>
      <c r="P25" s="20">
        <f t="shared" si="5"/>
        <v>-4.5394736842104351</v>
      </c>
      <c r="Q25" s="143">
        <f t="shared" si="6"/>
        <v>0.96368421052631648</v>
      </c>
      <c r="R25" s="489"/>
      <c r="S25" s="40">
        <v>0.34166666666666667</v>
      </c>
      <c r="T25" s="40">
        <v>0.38124999999999998</v>
      </c>
      <c r="U25" s="140">
        <f t="shared" si="22"/>
        <v>7.9999999999999716</v>
      </c>
      <c r="V25" s="151">
        <f t="shared" si="21"/>
        <v>56.999999999999957</v>
      </c>
      <c r="W25" s="23"/>
      <c r="X25" s="140"/>
      <c r="Y25" s="140"/>
      <c r="Z25" s="140"/>
      <c r="AA25" s="491"/>
      <c r="AB25" s="491"/>
      <c r="AC25" s="154"/>
      <c r="AD25" s="25"/>
      <c r="AE25" s="19">
        <f t="shared" si="8"/>
        <v>-72.631578947366961</v>
      </c>
      <c r="AF25" s="143">
        <f t="shared" si="9"/>
        <v>0.96368421052631648</v>
      </c>
      <c r="AG25" s="489"/>
    </row>
    <row r="26" spans="1:33" ht="15.75" customHeight="1">
      <c r="A26" s="520" t="s">
        <v>57</v>
      </c>
      <c r="B26" s="42" t="s">
        <v>103</v>
      </c>
      <c r="C26" s="515" t="s">
        <v>139</v>
      </c>
      <c r="D26" s="515"/>
      <c r="E26" s="42">
        <v>49.91</v>
      </c>
      <c r="F26" s="152">
        <v>1013</v>
      </c>
      <c r="G26" s="140">
        <f t="shared" si="19"/>
        <v>50558.829999999994</v>
      </c>
      <c r="H26" s="125" t="s">
        <v>79</v>
      </c>
      <c r="I26" s="150">
        <v>17</v>
      </c>
      <c r="J26" s="37">
        <v>2000</v>
      </c>
      <c r="K26" s="17">
        <f t="shared" si="1"/>
        <v>117.64705882352941</v>
      </c>
      <c r="L26" s="150">
        <v>17</v>
      </c>
      <c r="M26" s="18">
        <f t="shared" si="20"/>
        <v>1960.6451612903245</v>
      </c>
      <c r="N26" s="17">
        <f t="shared" si="3"/>
        <v>115.33206831119556</v>
      </c>
      <c r="O26" s="19">
        <f t="shared" si="4"/>
        <v>0</v>
      </c>
      <c r="P26" s="20">
        <f t="shared" si="5"/>
        <v>-2.3149905123338499</v>
      </c>
      <c r="Q26" s="143">
        <f t="shared" si="6"/>
        <v>0.98032258064516231</v>
      </c>
      <c r="R26" s="489"/>
      <c r="S26" s="40">
        <v>0.38680555555555551</v>
      </c>
      <c r="T26" s="40">
        <v>0.40833333333333327</v>
      </c>
      <c r="U26" s="140">
        <f t="shared" si="22"/>
        <v>7.9999999999999716</v>
      </c>
      <c r="V26" s="151">
        <f t="shared" si="21"/>
        <v>30.999999999999972</v>
      </c>
      <c r="W26" s="23"/>
      <c r="X26" s="140"/>
      <c r="Y26" s="140"/>
      <c r="Z26" s="140"/>
      <c r="AA26" s="491"/>
      <c r="AB26" s="491"/>
      <c r="AC26" s="154"/>
      <c r="AD26" s="25"/>
      <c r="AE26" s="19">
        <f t="shared" si="8"/>
        <v>-39.354838709675505</v>
      </c>
      <c r="AF26" s="143">
        <f t="shared" si="9"/>
        <v>0.9803225806451622</v>
      </c>
      <c r="AG26" s="489"/>
    </row>
    <row r="27" spans="1:33" ht="15.75" customHeight="1">
      <c r="A27" s="520" t="s">
        <v>507</v>
      </c>
      <c r="B27" s="42" t="s">
        <v>103</v>
      </c>
      <c r="C27" s="515" t="s">
        <v>140</v>
      </c>
      <c r="D27" s="515"/>
      <c r="E27" s="42">
        <v>50.49</v>
      </c>
      <c r="F27" s="152">
        <v>2347</v>
      </c>
      <c r="G27" s="140">
        <f t="shared" si="19"/>
        <v>118500.03</v>
      </c>
      <c r="H27" s="125" t="s">
        <v>79</v>
      </c>
      <c r="I27" s="150">
        <v>15</v>
      </c>
      <c r="J27" s="37">
        <v>2000</v>
      </c>
      <c r="K27" s="17">
        <f t="shared" si="1"/>
        <v>133.33333333333334</v>
      </c>
      <c r="L27" s="150">
        <v>15</v>
      </c>
      <c r="M27" s="18">
        <f t="shared" si="20"/>
        <v>1902.9729729729715</v>
      </c>
      <c r="N27" s="17">
        <f t="shared" si="3"/>
        <v>126.86486486486477</v>
      </c>
      <c r="O27" s="19">
        <f t="shared" si="4"/>
        <v>0</v>
      </c>
      <c r="P27" s="20">
        <f t="shared" si="5"/>
        <v>-6.468468468468572</v>
      </c>
      <c r="Q27" s="143">
        <f t="shared" si="6"/>
        <v>0.95148648648648571</v>
      </c>
      <c r="R27" s="489"/>
      <c r="S27" s="40">
        <v>0.70833333333333337</v>
      </c>
      <c r="T27" s="40">
        <v>0.7597222222222223</v>
      </c>
      <c r="U27" s="140" t="str">
        <f t="shared" si="22"/>
        <v/>
      </c>
      <c r="V27" s="151">
        <f t="shared" si="21"/>
        <v>74.000000000000057</v>
      </c>
      <c r="W27" s="23"/>
      <c r="X27" s="28"/>
      <c r="Y27" s="28"/>
      <c r="Z27" s="28"/>
      <c r="AA27" s="491"/>
      <c r="AB27" s="491"/>
      <c r="AC27" s="154"/>
      <c r="AD27" s="25"/>
      <c r="AE27" s="19">
        <f t="shared" si="8"/>
        <v>-97.027027027028453</v>
      </c>
      <c r="AF27" s="143">
        <f t="shared" si="9"/>
        <v>0.95148648648648582</v>
      </c>
      <c r="AG27" s="489"/>
    </row>
    <row r="28" spans="1:33" ht="15.75" customHeight="1">
      <c r="A28" s="520" t="s">
        <v>57</v>
      </c>
      <c r="B28" s="42" t="s">
        <v>103</v>
      </c>
      <c r="C28" s="515" t="s">
        <v>141</v>
      </c>
      <c r="D28" s="515"/>
      <c r="E28" s="42">
        <v>57.73</v>
      </c>
      <c r="F28" s="152">
        <v>1402</v>
      </c>
      <c r="G28" s="140">
        <f t="shared" si="19"/>
        <v>80937.459999999992</v>
      </c>
      <c r="H28" s="125" t="s">
        <v>79</v>
      </c>
      <c r="I28" s="150">
        <v>16</v>
      </c>
      <c r="J28" s="37">
        <v>1500</v>
      </c>
      <c r="K28" s="17">
        <f t="shared" si="1"/>
        <v>93.75</v>
      </c>
      <c r="L28" s="150">
        <v>16</v>
      </c>
      <c r="M28" s="18">
        <f t="shared" si="20"/>
        <v>1450.3448275862079</v>
      </c>
      <c r="N28" s="17">
        <f t="shared" si="3"/>
        <v>90.646551724137993</v>
      </c>
      <c r="O28" s="19">
        <f t="shared" si="4"/>
        <v>0</v>
      </c>
      <c r="P28" s="20">
        <f t="shared" si="5"/>
        <v>-3.1034482758620072</v>
      </c>
      <c r="Q28" s="143">
        <f t="shared" si="6"/>
        <v>0.96689655172413858</v>
      </c>
      <c r="R28" s="489"/>
      <c r="S28" s="40">
        <v>0.76388888888888895</v>
      </c>
      <c r="T28" s="40">
        <v>0.8041666666666667</v>
      </c>
      <c r="U28" s="140">
        <f t="shared" si="22"/>
        <v>5.9999999999999787</v>
      </c>
      <c r="V28" s="151">
        <f t="shared" si="21"/>
        <v>57.999999999999957</v>
      </c>
      <c r="W28" s="23"/>
      <c r="X28" s="28"/>
      <c r="Y28" s="29"/>
      <c r="Z28" s="29"/>
      <c r="AA28" s="503"/>
      <c r="AB28" s="504"/>
      <c r="AC28" s="154"/>
      <c r="AD28" s="25"/>
      <c r="AE28" s="19">
        <f t="shared" si="8"/>
        <v>-49.655172413792116</v>
      </c>
      <c r="AF28" s="143">
        <f t="shared" si="9"/>
        <v>0.96689655172413858</v>
      </c>
      <c r="AG28" s="489"/>
    </row>
    <row r="29" spans="1:33" ht="15.75" customHeight="1">
      <c r="A29" s="520" t="s">
        <v>507</v>
      </c>
      <c r="B29" s="42" t="s">
        <v>103</v>
      </c>
      <c r="C29" s="521" t="s">
        <v>142</v>
      </c>
      <c r="D29" s="522"/>
      <c r="E29" s="42">
        <v>53.68</v>
      </c>
      <c r="F29" s="152">
        <v>1000</v>
      </c>
      <c r="G29" s="140">
        <f t="shared" si="19"/>
        <v>53680</v>
      </c>
      <c r="H29" s="125">
        <v>2</v>
      </c>
      <c r="I29" s="150">
        <v>16</v>
      </c>
      <c r="J29" s="37">
        <v>1500</v>
      </c>
      <c r="K29" s="17">
        <f t="shared" si="1"/>
        <v>93.75</v>
      </c>
      <c r="L29" s="150">
        <v>16</v>
      </c>
      <c r="M29" s="18">
        <f t="shared" si="20"/>
        <v>1428.5714285714282</v>
      </c>
      <c r="N29" s="17">
        <f t="shared" si="3"/>
        <v>89.285714285714263</v>
      </c>
      <c r="O29" s="19">
        <f t="shared" si="4"/>
        <v>0</v>
      </c>
      <c r="P29" s="20">
        <f t="shared" si="5"/>
        <v>-4.4642857142857366</v>
      </c>
      <c r="Q29" s="143">
        <f t="shared" si="6"/>
        <v>0.95238095238095211</v>
      </c>
      <c r="R29" s="489"/>
      <c r="S29" s="40">
        <v>0.80902777777777779</v>
      </c>
      <c r="T29" s="40">
        <v>0.83819444444444446</v>
      </c>
      <c r="U29" s="140">
        <f t="shared" si="22"/>
        <v>6.9999999999999751</v>
      </c>
      <c r="V29" s="151">
        <f t="shared" si="21"/>
        <v>42.000000000000014</v>
      </c>
      <c r="W29" s="23">
        <f>T29</f>
        <v>0.83819444444444446</v>
      </c>
      <c r="X29" s="23">
        <f>S30</f>
        <v>0.87777777777777777</v>
      </c>
      <c r="Y29" s="26"/>
      <c r="Z29" s="26"/>
      <c r="AA29" s="503"/>
      <c r="AB29" s="504"/>
      <c r="AC29" s="154"/>
      <c r="AD29" s="25"/>
      <c r="AE29" s="19">
        <f t="shared" si="8"/>
        <v>-71.428571428571786</v>
      </c>
      <c r="AF29" s="143">
        <f t="shared" si="9"/>
        <v>0.95238095238095211</v>
      </c>
      <c r="AG29" s="489"/>
    </row>
    <row r="30" spans="1:33" ht="15.75" customHeight="1">
      <c r="A30" s="520" t="s">
        <v>57</v>
      </c>
      <c r="B30" s="42" t="s">
        <v>103</v>
      </c>
      <c r="C30" s="521" t="s">
        <v>142</v>
      </c>
      <c r="D30" s="522"/>
      <c r="E30" s="42">
        <v>53.68</v>
      </c>
      <c r="F30" s="152">
        <v>1373</v>
      </c>
      <c r="G30" s="140">
        <f t="shared" si="19"/>
        <v>73702.64</v>
      </c>
      <c r="H30" s="125" t="s">
        <v>79</v>
      </c>
      <c r="I30" s="150">
        <v>16</v>
      </c>
      <c r="J30" s="37">
        <v>1500</v>
      </c>
      <c r="K30" s="17">
        <f t="shared" si="1"/>
        <v>93.75</v>
      </c>
      <c r="L30" s="150">
        <v>16</v>
      </c>
      <c r="M30" s="18">
        <f t="shared" si="20"/>
        <v>1445.2631578947378</v>
      </c>
      <c r="N30" s="17">
        <f t="shared" si="3"/>
        <v>90.328947368421112</v>
      </c>
      <c r="O30" s="19">
        <f t="shared" si="4"/>
        <v>0</v>
      </c>
      <c r="P30" s="20">
        <f t="shared" si="5"/>
        <v>-3.4210526315788883</v>
      </c>
      <c r="Q30" s="143">
        <f t="shared" si="6"/>
        <v>0.9635087719298252</v>
      </c>
      <c r="R30" s="489"/>
      <c r="S30" s="40">
        <v>0.87777777777777777</v>
      </c>
      <c r="T30" s="40">
        <v>0.91736111111111107</v>
      </c>
      <c r="U30" s="140">
        <f t="shared" si="22"/>
        <v>56.999999999999957</v>
      </c>
      <c r="V30" s="151">
        <f t="shared" si="21"/>
        <v>56.999999999999957</v>
      </c>
      <c r="W30" s="23"/>
      <c r="X30" s="23"/>
      <c r="Y30" s="26"/>
      <c r="Z30" s="26"/>
      <c r="AA30" s="503"/>
      <c r="AB30" s="504"/>
      <c r="AC30" s="154"/>
      <c r="AD30" s="25"/>
      <c r="AE30" s="19">
        <f t="shared" si="8"/>
        <v>-54.736842105262212</v>
      </c>
      <c r="AF30" s="143">
        <f t="shared" si="9"/>
        <v>0.9635087719298252</v>
      </c>
      <c r="AG30" s="489"/>
    </row>
    <row r="31" spans="1:33" ht="15.75" customHeight="1">
      <c r="A31" s="520" t="s">
        <v>507</v>
      </c>
      <c r="B31" s="42" t="s">
        <v>506</v>
      </c>
      <c r="C31" s="494"/>
      <c r="D31" s="494"/>
      <c r="E31" s="147"/>
      <c r="F31" s="152"/>
      <c r="G31" s="140"/>
      <c r="H31" s="152"/>
      <c r="I31" s="30">
        <v>16</v>
      </c>
      <c r="J31" s="37">
        <v>1833.3333333333333</v>
      </c>
      <c r="K31" s="17">
        <f t="shared" si="1"/>
        <v>114.58333333333333</v>
      </c>
      <c r="L31" s="30">
        <v>16</v>
      </c>
      <c r="M31" s="18">
        <f>AVERAGE(M22:M30)</f>
        <v>1763.3115885023869</v>
      </c>
      <c r="N31" s="17">
        <f t="shared" si="3"/>
        <v>110.20697428139918</v>
      </c>
      <c r="O31" s="19">
        <f t="shared" si="4"/>
        <v>0</v>
      </c>
      <c r="P31" s="20">
        <f t="shared" si="5"/>
        <v>-4.3763590519341449</v>
      </c>
      <c r="Q31" s="143">
        <f t="shared" si="6"/>
        <v>0.96180632100130203</v>
      </c>
      <c r="R31" s="489"/>
      <c r="S31" s="40"/>
      <c r="T31" s="40"/>
      <c r="U31" s="17"/>
      <c r="V31" s="151"/>
      <c r="W31" s="17"/>
      <c r="X31" s="17"/>
      <c r="Y31" s="31">
        <f>SUM(Y22:Y30)</f>
        <v>0</v>
      </c>
      <c r="Z31" s="31">
        <f>SUM(Z22:Z30)</f>
        <v>0</v>
      </c>
      <c r="AA31" s="495"/>
      <c r="AB31" s="495"/>
      <c r="AC31" s="31">
        <f>SUM(AC22:AC30)</f>
        <v>4</v>
      </c>
      <c r="AD31" s="31">
        <f>SUM(AD22:AD30)</f>
        <v>0</v>
      </c>
      <c r="AE31" s="19">
        <f t="shared" si="8"/>
        <v>-70.021744830946318</v>
      </c>
      <c r="AF31" s="143">
        <f t="shared" si="9"/>
        <v>0.96180632100130203</v>
      </c>
      <c r="AG31" s="489"/>
    </row>
    <row r="32" spans="1:33" ht="15.75" customHeight="1">
      <c r="A32" s="518" t="s">
        <v>59</v>
      </c>
      <c r="B32" s="42" t="s">
        <v>80</v>
      </c>
      <c r="C32" s="515" t="s">
        <v>81</v>
      </c>
      <c r="D32" s="515"/>
      <c r="E32" s="42">
        <v>31.29</v>
      </c>
      <c r="F32" s="152">
        <v>4000</v>
      </c>
      <c r="G32" s="140">
        <f t="shared" ref="G32:G38" si="23">E32*F32</f>
        <v>125160</v>
      </c>
      <c r="H32" s="125">
        <v>2</v>
      </c>
      <c r="I32" s="150">
        <v>18</v>
      </c>
      <c r="J32" s="37">
        <v>2400</v>
      </c>
      <c r="K32" s="17">
        <f t="shared" si="1"/>
        <v>133.33333333333334</v>
      </c>
      <c r="L32" s="150">
        <v>18</v>
      </c>
      <c r="M32" s="18">
        <f t="shared" ref="M32:M38" si="24">F32/V32*60</f>
        <v>2285.7142857142858</v>
      </c>
      <c r="N32" s="17">
        <f t="shared" si="3"/>
        <v>126.98412698412699</v>
      </c>
      <c r="O32" s="19">
        <f t="shared" si="4"/>
        <v>0</v>
      </c>
      <c r="P32" s="20">
        <f t="shared" si="5"/>
        <v>-6.3492063492063551</v>
      </c>
      <c r="Q32" s="143">
        <f t="shared" si="6"/>
        <v>0.95238095238095233</v>
      </c>
      <c r="R32" s="489">
        <f>Q39</f>
        <v>0.95477237037499174</v>
      </c>
      <c r="S32" s="40">
        <v>8.3333333333333329E-2</v>
      </c>
      <c r="T32" s="40">
        <v>0.15625</v>
      </c>
      <c r="U32" s="140"/>
      <c r="V32" s="151">
        <f t="shared" ref="V32:V38" si="25">(T32-S32)*24*60</f>
        <v>105</v>
      </c>
      <c r="W32" s="23">
        <f>T32</f>
        <v>0.15625</v>
      </c>
      <c r="X32" s="23">
        <f>S33</f>
        <v>0.17569444444444443</v>
      </c>
      <c r="Y32" s="23"/>
      <c r="Z32" s="23"/>
      <c r="AA32" s="491"/>
      <c r="AB32" s="491"/>
      <c r="AC32" s="154">
        <v>9</v>
      </c>
      <c r="AD32" s="25"/>
      <c r="AE32" s="19">
        <f t="shared" si="8"/>
        <v>-114.28571428571422</v>
      </c>
      <c r="AF32" s="143">
        <f t="shared" si="9"/>
        <v>0.95238095238095244</v>
      </c>
      <c r="AG32" s="489">
        <f>AF39</f>
        <v>0.95477237037499174</v>
      </c>
    </row>
    <row r="33" spans="1:33" ht="15.75" customHeight="1">
      <c r="A33" s="518" t="s">
        <v>59</v>
      </c>
      <c r="B33" s="42" t="s">
        <v>80</v>
      </c>
      <c r="C33" s="515" t="s">
        <v>82</v>
      </c>
      <c r="D33" s="515"/>
      <c r="E33" s="42">
        <v>26.2</v>
      </c>
      <c r="F33" s="152">
        <v>3000</v>
      </c>
      <c r="G33" s="140">
        <f t="shared" si="23"/>
        <v>78600</v>
      </c>
      <c r="H33" s="125">
        <v>2</v>
      </c>
      <c r="I33" s="150">
        <v>20</v>
      </c>
      <c r="J33" s="37">
        <v>2400</v>
      </c>
      <c r="K33" s="17">
        <f t="shared" si="1"/>
        <v>120</v>
      </c>
      <c r="L33" s="150">
        <v>20</v>
      </c>
      <c r="M33" s="18">
        <f t="shared" si="24"/>
        <v>2307.6923076923076</v>
      </c>
      <c r="N33" s="17">
        <f t="shared" si="3"/>
        <v>115.38461538461539</v>
      </c>
      <c r="O33" s="19">
        <f t="shared" si="4"/>
        <v>0</v>
      </c>
      <c r="P33" s="20">
        <f t="shared" si="5"/>
        <v>-4.6153846153846132</v>
      </c>
      <c r="Q33" s="143">
        <f t="shared" si="6"/>
        <v>0.96153846153846156</v>
      </c>
      <c r="R33" s="489"/>
      <c r="S33" s="40">
        <v>0.17569444444444443</v>
      </c>
      <c r="T33" s="40">
        <v>0.2298611111111111</v>
      </c>
      <c r="U33" s="140">
        <f t="shared" ref="U33:U38" si="26">(S33-T32)*24*60</f>
        <v>27.999999999999979</v>
      </c>
      <c r="V33" s="151">
        <f t="shared" si="25"/>
        <v>78</v>
      </c>
      <c r="W33" s="23"/>
      <c r="X33" s="23"/>
      <c r="Y33" s="23"/>
      <c r="Z33" s="23"/>
      <c r="AA33" s="491"/>
      <c r="AB33" s="491"/>
      <c r="AC33" s="154"/>
      <c r="AD33" s="25"/>
      <c r="AE33" s="19">
        <f t="shared" si="8"/>
        <v>-92.307692307692378</v>
      </c>
      <c r="AF33" s="143">
        <f t="shared" si="9"/>
        <v>0.96153846153846156</v>
      </c>
      <c r="AG33" s="489"/>
    </row>
    <row r="34" spans="1:33" ht="15.75" customHeight="1">
      <c r="A34" s="518" t="s">
        <v>59</v>
      </c>
      <c r="B34" s="42" t="s">
        <v>80</v>
      </c>
      <c r="C34" s="515" t="s">
        <v>83</v>
      </c>
      <c r="D34" s="515"/>
      <c r="E34" s="42">
        <v>25.99</v>
      </c>
      <c r="F34" s="152">
        <v>4804</v>
      </c>
      <c r="G34" s="140">
        <f t="shared" si="23"/>
        <v>124855.95999999999</v>
      </c>
      <c r="H34" s="125" t="s">
        <v>79</v>
      </c>
      <c r="I34" s="150">
        <v>14</v>
      </c>
      <c r="J34" s="37">
        <v>2400</v>
      </c>
      <c r="K34" s="17">
        <f t="shared" si="1"/>
        <v>171.42857142857142</v>
      </c>
      <c r="L34" s="150">
        <v>14</v>
      </c>
      <c r="M34" s="18">
        <f t="shared" si="24"/>
        <v>2287.6190476190473</v>
      </c>
      <c r="N34" s="17">
        <f t="shared" si="3"/>
        <v>163.40136054421765</v>
      </c>
      <c r="O34" s="19">
        <f t="shared" si="4"/>
        <v>0</v>
      </c>
      <c r="P34" s="20">
        <f t="shared" si="5"/>
        <v>-8.0272108843537637</v>
      </c>
      <c r="Q34" s="143">
        <f t="shared" si="6"/>
        <v>0.95317460317460301</v>
      </c>
      <c r="R34" s="489"/>
      <c r="S34" s="40">
        <v>0.23472222222222222</v>
      </c>
      <c r="T34" s="40">
        <v>0.32222222222222224</v>
      </c>
      <c r="U34" s="140">
        <f t="shared" si="26"/>
        <v>7.0000000000000151</v>
      </c>
      <c r="V34" s="151">
        <f t="shared" si="25"/>
        <v>126.00000000000003</v>
      </c>
      <c r="W34" s="23"/>
      <c r="X34" s="23"/>
      <c r="Y34" s="23"/>
      <c r="Z34" s="23"/>
      <c r="AA34" s="491"/>
      <c r="AB34" s="491"/>
      <c r="AC34" s="154"/>
      <c r="AD34" s="25"/>
      <c r="AE34" s="19">
        <f t="shared" si="8"/>
        <v>-112.38095238095275</v>
      </c>
      <c r="AF34" s="143">
        <f t="shared" si="9"/>
        <v>0.95317460317460301</v>
      </c>
      <c r="AG34" s="489"/>
    </row>
    <row r="35" spans="1:33" ht="15.75" customHeight="1">
      <c r="A35" s="518" t="s">
        <v>59</v>
      </c>
      <c r="B35" s="42" t="s">
        <v>80</v>
      </c>
      <c r="C35" s="515" t="s">
        <v>84</v>
      </c>
      <c r="D35" s="515"/>
      <c r="E35" s="42">
        <v>20.52</v>
      </c>
      <c r="F35" s="152">
        <v>4907</v>
      </c>
      <c r="G35" s="140">
        <f t="shared" si="23"/>
        <v>100691.64</v>
      </c>
      <c r="H35" s="125" t="s">
        <v>79</v>
      </c>
      <c r="I35" s="150">
        <v>18</v>
      </c>
      <c r="J35" s="37">
        <v>2400</v>
      </c>
      <c r="K35" s="17">
        <f t="shared" si="1"/>
        <v>133.33333333333334</v>
      </c>
      <c r="L35" s="150">
        <v>18</v>
      </c>
      <c r="M35" s="18">
        <f t="shared" si="24"/>
        <v>2282.3255813953483</v>
      </c>
      <c r="N35" s="17">
        <f t="shared" si="3"/>
        <v>126.79586563307491</v>
      </c>
      <c r="O35" s="19">
        <f t="shared" si="4"/>
        <v>0</v>
      </c>
      <c r="P35" s="20">
        <f t="shared" si="5"/>
        <v>-6.537467700258432</v>
      </c>
      <c r="Q35" s="143">
        <f t="shared" si="6"/>
        <v>0.95096899224806175</v>
      </c>
      <c r="R35" s="489"/>
      <c r="S35" s="40">
        <v>0.32708333333333334</v>
      </c>
      <c r="T35" s="40">
        <v>0.41666666666666669</v>
      </c>
      <c r="U35" s="140">
        <f t="shared" si="26"/>
        <v>6.9999999999999751</v>
      </c>
      <c r="V35" s="151">
        <f t="shared" si="25"/>
        <v>129.00000000000003</v>
      </c>
      <c r="W35" s="23"/>
      <c r="X35" s="23"/>
      <c r="Y35" s="23"/>
      <c r="Z35" s="23"/>
      <c r="AA35" s="491"/>
      <c r="AB35" s="491"/>
      <c r="AC35" s="154"/>
      <c r="AD35" s="25"/>
      <c r="AE35" s="19">
        <f t="shared" si="8"/>
        <v>-117.67441860465169</v>
      </c>
      <c r="AF35" s="143">
        <f t="shared" si="9"/>
        <v>0.95096899224806175</v>
      </c>
      <c r="AG35" s="489"/>
    </row>
    <row r="36" spans="1:33" ht="15.75" customHeight="1">
      <c r="A36" s="518" t="s">
        <v>59</v>
      </c>
      <c r="B36" s="42" t="s">
        <v>80</v>
      </c>
      <c r="C36" s="515" t="s">
        <v>85</v>
      </c>
      <c r="D36" s="515"/>
      <c r="E36" s="42">
        <v>25.98</v>
      </c>
      <c r="F36" s="152">
        <v>3941</v>
      </c>
      <c r="G36" s="140">
        <f t="shared" si="23"/>
        <v>102387.18000000001</v>
      </c>
      <c r="H36" s="125" t="s">
        <v>79</v>
      </c>
      <c r="I36" s="150">
        <v>21</v>
      </c>
      <c r="J36" s="37">
        <v>2400</v>
      </c>
      <c r="K36" s="17">
        <f t="shared" si="1"/>
        <v>114.28571428571429</v>
      </c>
      <c r="L36" s="150">
        <v>21</v>
      </c>
      <c r="M36" s="18">
        <f t="shared" si="24"/>
        <v>2295.7281553398052</v>
      </c>
      <c r="N36" s="17">
        <f t="shared" si="3"/>
        <v>109.32038834951453</v>
      </c>
      <c r="O36" s="19">
        <f t="shared" si="4"/>
        <v>0</v>
      </c>
      <c r="P36" s="20">
        <f t="shared" si="5"/>
        <v>-4.9653259361997613</v>
      </c>
      <c r="Q36" s="143">
        <f t="shared" si="6"/>
        <v>0.95655339805825212</v>
      </c>
      <c r="R36" s="489"/>
      <c r="S36" s="40">
        <v>0.4201388888888889</v>
      </c>
      <c r="T36" s="40">
        <v>0.4916666666666667</v>
      </c>
      <c r="U36" s="140">
        <f t="shared" si="26"/>
        <v>4.9999999999999822</v>
      </c>
      <c r="V36" s="151">
        <f t="shared" si="25"/>
        <v>103.00000000000003</v>
      </c>
      <c r="W36" s="23">
        <f>T36</f>
        <v>0.4916666666666667</v>
      </c>
      <c r="X36" s="23">
        <f>S37</f>
        <v>0.53263888888888888</v>
      </c>
      <c r="Y36" s="23"/>
      <c r="Z36" s="23"/>
      <c r="AA36" s="491"/>
      <c r="AB36" s="491"/>
      <c r="AC36" s="154"/>
      <c r="AD36" s="25"/>
      <c r="AE36" s="19">
        <f t="shared" si="8"/>
        <v>-104.2718446601948</v>
      </c>
      <c r="AF36" s="143">
        <f t="shared" si="9"/>
        <v>0.95655339805825212</v>
      </c>
      <c r="AG36" s="489"/>
    </row>
    <row r="37" spans="1:33" ht="15.75" customHeight="1">
      <c r="A37" s="518" t="s">
        <v>508</v>
      </c>
      <c r="B37" s="42" t="s">
        <v>80</v>
      </c>
      <c r="C37" s="515" t="s">
        <v>81</v>
      </c>
      <c r="D37" s="515"/>
      <c r="E37" s="42">
        <v>31.29</v>
      </c>
      <c r="F37" s="152">
        <v>5891</v>
      </c>
      <c r="G37" s="140">
        <f t="shared" si="23"/>
        <v>184329.38999999998</v>
      </c>
      <c r="H37" s="125" t="s">
        <v>79</v>
      </c>
      <c r="I37" s="150">
        <v>18</v>
      </c>
      <c r="J37" s="37">
        <v>2400</v>
      </c>
      <c r="K37" s="17">
        <f t="shared" si="1"/>
        <v>133.33333333333334</v>
      </c>
      <c r="L37" s="150">
        <v>18</v>
      </c>
      <c r="M37" s="18">
        <f t="shared" si="24"/>
        <v>2295.1948051948043</v>
      </c>
      <c r="N37" s="17">
        <f t="shared" si="3"/>
        <v>127.51082251082246</v>
      </c>
      <c r="O37" s="19">
        <f t="shared" si="4"/>
        <v>0</v>
      </c>
      <c r="P37" s="20">
        <f t="shared" si="5"/>
        <v>-5.8225108225108784</v>
      </c>
      <c r="Q37" s="143">
        <f t="shared" si="6"/>
        <v>0.95633116883116842</v>
      </c>
      <c r="R37" s="489"/>
      <c r="S37" s="40">
        <v>0.53263888888888888</v>
      </c>
      <c r="T37" s="40">
        <v>0.63958333333333339</v>
      </c>
      <c r="U37" s="140">
        <f t="shared" si="26"/>
        <v>58.99999999999995</v>
      </c>
      <c r="V37" s="151">
        <f t="shared" si="25"/>
        <v>154.00000000000009</v>
      </c>
      <c r="W37" s="23"/>
      <c r="X37" s="23"/>
      <c r="Y37" s="23"/>
      <c r="Z37" s="23"/>
      <c r="AA37" s="491"/>
      <c r="AB37" s="491"/>
      <c r="AC37" s="154"/>
      <c r="AD37" s="25"/>
      <c r="AE37" s="19">
        <f t="shared" si="8"/>
        <v>-104.8051948051957</v>
      </c>
      <c r="AF37" s="143">
        <f t="shared" si="9"/>
        <v>0.95633116883116842</v>
      </c>
      <c r="AG37" s="489"/>
    </row>
    <row r="38" spans="1:33" ht="15.75" customHeight="1">
      <c r="A38" s="518" t="s">
        <v>59</v>
      </c>
      <c r="B38" s="42" t="s">
        <v>80</v>
      </c>
      <c r="C38" s="515" t="s">
        <v>82</v>
      </c>
      <c r="D38" s="515"/>
      <c r="E38" s="42">
        <v>26.2</v>
      </c>
      <c r="F38" s="152">
        <v>2324</v>
      </c>
      <c r="G38" s="140">
        <f t="shared" si="23"/>
        <v>60888.799999999996</v>
      </c>
      <c r="H38" s="125" t="s">
        <v>79</v>
      </c>
      <c r="I38" s="150">
        <v>20</v>
      </c>
      <c r="J38" s="37">
        <v>2400</v>
      </c>
      <c r="K38" s="17">
        <f t="shared" si="1"/>
        <v>120</v>
      </c>
      <c r="L38" s="150">
        <v>20</v>
      </c>
      <c r="M38" s="18">
        <f t="shared" si="24"/>
        <v>2285.9016393442644</v>
      </c>
      <c r="N38" s="17">
        <f t="shared" si="3"/>
        <v>114.29508196721322</v>
      </c>
      <c r="O38" s="19">
        <f t="shared" si="4"/>
        <v>0</v>
      </c>
      <c r="P38" s="20">
        <f t="shared" si="5"/>
        <v>-5.7049180327867788</v>
      </c>
      <c r="Q38" s="143">
        <f t="shared" si="6"/>
        <v>0.95245901639344355</v>
      </c>
      <c r="R38" s="489"/>
      <c r="S38" s="40">
        <v>0.64513888888888893</v>
      </c>
      <c r="T38" s="40">
        <v>0.6875</v>
      </c>
      <c r="U38" s="140">
        <f t="shared" si="26"/>
        <v>7.9999999999999716</v>
      </c>
      <c r="V38" s="151">
        <f t="shared" si="25"/>
        <v>60.999999999999943</v>
      </c>
      <c r="W38" s="23"/>
      <c r="X38" s="23"/>
      <c r="Y38" s="23"/>
      <c r="Z38" s="23"/>
      <c r="AA38" s="491"/>
      <c r="AB38" s="491"/>
      <c r="AC38" s="154"/>
      <c r="AD38" s="25"/>
      <c r="AE38" s="19">
        <f t="shared" si="8"/>
        <v>-114.09836065573563</v>
      </c>
      <c r="AF38" s="143">
        <f t="shared" si="9"/>
        <v>0.95245901639344344</v>
      </c>
      <c r="AG38" s="489"/>
    </row>
    <row r="39" spans="1:33" ht="15.75" customHeight="1">
      <c r="A39" s="518" t="s">
        <v>59</v>
      </c>
      <c r="B39" s="42" t="s">
        <v>49</v>
      </c>
      <c r="C39" s="494"/>
      <c r="D39" s="494"/>
      <c r="E39" s="147"/>
      <c r="F39" s="152"/>
      <c r="G39" s="140"/>
      <c r="H39" s="152"/>
      <c r="I39" s="30">
        <v>18.428571428571427</v>
      </c>
      <c r="J39" s="37">
        <v>2400</v>
      </c>
      <c r="K39" s="17">
        <f t="shared" si="1"/>
        <v>130.23255813953489</v>
      </c>
      <c r="L39" s="30">
        <v>18.428571428571427</v>
      </c>
      <c r="M39" s="18">
        <f>AVERAGE(M32:M38)</f>
        <v>2291.4536888999801</v>
      </c>
      <c r="N39" s="17">
        <f t="shared" si="3"/>
        <v>124.34244823488265</v>
      </c>
      <c r="O39" s="19">
        <f t="shared" si="4"/>
        <v>0</v>
      </c>
      <c r="P39" s="20">
        <f t="shared" si="5"/>
        <v>-5.8901099046522347</v>
      </c>
      <c r="Q39" s="143">
        <f t="shared" si="6"/>
        <v>0.95477237037499174</v>
      </c>
      <c r="R39" s="489"/>
      <c r="S39" s="40"/>
      <c r="T39" s="40"/>
      <c r="U39" s="140"/>
      <c r="V39" s="151"/>
      <c r="W39" s="140"/>
      <c r="X39" s="140"/>
      <c r="Y39" s="31">
        <f>SUM(Y32:Y38)</f>
        <v>0</v>
      </c>
      <c r="Z39" s="31">
        <f>SUM(Z32:Z38)</f>
        <v>0</v>
      </c>
      <c r="AA39" s="495"/>
      <c r="AB39" s="495"/>
      <c r="AC39" s="31">
        <f>SUM(AC32:AC38)</f>
        <v>9</v>
      </c>
      <c r="AD39" s="31">
        <f>SUM(AD32:AD38)</f>
        <v>0</v>
      </c>
      <c r="AE39" s="19">
        <f t="shared" si="8"/>
        <v>-108.54631110001992</v>
      </c>
      <c r="AF39" s="143">
        <f t="shared" si="9"/>
        <v>0.95477237037499174</v>
      </c>
      <c r="AG39" s="489"/>
    </row>
    <row r="40" spans="1:33" ht="15.75" customHeight="1">
      <c r="A40" s="516" t="s">
        <v>509</v>
      </c>
      <c r="B40" s="42" t="s">
        <v>80</v>
      </c>
      <c r="C40" s="490" t="s">
        <v>86</v>
      </c>
      <c r="D40" s="490"/>
      <c r="E40" s="42">
        <v>22.69</v>
      </c>
      <c r="F40" s="152">
        <v>912</v>
      </c>
      <c r="G40" s="140">
        <f t="shared" ref="G40:G47" si="27">E40*F40</f>
        <v>20693.280000000002</v>
      </c>
      <c r="H40" s="125" t="s">
        <v>79</v>
      </c>
      <c r="I40" s="150">
        <v>15</v>
      </c>
      <c r="J40" s="37">
        <v>2400</v>
      </c>
      <c r="K40" s="17">
        <f t="shared" si="1"/>
        <v>160</v>
      </c>
      <c r="L40" s="150">
        <v>15</v>
      </c>
      <c r="M40" s="18">
        <f t="shared" ref="M40:M47" si="28">F40/V40*60</f>
        <v>2379.1304347826085</v>
      </c>
      <c r="N40" s="17">
        <f t="shared" si="3"/>
        <v>158.60869565217391</v>
      </c>
      <c r="O40" s="19">
        <f t="shared" si="4"/>
        <v>0</v>
      </c>
      <c r="P40" s="20">
        <f t="shared" si="5"/>
        <v>-1.3913043478260931</v>
      </c>
      <c r="Q40" s="143">
        <f t="shared" si="6"/>
        <v>0.9913043478260869</v>
      </c>
      <c r="R40" s="489">
        <f>Q48</f>
        <v>0.96087484651020083</v>
      </c>
      <c r="S40" s="40">
        <v>8.3333333333333329E-2</v>
      </c>
      <c r="T40" s="40">
        <v>9.930555555555555E-2</v>
      </c>
      <c r="U40" s="140"/>
      <c r="V40" s="151">
        <f t="shared" ref="V40:V47" si="29">(T40-S40)*24*60</f>
        <v>23</v>
      </c>
      <c r="W40" s="28">
        <f>T40</f>
        <v>9.930555555555555E-2</v>
      </c>
      <c r="X40" s="28">
        <f>S41</f>
        <v>0.11736111111111111</v>
      </c>
      <c r="Y40" s="28"/>
      <c r="Z40" s="28"/>
      <c r="AA40" s="491"/>
      <c r="AB40" s="491"/>
      <c r="AC40" s="154">
        <v>7</v>
      </c>
      <c r="AD40" s="25"/>
      <c r="AE40" s="19">
        <f t="shared" si="8"/>
        <v>-20.869565217391482</v>
      </c>
      <c r="AF40" s="143">
        <f t="shared" si="9"/>
        <v>0.9913043478260869</v>
      </c>
      <c r="AG40" s="489">
        <f>AF48</f>
        <v>0.96087484651020072</v>
      </c>
    </row>
    <row r="41" spans="1:33" ht="15.75" customHeight="1">
      <c r="A41" s="516" t="s">
        <v>509</v>
      </c>
      <c r="B41" s="42" t="s">
        <v>80</v>
      </c>
      <c r="C41" s="490" t="s">
        <v>87</v>
      </c>
      <c r="D41" s="490"/>
      <c r="E41" s="42">
        <v>26.2</v>
      </c>
      <c r="F41" s="152">
        <v>3000</v>
      </c>
      <c r="G41" s="140">
        <f t="shared" si="27"/>
        <v>78600</v>
      </c>
      <c r="H41" s="125">
        <v>2</v>
      </c>
      <c r="I41" s="150">
        <v>18</v>
      </c>
      <c r="J41" s="37">
        <v>2400</v>
      </c>
      <c r="K41" s="17">
        <f t="shared" si="1"/>
        <v>133.33333333333334</v>
      </c>
      <c r="L41" s="150">
        <v>18</v>
      </c>
      <c r="M41" s="18">
        <f t="shared" si="28"/>
        <v>2307.6923076923076</v>
      </c>
      <c r="N41" s="17">
        <f t="shared" si="3"/>
        <v>128.2051282051282</v>
      </c>
      <c r="O41" s="19">
        <f t="shared" si="4"/>
        <v>0</v>
      </c>
      <c r="P41" s="20">
        <f t="shared" si="5"/>
        <v>-5.1282051282051384</v>
      </c>
      <c r="Q41" s="143">
        <f t="shared" si="6"/>
        <v>0.96153846153846145</v>
      </c>
      <c r="R41" s="489"/>
      <c r="S41" s="40">
        <v>0.11736111111111111</v>
      </c>
      <c r="T41" s="40">
        <v>0.17152777777777778</v>
      </c>
      <c r="U41" s="140">
        <f t="shared" ref="U41:U47" si="30">(S41-T40)*24*60</f>
        <v>26.000000000000007</v>
      </c>
      <c r="V41" s="151">
        <f t="shared" si="29"/>
        <v>78</v>
      </c>
      <c r="W41" s="140"/>
      <c r="X41" s="140"/>
      <c r="Y41" s="140"/>
      <c r="Z41" s="140"/>
      <c r="AA41" s="491"/>
      <c r="AB41" s="491"/>
      <c r="AC41" s="154"/>
      <c r="AD41" s="25"/>
      <c r="AE41" s="19">
        <f t="shared" si="8"/>
        <v>-92.307692307692378</v>
      </c>
      <c r="AF41" s="143">
        <f t="shared" si="9"/>
        <v>0.96153846153846156</v>
      </c>
      <c r="AG41" s="489"/>
    </row>
    <row r="42" spans="1:33">
      <c r="A42" s="517" t="s">
        <v>509</v>
      </c>
      <c r="B42" s="42" t="s">
        <v>80</v>
      </c>
      <c r="C42" s="490" t="s">
        <v>88</v>
      </c>
      <c r="D42" s="490"/>
      <c r="E42" s="42">
        <v>26.18</v>
      </c>
      <c r="F42" s="152">
        <v>2526</v>
      </c>
      <c r="G42" s="140">
        <f t="shared" si="27"/>
        <v>66130.679999999993</v>
      </c>
      <c r="H42" s="125" t="s">
        <v>79</v>
      </c>
      <c r="I42" s="150">
        <v>19</v>
      </c>
      <c r="J42" s="37">
        <v>2400</v>
      </c>
      <c r="K42" s="17">
        <f t="shared" si="1"/>
        <v>126.31578947368421</v>
      </c>
      <c r="L42" s="150">
        <v>19</v>
      </c>
      <c r="M42" s="18">
        <f t="shared" si="28"/>
        <v>2296.3636363636365</v>
      </c>
      <c r="N42" s="17">
        <f t="shared" si="3"/>
        <v>120.86124401913877</v>
      </c>
      <c r="O42" s="19">
        <f t="shared" si="4"/>
        <v>0</v>
      </c>
      <c r="P42" s="20">
        <f t="shared" si="5"/>
        <v>-5.454545454545439</v>
      </c>
      <c r="Q42" s="143">
        <f t="shared" si="6"/>
        <v>0.9568181818181819</v>
      </c>
      <c r="R42" s="489"/>
      <c r="S42" s="40">
        <v>0.17569444444444446</v>
      </c>
      <c r="T42" s="40">
        <v>0.2215277777777778</v>
      </c>
      <c r="U42" s="140">
        <f t="shared" si="30"/>
        <v>6.0000000000000187</v>
      </c>
      <c r="V42" s="151">
        <f t="shared" si="29"/>
        <v>66</v>
      </c>
      <c r="W42" s="140"/>
      <c r="X42" s="140"/>
      <c r="Y42" s="140"/>
      <c r="Z42" s="140"/>
      <c r="AA42" s="491"/>
      <c r="AB42" s="491"/>
      <c r="AC42" s="154"/>
      <c r="AD42" s="25"/>
      <c r="AE42" s="19">
        <f t="shared" si="8"/>
        <v>-103.63636363636351</v>
      </c>
      <c r="AF42" s="143">
        <f t="shared" si="9"/>
        <v>0.9568181818181819</v>
      </c>
      <c r="AG42" s="489"/>
    </row>
    <row r="43" spans="1:33">
      <c r="A43" s="517" t="s">
        <v>509</v>
      </c>
      <c r="B43" s="42" t="s">
        <v>80</v>
      </c>
      <c r="C43" s="490" t="s">
        <v>89</v>
      </c>
      <c r="D43" s="490"/>
      <c r="E43" s="42">
        <v>26.39</v>
      </c>
      <c r="F43" s="152">
        <v>6798</v>
      </c>
      <c r="G43" s="140">
        <f t="shared" si="27"/>
        <v>179399.22</v>
      </c>
      <c r="H43" s="125" t="s">
        <v>79</v>
      </c>
      <c r="I43" s="150">
        <v>19</v>
      </c>
      <c r="J43" s="37">
        <v>2400</v>
      </c>
      <c r="K43" s="17">
        <f t="shared" si="1"/>
        <v>126.31578947368421</v>
      </c>
      <c r="L43" s="150">
        <v>19</v>
      </c>
      <c r="M43" s="18">
        <f t="shared" si="28"/>
        <v>2291.4606741573039</v>
      </c>
      <c r="N43" s="17">
        <f t="shared" si="3"/>
        <v>120.6031933767002</v>
      </c>
      <c r="O43" s="19">
        <f t="shared" si="4"/>
        <v>0</v>
      </c>
      <c r="P43" s="20">
        <f t="shared" si="5"/>
        <v>-5.7125960969840008</v>
      </c>
      <c r="Q43" s="143">
        <f t="shared" si="6"/>
        <v>0.95477528089887664</v>
      </c>
      <c r="R43" s="489"/>
      <c r="S43" s="40">
        <v>0.22500000000000001</v>
      </c>
      <c r="T43" s="40">
        <v>0.34861111111111109</v>
      </c>
      <c r="U43" s="140">
        <f t="shared" si="30"/>
        <v>4.9999999999999822</v>
      </c>
      <c r="V43" s="151">
        <f t="shared" si="29"/>
        <v>177.99999999999994</v>
      </c>
      <c r="W43" s="23"/>
      <c r="X43" s="23"/>
      <c r="Y43" s="23"/>
      <c r="Z43" s="23"/>
      <c r="AA43" s="491"/>
      <c r="AB43" s="491"/>
      <c r="AC43" s="154"/>
      <c r="AD43" s="25"/>
      <c r="AE43" s="19">
        <f t="shared" si="8"/>
        <v>-108.53932584269614</v>
      </c>
      <c r="AF43" s="143">
        <f t="shared" si="9"/>
        <v>0.95477528089887664</v>
      </c>
      <c r="AG43" s="489"/>
    </row>
    <row r="44" spans="1:33">
      <c r="A44" s="517" t="s">
        <v>509</v>
      </c>
      <c r="B44" s="42" t="s">
        <v>80</v>
      </c>
      <c r="C44" s="490" t="s">
        <v>90</v>
      </c>
      <c r="D44" s="490"/>
      <c r="E44" s="42">
        <v>22.69</v>
      </c>
      <c r="F44" s="152">
        <v>3053</v>
      </c>
      <c r="G44" s="140">
        <f t="shared" si="27"/>
        <v>69272.570000000007</v>
      </c>
      <c r="H44" s="125" t="s">
        <v>79</v>
      </c>
      <c r="I44" s="150">
        <v>15</v>
      </c>
      <c r="J44" s="37">
        <v>2400</v>
      </c>
      <c r="K44" s="17">
        <f t="shared" si="1"/>
        <v>160</v>
      </c>
      <c r="L44" s="150">
        <v>15</v>
      </c>
      <c r="M44" s="18">
        <f t="shared" si="28"/>
        <v>2289.7499999999991</v>
      </c>
      <c r="N44" s="17">
        <f t="shared" si="3"/>
        <v>152.64999999999995</v>
      </c>
      <c r="O44" s="19">
        <f t="shared" si="4"/>
        <v>0</v>
      </c>
      <c r="P44" s="20">
        <f t="shared" si="5"/>
        <v>-7.3500000000000512</v>
      </c>
      <c r="Q44" s="143">
        <f t="shared" si="6"/>
        <v>0.9540624999999997</v>
      </c>
      <c r="R44" s="489"/>
      <c r="S44" s="40">
        <v>0.35347222222222219</v>
      </c>
      <c r="T44" s="40">
        <v>0.40902777777777777</v>
      </c>
      <c r="U44" s="140">
        <f t="shared" si="30"/>
        <v>6.9999999999999751</v>
      </c>
      <c r="V44" s="151">
        <f t="shared" si="29"/>
        <v>80.000000000000028</v>
      </c>
      <c r="W44" s="23"/>
      <c r="X44" s="23"/>
      <c r="Y44" s="23"/>
      <c r="Z44" s="23"/>
      <c r="AA44" s="491"/>
      <c r="AB44" s="491"/>
      <c r="AC44" s="154"/>
      <c r="AD44" s="25"/>
      <c r="AE44" s="19">
        <f t="shared" si="8"/>
        <v>-110.25000000000091</v>
      </c>
      <c r="AF44" s="143">
        <f t="shared" si="9"/>
        <v>0.95406249999999959</v>
      </c>
      <c r="AG44" s="489"/>
    </row>
    <row r="45" spans="1:33">
      <c r="A45" s="517" t="s">
        <v>509</v>
      </c>
      <c r="B45" s="42" t="s">
        <v>80</v>
      </c>
      <c r="C45" s="490" t="s">
        <v>91</v>
      </c>
      <c r="D45" s="490"/>
      <c r="E45" s="42">
        <v>24.45</v>
      </c>
      <c r="F45" s="152">
        <v>2853</v>
      </c>
      <c r="G45" s="140">
        <f t="shared" si="27"/>
        <v>69755.849999999991</v>
      </c>
      <c r="H45" s="125" t="s">
        <v>79</v>
      </c>
      <c r="I45" s="150">
        <v>20</v>
      </c>
      <c r="J45" s="37">
        <v>2400</v>
      </c>
      <c r="K45" s="17">
        <f t="shared" si="1"/>
        <v>120</v>
      </c>
      <c r="L45" s="150">
        <v>20</v>
      </c>
      <c r="M45" s="18">
        <f t="shared" si="28"/>
        <v>2282.400000000001</v>
      </c>
      <c r="N45" s="17">
        <f t="shared" si="3"/>
        <v>114.12000000000005</v>
      </c>
      <c r="O45" s="19">
        <f t="shared" si="4"/>
        <v>0</v>
      </c>
      <c r="P45" s="20">
        <f t="shared" si="5"/>
        <v>-5.8799999999999528</v>
      </c>
      <c r="Q45" s="143">
        <f t="shared" si="6"/>
        <v>0.9510000000000004</v>
      </c>
      <c r="R45" s="489"/>
      <c r="S45" s="40">
        <v>0.41388888888888886</v>
      </c>
      <c r="T45" s="40">
        <v>0.46597222222222218</v>
      </c>
      <c r="U45" s="140">
        <f t="shared" si="30"/>
        <v>6.9999999999999751</v>
      </c>
      <c r="V45" s="151">
        <f t="shared" si="29"/>
        <v>74.999999999999972</v>
      </c>
      <c r="W45" s="23"/>
      <c r="X45" s="23"/>
      <c r="Y45" s="23"/>
      <c r="Z45" s="23"/>
      <c r="AA45" s="491"/>
      <c r="AB45" s="491"/>
      <c r="AC45" s="154"/>
      <c r="AD45" s="25"/>
      <c r="AE45" s="19">
        <f t="shared" si="8"/>
        <v>-117.599999999999</v>
      </c>
      <c r="AF45" s="143">
        <f t="shared" si="9"/>
        <v>0.9510000000000004</v>
      </c>
      <c r="AG45" s="489"/>
    </row>
    <row r="46" spans="1:33">
      <c r="A46" s="517" t="s">
        <v>509</v>
      </c>
      <c r="B46" s="42" t="s">
        <v>80</v>
      </c>
      <c r="C46" s="490" t="s">
        <v>92</v>
      </c>
      <c r="D46" s="490"/>
      <c r="E46" s="42">
        <v>28.51</v>
      </c>
      <c r="F46" s="152">
        <v>539</v>
      </c>
      <c r="G46" s="140">
        <f t="shared" si="27"/>
        <v>15366.890000000001</v>
      </c>
      <c r="H46" s="125" t="s">
        <v>79</v>
      </c>
      <c r="I46" s="150">
        <v>16</v>
      </c>
      <c r="J46" s="37">
        <v>2400</v>
      </c>
      <c r="K46" s="17">
        <f t="shared" si="1"/>
        <v>150</v>
      </c>
      <c r="L46" s="150">
        <v>16</v>
      </c>
      <c r="M46" s="18">
        <f t="shared" si="28"/>
        <v>2309.999999999995</v>
      </c>
      <c r="N46" s="17">
        <f t="shared" si="3"/>
        <v>144.37499999999969</v>
      </c>
      <c r="O46" s="19">
        <f t="shared" si="4"/>
        <v>0</v>
      </c>
      <c r="P46" s="20">
        <f t="shared" si="5"/>
        <v>-5.6250000000003126</v>
      </c>
      <c r="Q46" s="143">
        <f t="shared" si="6"/>
        <v>0.96249999999999791</v>
      </c>
      <c r="R46" s="489"/>
      <c r="S46" s="40">
        <v>0.47083333333333327</v>
      </c>
      <c r="T46" s="40">
        <v>0.48055555555555551</v>
      </c>
      <c r="U46" s="140">
        <f t="shared" si="30"/>
        <v>6.9999999999999751</v>
      </c>
      <c r="V46" s="151">
        <f t="shared" si="29"/>
        <v>14.00000000000003</v>
      </c>
      <c r="W46" s="23">
        <f>T46</f>
        <v>0.48055555555555551</v>
      </c>
      <c r="X46" s="23">
        <f>S47</f>
        <v>0.51944444444444438</v>
      </c>
      <c r="Y46" s="26"/>
      <c r="Z46" s="26"/>
      <c r="AA46" s="503"/>
      <c r="AB46" s="504"/>
      <c r="AC46" s="154"/>
      <c r="AD46" s="25"/>
      <c r="AE46" s="19">
        <f t="shared" si="8"/>
        <v>-90.000000000005002</v>
      </c>
      <c r="AF46" s="143">
        <f t="shared" si="9"/>
        <v>0.96249999999999791</v>
      </c>
      <c r="AG46" s="489"/>
    </row>
    <row r="47" spans="1:33">
      <c r="A47" s="517" t="s">
        <v>509</v>
      </c>
      <c r="B47" s="42" t="s">
        <v>80</v>
      </c>
      <c r="C47" s="490" t="s">
        <v>87</v>
      </c>
      <c r="D47" s="490"/>
      <c r="E47" s="42">
        <v>26.2</v>
      </c>
      <c r="F47" s="152">
        <v>4011</v>
      </c>
      <c r="G47" s="140">
        <f t="shared" si="27"/>
        <v>105088.2</v>
      </c>
      <c r="H47" s="125" t="s">
        <v>79</v>
      </c>
      <c r="I47" s="150">
        <v>18</v>
      </c>
      <c r="J47" s="37">
        <v>2400</v>
      </c>
      <c r="K47" s="17">
        <f t="shared" si="1"/>
        <v>133.33333333333334</v>
      </c>
      <c r="L47" s="150">
        <v>18</v>
      </c>
      <c r="M47" s="18">
        <f t="shared" si="28"/>
        <v>2292.0000000000014</v>
      </c>
      <c r="N47" s="17">
        <f t="shared" si="3"/>
        <v>127.33333333333341</v>
      </c>
      <c r="O47" s="19">
        <f t="shared" si="4"/>
        <v>0</v>
      </c>
      <c r="P47" s="20">
        <f t="shared" si="5"/>
        <v>-5.9999999999999289</v>
      </c>
      <c r="Q47" s="143">
        <f t="shared" si="6"/>
        <v>0.95500000000000052</v>
      </c>
      <c r="R47" s="489"/>
      <c r="S47" s="40">
        <v>0.51944444444444438</v>
      </c>
      <c r="T47" s="40">
        <v>0.59236111111111101</v>
      </c>
      <c r="U47" s="140">
        <f t="shared" si="30"/>
        <v>55.999999999999957</v>
      </c>
      <c r="V47" s="151">
        <f t="shared" si="29"/>
        <v>104.99999999999994</v>
      </c>
      <c r="W47" s="23"/>
      <c r="X47" s="23"/>
      <c r="Y47" s="26"/>
      <c r="Z47" s="26"/>
      <c r="AA47" s="503"/>
      <c r="AB47" s="504"/>
      <c r="AC47" s="154"/>
      <c r="AD47" s="25"/>
      <c r="AE47" s="19">
        <f t="shared" si="8"/>
        <v>-107.99999999999864</v>
      </c>
      <c r="AF47" s="143">
        <f t="shared" si="9"/>
        <v>0.95500000000000052</v>
      </c>
      <c r="AG47" s="489"/>
    </row>
    <row r="48" spans="1:33">
      <c r="A48" s="517" t="s">
        <v>509</v>
      </c>
      <c r="B48" s="44" t="s">
        <v>506</v>
      </c>
      <c r="C48" s="494"/>
      <c r="D48" s="494"/>
      <c r="E48" s="147"/>
      <c r="F48" s="44"/>
      <c r="G48" s="17"/>
      <c r="H48" s="152"/>
      <c r="I48" s="30">
        <v>17.5</v>
      </c>
      <c r="J48" s="37">
        <v>2400</v>
      </c>
      <c r="K48" s="17">
        <f t="shared" si="1"/>
        <v>137.14285714285714</v>
      </c>
      <c r="L48" s="30">
        <v>17.5</v>
      </c>
      <c r="M48" s="18">
        <f>AVERAGE(M40:M47)</f>
        <v>2306.0996316244818</v>
      </c>
      <c r="N48" s="17">
        <f t="shared" si="3"/>
        <v>131.77712180711325</v>
      </c>
      <c r="O48" s="19">
        <f t="shared" si="4"/>
        <v>0</v>
      </c>
      <c r="P48" s="20">
        <f t="shared" si="5"/>
        <v>-5.3657353357438922</v>
      </c>
      <c r="Q48" s="143">
        <f t="shared" si="6"/>
        <v>0.96087484651020083</v>
      </c>
      <c r="R48" s="489"/>
      <c r="S48" s="40"/>
      <c r="T48" s="40"/>
      <c r="U48" s="17"/>
      <c r="V48" s="151"/>
      <c r="W48" s="17"/>
      <c r="X48" s="17"/>
      <c r="Y48" s="31">
        <f>SUM(Y40:Y47)</f>
        <v>0</v>
      </c>
      <c r="Z48" s="31">
        <f>SUM(Z40:Z47)</f>
        <v>0</v>
      </c>
      <c r="AA48" s="495"/>
      <c r="AB48" s="495"/>
      <c r="AC48" s="31">
        <f>SUM(AC40:AC47)</f>
        <v>7</v>
      </c>
      <c r="AD48" s="31">
        <f>SUM(AD40:AD47)</f>
        <v>0</v>
      </c>
      <c r="AE48" s="19">
        <f t="shared" si="8"/>
        <v>-93.900368375518156</v>
      </c>
      <c r="AF48" s="143">
        <f t="shared" si="9"/>
        <v>0.96087484651020072</v>
      </c>
      <c r="AG48" s="489"/>
    </row>
    <row r="49" spans="1:33" ht="15.75" customHeight="1">
      <c r="A49" s="512" t="s">
        <v>510</v>
      </c>
      <c r="B49" s="42" t="s">
        <v>93</v>
      </c>
      <c r="C49" s="501" t="s">
        <v>94</v>
      </c>
      <c r="D49" s="502"/>
      <c r="E49" s="42">
        <v>21.13</v>
      </c>
      <c r="F49" s="152">
        <v>5820</v>
      </c>
      <c r="G49" s="140">
        <f t="shared" ref="G49:G54" si="31">E49*F49</f>
        <v>122976.59999999999</v>
      </c>
      <c r="H49" s="125" t="s">
        <v>79</v>
      </c>
      <c r="I49" s="150">
        <v>10</v>
      </c>
      <c r="J49" s="37">
        <v>3000</v>
      </c>
      <c r="K49" s="17">
        <f t="shared" si="1"/>
        <v>300</v>
      </c>
      <c r="L49" s="150">
        <v>10</v>
      </c>
      <c r="M49" s="18">
        <f t="shared" ref="M49:M54" si="32">F49/V49*60</f>
        <v>2862.2950819672133</v>
      </c>
      <c r="N49" s="18">
        <f t="shared" si="3"/>
        <v>286.22950819672133</v>
      </c>
      <c r="O49" s="19">
        <f t="shared" si="4"/>
        <v>0</v>
      </c>
      <c r="P49" s="20">
        <f t="shared" si="5"/>
        <v>-13.770491803278674</v>
      </c>
      <c r="Q49" s="143">
        <f t="shared" si="6"/>
        <v>0.95409836065573772</v>
      </c>
      <c r="R49" s="509">
        <f>Q55</f>
        <v>0.95572234650478805</v>
      </c>
      <c r="S49" s="40">
        <v>8.3333333333333329E-2</v>
      </c>
      <c r="T49" s="40">
        <v>0.16805555555555554</v>
      </c>
      <c r="U49" s="28"/>
      <c r="V49" s="151">
        <f t="shared" ref="V49:V54" si="33">(T49-S49)*24*60</f>
        <v>122</v>
      </c>
      <c r="W49" s="23">
        <f>T49</f>
        <v>0.16805555555555554</v>
      </c>
      <c r="X49" s="23">
        <f>S50</f>
        <v>0.18680555555555556</v>
      </c>
      <c r="Y49" s="26"/>
      <c r="Z49" s="26"/>
      <c r="AA49" s="503"/>
      <c r="AB49" s="504"/>
      <c r="AC49" s="154">
        <v>1</v>
      </c>
      <c r="AD49" s="25"/>
      <c r="AE49" s="19">
        <f t="shared" si="8"/>
        <v>-137.70491803278674</v>
      </c>
      <c r="AF49" s="143">
        <f t="shared" si="9"/>
        <v>0.95409836065573772</v>
      </c>
      <c r="AG49" s="509">
        <f>AF55</f>
        <v>0.95572234650478805</v>
      </c>
    </row>
    <row r="50" spans="1:33" ht="15.75" customHeight="1">
      <c r="A50" s="513" t="s">
        <v>510</v>
      </c>
      <c r="B50" s="42" t="s">
        <v>93</v>
      </c>
      <c r="C50" s="501" t="s">
        <v>95</v>
      </c>
      <c r="D50" s="502"/>
      <c r="E50" s="42">
        <v>27.17</v>
      </c>
      <c r="F50" s="152">
        <v>7652</v>
      </c>
      <c r="G50" s="140">
        <f t="shared" si="31"/>
        <v>207904.84000000003</v>
      </c>
      <c r="H50" s="125" t="s">
        <v>79</v>
      </c>
      <c r="I50" s="150">
        <v>10</v>
      </c>
      <c r="J50" s="37">
        <v>3000</v>
      </c>
      <c r="K50" s="17">
        <f t="shared" si="1"/>
        <v>300</v>
      </c>
      <c r="L50" s="150">
        <v>10</v>
      </c>
      <c r="M50" s="18">
        <f t="shared" si="32"/>
        <v>2851.6770186335402</v>
      </c>
      <c r="N50" s="18">
        <f t="shared" si="3"/>
        <v>285.16770186335401</v>
      </c>
      <c r="O50" s="19">
        <f t="shared" si="4"/>
        <v>0</v>
      </c>
      <c r="P50" s="20">
        <f t="shared" si="5"/>
        <v>-14.832298136645989</v>
      </c>
      <c r="Q50" s="143">
        <f t="shared" si="6"/>
        <v>0.95055900621118006</v>
      </c>
      <c r="R50" s="510"/>
      <c r="S50" s="40">
        <v>0.18680555555555556</v>
      </c>
      <c r="T50" s="40">
        <v>0.2986111111111111</v>
      </c>
      <c r="U50" s="140">
        <f t="shared" ref="U50:U54" si="34">(S50-T49)*24*60</f>
        <v>27.000000000000025</v>
      </c>
      <c r="V50" s="151">
        <f t="shared" si="33"/>
        <v>161</v>
      </c>
      <c r="W50" s="23"/>
      <c r="X50" s="23"/>
      <c r="Y50" s="26"/>
      <c r="Z50" s="26"/>
      <c r="AA50" s="503"/>
      <c r="AB50" s="504"/>
      <c r="AC50" s="154">
        <v>1</v>
      </c>
      <c r="AD50" s="25"/>
      <c r="AE50" s="19">
        <f t="shared" si="8"/>
        <v>-148.32298136645977</v>
      </c>
      <c r="AF50" s="143">
        <f t="shared" si="9"/>
        <v>0.95055900621118006</v>
      </c>
      <c r="AG50" s="510"/>
    </row>
    <row r="51" spans="1:33" ht="15.75" customHeight="1">
      <c r="A51" s="513" t="s">
        <v>510</v>
      </c>
      <c r="B51" s="42" t="s">
        <v>93</v>
      </c>
      <c r="C51" s="501" t="s">
        <v>96</v>
      </c>
      <c r="D51" s="502"/>
      <c r="E51" s="42">
        <v>35.119999999999997</v>
      </c>
      <c r="F51" s="152">
        <v>5149</v>
      </c>
      <c r="G51" s="140">
        <f t="shared" si="31"/>
        <v>180832.87999999998</v>
      </c>
      <c r="H51" s="125" t="s">
        <v>79</v>
      </c>
      <c r="I51" s="150">
        <v>10</v>
      </c>
      <c r="J51" s="37">
        <v>3000</v>
      </c>
      <c r="K51" s="17">
        <f t="shared" si="1"/>
        <v>300</v>
      </c>
      <c r="L51" s="150">
        <v>10</v>
      </c>
      <c r="M51" s="18">
        <f t="shared" si="32"/>
        <v>2860.5555555555552</v>
      </c>
      <c r="N51" s="18">
        <f t="shared" si="3"/>
        <v>286.05555555555554</v>
      </c>
      <c r="O51" s="19">
        <f t="shared" si="4"/>
        <v>0</v>
      </c>
      <c r="P51" s="20">
        <f t="shared" si="5"/>
        <v>-13.944444444444457</v>
      </c>
      <c r="Q51" s="143">
        <f t="shared" si="6"/>
        <v>0.95351851851851843</v>
      </c>
      <c r="R51" s="510"/>
      <c r="S51" s="40">
        <v>0.30416666666666664</v>
      </c>
      <c r="T51" s="40">
        <v>0.37916666666666665</v>
      </c>
      <c r="U51" s="140">
        <f t="shared" si="34"/>
        <v>7.9999999999999716</v>
      </c>
      <c r="V51" s="151">
        <f t="shared" si="33"/>
        <v>108.00000000000001</v>
      </c>
      <c r="W51" s="23"/>
      <c r="X51" s="23"/>
      <c r="Y51" s="26"/>
      <c r="Z51" s="26"/>
      <c r="AA51" s="503"/>
      <c r="AB51" s="504"/>
      <c r="AC51" s="154">
        <v>1</v>
      </c>
      <c r="AD51" s="25"/>
      <c r="AE51" s="19">
        <f t="shared" si="8"/>
        <v>-139.4444444444448</v>
      </c>
      <c r="AF51" s="143">
        <f t="shared" si="9"/>
        <v>0.95351851851851843</v>
      </c>
      <c r="AG51" s="510"/>
    </row>
    <row r="52" spans="1:33" ht="15.75" customHeight="1">
      <c r="A52" s="513" t="s">
        <v>510</v>
      </c>
      <c r="B52" s="42" t="s">
        <v>93</v>
      </c>
      <c r="C52" s="501" t="s">
        <v>97</v>
      </c>
      <c r="D52" s="502"/>
      <c r="E52" s="42">
        <v>31</v>
      </c>
      <c r="F52" s="152">
        <v>1397</v>
      </c>
      <c r="G52" s="140">
        <f t="shared" si="31"/>
        <v>43307</v>
      </c>
      <c r="H52" s="125" t="s">
        <v>79</v>
      </c>
      <c r="I52" s="150">
        <v>13</v>
      </c>
      <c r="J52" s="37">
        <v>2000</v>
      </c>
      <c r="K52" s="17">
        <f t="shared" si="1"/>
        <v>153.84615384615384</v>
      </c>
      <c r="L52" s="150">
        <v>13</v>
      </c>
      <c r="M52" s="18">
        <f t="shared" si="32"/>
        <v>1905</v>
      </c>
      <c r="N52" s="18">
        <f t="shared" si="3"/>
        <v>146.53846153846155</v>
      </c>
      <c r="O52" s="19">
        <f t="shared" si="4"/>
        <v>0</v>
      </c>
      <c r="P52" s="20">
        <f t="shared" si="5"/>
        <v>-7.3076923076922924</v>
      </c>
      <c r="Q52" s="143">
        <f t="shared" si="6"/>
        <v>0.95250000000000012</v>
      </c>
      <c r="R52" s="510"/>
      <c r="S52" s="40">
        <v>0.38402777777777775</v>
      </c>
      <c r="T52" s="40">
        <v>0.4145833333333333</v>
      </c>
      <c r="U52" s="140">
        <f t="shared" si="34"/>
        <v>6.9999999999999751</v>
      </c>
      <c r="V52" s="151">
        <f t="shared" si="33"/>
        <v>44</v>
      </c>
      <c r="W52" s="23"/>
      <c r="X52" s="23"/>
      <c r="Y52" s="26"/>
      <c r="Z52" s="26"/>
      <c r="AA52" s="503"/>
      <c r="AB52" s="504"/>
      <c r="AC52" s="154" t="s">
        <v>79</v>
      </c>
      <c r="AD52" s="25"/>
      <c r="AE52" s="19">
        <f t="shared" si="8"/>
        <v>-95</v>
      </c>
      <c r="AF52" s="143">
        <f t="shared" si="9"/>
        <v>0.95250000000000001</v>
      </c>
      <c r="AG52" s="510"/>
    </row>
    <row r="53" spans="1:33" ht="15.75" customHeight="1">
      <c r="A53" s="513" t="s">
        <v>510</v>
      </c>
      <c r="B53" s="42" t="s">
        <v>93</v>
      </c>
      <c r="C53" s="501" t="s">
        <v>98</v>
      </c>
      <c r="D53" s="502"/>
      <c r="E53" s="42">
        <v>37.880000000000003</v>
      </c>
      <c r="F53" s="152">
        <v>2118</v>
      </c>
      <c r="G53" s="140">
        <f t="shared" si="31"/>
        <v>80229.840000000011</v>
      </c>
      <c r="H53" s="125" t="s">
        <v>79</v>
      </c>
      <c r="I53" s="150">
        <v>14</v>
      </c>
      <c r="J53" s="37">
        <v>2000</v>
      </c>
      <c r="K53" s="17">
        <f t="shared" si="1"/>
        <v>142.85714285714286</v>
      </c>
      <c r="L53" s="150">
        <v>14</v>
      </c>
      <c r="M53" s="18">
        <f t="shared" si="32"/>
        <v>1925.4545454545455</v>
      </c>
      <c r="N53" s="18">
        <f t="shared" si="3"/>
        <v>137.53246753246754</v>
      </c>
      <c r="O53" s="19">
        <f t="shared" si="4"/>
        <v>0</v>
      </c>
      <c r="P53" s="20">
        <f t="shared" si="5"/>
        <v>-5.3246753246753258</v>
      </c>
      <c r="Q53" s="143">
        <f t="shared" si="6"/>
        <v>0.96272727272727276</v>
      </c>
      <c r="R53" s="510"/>
      <c r="S53" s="40">
        <v>0.42013888888888884</v>
      </c>
      <c r="T53" s="40">
        <v>0.46597222222222218</v>
      </c>
      <c r="U53" s="140">
        <f t="shared" si="34"/>
        <v>7.9999999999999716</v>
      </c>
      <c r="V53" s="151">
        <f t="shared" si="33"/>
        <v>66</v>
      </c>
      <c r="W53" s="23"/>
      <c r="X53" s="23"/>
      <c r="Y53" s="26"/>
      <c r="Z53" s="26"/>
      <c r="AA53" s="503"/>
      <c r="AB53" s="504"/>
      <c r="AC53" s="154" t="s">
        <v>79</v>
      </c>
      <c r="AD53" s="25"/>
      <c r="AE53" s="19">
        <f t="shared" si="8"/>
        <v>-74.545454545454504</v>
      </c>
      <c r="AF53" s="143">
        <f t="shared" si="9"/>
        <v>0.96272727272727276</v>
      </c>
      <c r="AG53" s="510"/>
    </row>
    <row r="54" spans="1:33" ht="15.75" customHeight="1">
      <c r="A54" s="513" t="s">
        <v>510</v>
      </c>
      <c r="B54" s="42" t="s">
        <v>93</v>
      </c>
      <c r="C54" s="501" t="s">
        <v>99</v>
      </c>
      <c r="D54" s="502"/>
      <c r="E54" s="42">
        <v>32.020000000000003</v>
      </c>
      <c r="F54" s="152">
        <v>3512</v>
      </c>
      <c r="G54" s="140">
        <f t="shared" si="31"/>
        <v>112454.24</v>
      </c>
      <c r="H54" s="125" t="s">
        <v>79</v>
      </c>
      <c r="I54" s="150">
        <v>11</v>
      </c>
      <c r="J54" s="37">
        <v>3000</v>
      </c>
      <c r="K54" s="17">
        <f t="shared" si="1"/>
        <v>272.72727272727275</v>
      </c>
      <c r="L54" s="150">
        <v>11</v>
      </c>
      <c r="M54" s="18">
        <f t="shared" si="32"/>
        <v>2886.5753424657541</v>
      </c>
      <c r="N54" s="18">
        <f t="shared" si="3"/>
        <v>262.41594022415944</v>
      </c>
      <c r="O54" s="19">
        <f t="shared" si="4"/>
        <v>0</v>
      </c>
      <c r="P54" s="20">
        <f t="shared" si="5"/>
        <v>-10.311332503113306</v>
      </c>
      <c r="Q54" s="143">
        <f t="shared" si="6"/>
        <v>0.96219178082191792</v>
      </c>
      <c r="R54" s="510"/>
      <c r="S54" s="40">
        <v>0.47083333333333327</v>
      </c>
      <c r="T54" s="40">
        <v>0.5215277777777777</v>
      </c>
      <c r="U54" s="140">
        <f t="shared" si="34"/>
        <v>6.9999999999999751</v>
      </c>
      <c r="V54" s="151">
        <f t="shared" si="33"/>
        <v>72.999999999999986</v>
      </c>
      <c r="W54" s="23"/>
      <c r="X54" s="23"/>
      <c r="Y54" s="26"/>
      <c r="Z54" s="26"/>
      <c r="AA54" s="503"/>
      <c r="AB54" s="504"/>
      <c r="AC54" s="154" t="s">
        <v>79</v>
      </c>
      <c r="AD54" s="25"/>
      <c r="AE54" s="19">
        <f t="shared" si="8"/>
        <v>-113.42465753424585</v>
      </c>
      <c r="AF54" s="143">
        <f t="shared" si="9"/>
        <v>0.96219178082191803</v>
      </c>
      <c r="AG54" s="510"/>
    </row>
    <row r="55" spans="1:33" ht="15.75" customHeight="1">
      <c r="A55" s="514" t="s">
        <v>510</v>
      </c>
      <c r="B55" s="42" t="s">
        <v>506</v>
      </c>
      <c r="C55" s="492"/>
      <c r="D55" s="493"/>
      <c r="E55" s="141"/>
      <c r="F55" s="152"/>
      <c r="G55" s="140"/>
      <c r="H55" s="152"/>
      <c r="I55" s="30">
        <v>11.333333333333334</v>
      </c>
      <c r="J55" s="37">
        <v>2666.6666666666665</v>
      </c>
      <c r="K55" s="17">
        <f t="shared" si="1"/>
        <v>235.29411764705881</v>
      </c>
      <c r="L55" s="30">
        <v>11.333333333333334</v>
      </c>
      <c r="M55" s="18">
        <f>AVERAGE(M49:M54)</f>
        <v>2548.592924012768</v>
      </c>
      <c r="N55" s="17">
        <f t="shared" si="3"/>
        <v>224.8758462364207</v>
      </c>
      <c r="O55" s="19">
        <f t="shared" si="4"/>
        <v>0</v>
      </c>
      <c r="P55" s="20">
        <f t="shared" si="5"/>
        <v>-10.418271410638113</v>
      </c>
      <c r="Q55" s="143">
        <f t="shared" si="6"/>
        <v>0.95572234650478805</v>
      </c>
      <c r="R55" s="511"/>
      <c r="S55" s="40"/>
      <c r="T55" s="40"/>
      <c r="U55" s="140"/>
      <c r="V55" s="151"/>
      <c r="W55" s="23"/>
      <c r="X55" s="23"/>
      <c r="Y55" s="31">
        <f>SUM(Y49:Y54)</f>
        <v>0</v>
      </c>
      <c r="Z55" s="31">
        <f>SUM(Z49:Z54)</f>
        <v>0</v>
      </c>
      <c r="AA55" s="505"/>
      <c r="AB55" s="506"/>
      <c r="AC55" s="31">
        <f>SUM(AC49:AC54)</f>
        <v>3</v>
      </c>
      <c r="AD55" s="31">
        <f>SUM(AD49:AD54)</f>
        <v>0</v>
      </c>
      <c r="AE55" s="19">
        <f t="shared" si="8"/>
        <v>-118.07374265389853</v>
      </c>
      <c r="AF55" s="143">
        <f t="shared" si="9"/>
        <v>0.95572234650478805</v>
      </c>
      <c r="AG55" s="511"/>
    </row>
    <row r="56" spans="1:33" ht="15.75" customHeight="1">
      <c r="A56" s="507" t="s">
        <v>511</v>
      </c>
      <c r="B56" s="42" t="s">
        <v>100</v>
      </c>
      <c r="C56" s="490" t="s">
        <v>101</v>
      </c>
      <c r="D56" s="490"/>
      <c r="E56" s="42">
        <v>46</v>
      </c>
      <c r="F56" s="46">
        <v>1722</v>
      </c>
      <c r="G56" s="140">
        <f t="shared" ref="G56:G61" si="35">E56*F56</f>
        <v>79212</v>
      </c>
      <c r="H56" s="125" t="s">
        <v>79</v>
      </c>
      <c r="I56" s="150">
        <v>17</v>
      </c>
      <c r="J56" s="37">
        <v>2000</v>
      </c>
      <c r="K56" s="17">
        <f t="shared" si="1"/>
        <v>117.64705882352941</v>
      </c>
      <c r="L56" s="150">
        <v>17</v>
      </c>
      <c r="M56" s="18">
        <f t="shared" ref="M56:M61" si="36">F56/V56*60</f>
        <v>1913.333333333333</v>
      </c>
      <c r="N56" s="18">
        <f t="shared" si="3"/>
        <v>112.54901960784312</v>
      </c>
      <c r="O56" s="19">
        <f t="shared" si="4"/>
        <v>0</v>
      </c>
      <c r="P56" s="20">
        <f t="shared" si="5"/>
        <v>-5.0980392156862848</v>
      </c>
      <c r="Q56" s="143">
        <f t="shared" si="6"/>
        <v>0.95666666666666655</v>
      </c>
      <c r="R56" s="489">
        <f>Q62</f>
        <v>0.91803426935884314</v>
      </c>
      <c r="S56" s="40">
        <v>0.20833333333333334</v>
      </c>
      <c r="T56" s="40">
        <v>0.24583333333333335</v>
      </c>
      <c r="U56" s="28"/>
      <c r="V56" s="151">
        <f t="shared" ref="V56:V61" si="37">(T56-S56)*24*60</f>
        <v>54.000000000000007</v>
      </c>
      <c r="W56" s="28"/>
      <c r="X56" s="28"/>
      <c r="Y56" s="28"/>
      <c r="Z56" s="28"/>
      <c r="AA56" s="491"/>
      <c r="AB56" s="491"/>
      <c r="AC56" s="154">
        <v>4</v>
      </c>
      <c r="AD56" s="25"/>
      <c r="AE56" s="19">
        <f t="shared" si="8"/>
        <v>-86.66666666666697</v>
      </c>
      <c r="AF56" s="143">
        <f t="shared" si="9"/>
        <v>0.95666666666666655</v>
      </c>
      <c r="AG56" s="489">
        <f>AF62</f>
        <v>0.91803426935884314</v>
      </c>
    </row>
    <row r="57" spans="1:33" ht="15.75" customHeight="1">
      <c r="A57" s="507" t="s">
        <v>511</v>
      </c>
      <c r="B57" s="42" t="s">
        <v>100</v>
      </c>
      <c r="C57" s="490" t="s">
        <v>102</v>
      </c>
      <c r="D57" s="490"/>
      <c r="E57" s="42">
        <v>46</v>
      </c>
      <c r="F57" s="46">
        <v>1826</v>
      </c>
      <c r="G57" s="140">
        <f t="shared" si="35"/>
        <v>83996</v>
      </c>
      <c r="H57" s="125" t="s">
        <v>79</v>
      </c>
      <c r="I57" s="150">
        <v>17</v>
      </c>
      <c r="J57" s="37">
        <v>2000</v>
      </c>
      <c r="K57" s="17">
        <f t="shared" si="1"/>
        <v>117.64705882352941</v>
      </c>
      <c r="L57" s="150">
        <v>17</v>
      </c>
      <c r="M57" s="18">
        <f t="shared" si="36"/>
        <v>1922.1052631578962</v>
      </c>
      <c r="N57" s="18">
        <f t="shared" si="3"/>
        <v>113.06501547987625</v>
      </c>
      <c r="O57" s="19">
        <f t="shared" si="4"/>
        <v>0</v>
      </c>
      <c r="P57" s="20">
        <f t="shared" si="5"/>
        <v>-4.5820433436531545</v>
      </c>
      <c r="Q57" s="143">
        <f t="shared" si="6"/>
        <v>0.96105263157894816</v>
      </c>
      <c r="R57" s="489"/>
      <c r="S57" s="40">
        <v>0.25138888888888888</v>
      </c>
      <c r="T57" s="40">
        <v>0.29097222222222219</v>
      </c>
      <c r="U57" s="140">
        <f t="shared" ref="U57:U61" si="38">IF(S57=TIME(17,0,0),"",(S57-T56)*24*60)</f>
        <v>7.9999999999999716</v>
      </c>
      <c r="V57" s="151">
        <f t="shared" si="37"/>
        <v>56.999999999999957</v>
      </c>
      <c r="W57" s="23"/>
      <c r="X57" s="23"/>
      <c r="Y57" s="23"/>
      <c r="Z57" s="23"/>
      <c r="AA57" s="491"/>
      <c r="AB57" s="491"/>
      <c r="AC57" s="154"/>
      <c r="AD57" s="25"/>
      <c r="AE57" s="19">
        <f t="shared" si="8"/>
        <v>-77.894736842103839</v>
      </c>
      <c r="AF57" s="143">
        <f t="shared" si="9"/>
        <v>0.96105263157894805</v>
      </c>
      <c r="AG57" s="489"/>
    </row>
    <row r="58" spans="1:33" ht="15.75" customHeight="1">
      <c r="A58" s="507" t="s">
        <v>511</v>
      </c>
      <c r="B58" s="42" t="s">
        <v>103</v>
      </c>
      <c r="C58" s="501" t="s">
        <v>105</v>
      </c>
      <c r="D58" s="502"/>
      <c r="E58" s="42">
        <v>56.43</v>
      </c>
      <c r="F58" s="46">
        <v>2628</v>
      </c>
      <c r="G58" s="140">
        <f t="shared" si="35"/>
        <v>148298.04</v>
      </c>
      <c r="H58" s="125" t="s">
        <v>79</v>
      </c>
      <c r="I58" s="150">
        <v>22</v>
      </c>
      <c r="J58" s="37">
        <v>2000</v>
      </c>
      <c r="K58" s="17">
        <f t="shared" si="1"/>
        <v>90.909090909090907</v>
      </c>
      <c r="L58" s="150">
        <v>22</v>
      </c>
      <c r="M58" s="18">
        <f t="shared" si="36"/>
        <v>1407.8571428571429</v>
      </c>
      <c r="N58" s="18">
        <f t="shared" si="3"/>
        <v>63.993506493506494</v>
      </c>
      <c r="O58" s="19">
        <f t="shared" si="4"/>
        <v>0</v>
      </c>
      <c r="P58" s="20">
        <f t="shared" si="5"/>
        <v>-26.915584415584412</v>
      </c>
      <c r="Q58" s="143">
        <f t="shared" si="6"/>
        <v>0.70392857142857146</v>
      </c>
      <c r="R58" s="489"/>
      <c r="S58" s="40">
        <v>0.29652777777777772</v>
      </c>
      <c r="T58" s="40">
        <v>0.3743055555555555</v>
      </c>
      <c r="U58" s="140">
        <f t="shared" si="38"/>
        <v>7.9999999999999716</v>
      </c>
      <c r="V58" s="151">
        <f t="shared" si="37"/>
        <v>112</v>
      </c>
      <c r="W58" s="23"/>
      <c r="X58" s="23"/>
      <c r="Y58" s="26"/>
      <c r="Z58" s="26"/>
      <c r="AA58" s="491"/>
      <c r="AB58" s="491"/>
      <c r="AC58" s="154"/>
      <c r="AD58" s="25"/>
      <c r="AE58" s="19">
        <f t="shared" si="8"/>
        <v>-592.14285714285711</v>
      </c>
      <c r="AF58" s="143">
        <f t="shared" si="9"/>
        <v>0.70392857142857146</v>
      </c>
      <c r="AG58" s="489"/>
    </row>
    <row r="59" spans="1:33" ht="15.75" customHeight="1">
      <c r="A59" s="507" t="s">
        <v>511</v>
      </c>
      <c r="B59" s="42" t="s">
        <v>103</v>
      </c>
      <c r="C59" s="144" t="s">
        <v>106</v>
      </c>
      <c r="D59" s="145"/>
      <c r="E59" s="42">
        <v>55.56</v>
      </c>
      <c r="F59" s="46">
        <v>2279</v>
      </c>
      <c r="G59" s="140">
        <f t="shared" si="35"/>
        <v>126621.24</v>
      </c>
      <c r="H59" s="125" t="s">
        <v>79</v>
      </c>
      <c r="I59" s="150">
        <v>17</v>
      </c>
      <c r="J59" s="37">
        <v>2000</v>
      </c>
      <c r="K59" s="17">
        <f t="shared" si="1"/>
        <v>117.64705882352941</v>
      </c>
      <c r="L59" s="150">
        <v>17</v>
      </c>
      <c r="M59" s="18">
        <f t="shared" si="36"/>
        <v>1925.9154929577444</v>
      </c>
      <c r="N59" s="18">
        <f t="shared" si="3"/>
        <v>113.28914664457319</v>
      </c>
      <c r="O59" s="19">
        <f t="shared" si="4"/>
        <v>0</v>
      </c>
      <c r="P59" s="20">
        <f t="shared" si="5"/>
        <v>-4.3579121789562123</v>
      </c>
      <c r="Q59" s="143">
        <f t="shared" si="6"/>
        <v>0.96295774647887222</v>
      </c>
      <c r="R59" s="489"/>
      <c r="S59" s="40">
        <v>0.70833333333333337</v>
      </c>
      <c r="T59" s="40">
        <v>0.75763888888888897</v>
      </c>
      <c r="U59" s="140" t="str">
        <f t="shared" si="38"/>
        <v/>
      </c>
      <c r="V59" s="151">
        <f t="shared" si="37"/>
        <v>71.000000000000071</v>
      </c>
      <c r="W59" s="23"/>
      <c r="X59" s="23"/>
      <c r="Y59" s="26"/>
      <c r="Z59" s="26"/>
      <c r="AA59" s="491"/>
      <c r="AB59" s="491"/>
      <c r="AC59" s="154"/>
      <c r="AD59" s="25"/>
      <c r="AE59" s="19">
        <f t="shared" si="8"/>
        <v>-74.084507042255609</v>
      </c>
      <c r="AF59" s="143">
        <f t="shared" si="9"/>
        <v>0.96295774647887222</v>
      </c>
      <c r="AG59" s="489"/>
    </row>
    <row r="60" spans="1:33" ht="15.75" customHeight="1">
      <c r="A60" s="507" t="s">
        <v>511</v>
      </c>
      <c r="B60" s="42" t="s">
        <v>103</v>
      </c>
      <c r="C60" s="144" t="s">
        <v>107</v>
      </c>
      <c r="D60" s="145"/>
      <c r="E60" s="42">
        <v>55.32</v>
      </c>
      <c r="F60" s="46">
        <v>1608</v>
      </c>
      <c r="G60" s="140">
        <f t="shared" si="35"/>
        <v>88954.559999999998</v>
      </c>
      <c r="H60" s="125" t="s">
        <v>79</v>
      </c>
      <c r="I60" s="150">
        <v>15</v>
      </c>
      <c r="J60" s="37">
        <v>2000</v>
      </c>
      <c r="K60" s="17">
        <f t="shared" si="1"/>
        <v>133.33333333333334</v>
      </c>
      <c r="L60" s="150">
        <v>15</v>
      </c>
      <c r="M60" s="18">
        <f t="shared" si="36"/>
        <v>1929.6000000000006</v>
      </c>
      <c r="N60" s="18">
        <f t="shared" si="3"/>
        <v>128.64000000000004</v>
      </c>
      <c r="O60" s="19">
        <f t="shared" si="4"/>
        <v>0</v>
      </c>
      <c r="P60" s="20">
        <f t="shared" si="5"/>
        <v>-4.6933333333332996</v>
      </c>
      <c r="Q60" s="143">
        <f t="shared" si="6"/>
        <v>0.96480000000000021</v>
      </c>
      <c r="R60" s="489"/>
      <c r="S60" s="40">
        <v>0.76180555555555562</v>
      </c>
      <c r="T60" s="40">
        <v>0.79652777777777783</v>
      </c>
      <c r="U60" s="140">
        <f t="shared" si="38"/>
        <v>5.9999999999999787</v>
      </c>
      <c r="V60" s="151">
        <f t="shared" si="37"/>
        <v>49.999999999999986</v>
      </c>
      <c r="W60" s="23"/>
      <c r="X60" s="23"/>
      <c r="Y60" s="26"/>
      <c r="Z60" s="26"/>
      <c r="AA60" s="491"/>
      <c r="AB60" s="491"/>
      <c r="AC60" s="154"/>
      <c r="AD60" s="25"/>
      <c r="AE60" s="19">
        <f t="shared" si="8"/>
        <v>-70.399999999999409</v>
      </c>
      <c r="AF60" s="143">
        <f t="shared" si="9"/>
        <v>0.96480000000000032</v>
      </c>
      <c r="AG60" s="489"/>
    </row>
    <row r="61" spans="1:33" ht="15.75" customHeight="1">
      <c r="A61" s="507" t="s">
        <v>511</v>
      </c>
      <c r="B61" s="42" t="s">
        <v>103</v>
      </c>
      <c r="C61" s="501" t="s">
        <v>108</v>
      </c>
      <c r="D61" s="502"/>
      <c r="E61" s="42">
        <v>54.29</v>
      </c>
      <c r="F61" s="46">
        <v>3196</v>
      </c>
      <c r="G61" s="140">
        <f t="shared" si="35"/>
        <v>173510.84</v>
      </c>
      <c r="H61" s="125" t="s">
        <v>79</v>
      </c>
      <c r="I61" s="150">
        <v>20</v>
      </c>
      <c r="J61" s="37">
        <v>2000</v>
      </c>
      <c r="K61" s="17">
        <f t="shared" si="1"/>
        <v>100</v>
      </c>
      <c r="L61" s="150">
        <v>20</v>
      </c>
      <c r="M61" s="18">
        <f t="shared" si="36"/>
        <v>1917.6000000000004</v>
      </c>
      <c r="N61" s="18">
        <f t="shared" si="3"/>
        <v>95.880000000000024</v>
      </c>
      <c r="O61" s="19">
        <f t="shared" si="4"/>
        <v>0</v>
      </c>
      <c r="P61" s="20">
        <f t="shared" si="5"/>
        <v>-4.1199999999999761</v>
      </c>
      <c r="Q61" s="143">
        <f t="shared" si="6"/>
        <v>0.95880000000000021</v>
      </c>
      <c r="R61" s="489"/>
      <c r="S61" s="40">
        <v>0.80069444444444449</v>
      </c>
      <c r="T61" s="40">
        <v>0.87013888888888891</v>
      </c>
      <c r="U61" s="140">
        <f t="shared" si="38"/>
        <v>5.9999999999999787</v>
      </c>
      <c r="V61" s="151">
        <f t="shared" si="37"/>
        <v>99.999999999999972</v>
      </c>
      <c r="W61" s="23"/>
      <c r="X61" s="23"/>
      <c r="Y61" s="26"/>
      <c r="Z61" s="26"/>
      <c r="AA61" s="503"/>
      <c r="AB61" s="504"/>
      <c r="AC61" s="154"/>
      <c r="AD61" s="25"/>
      <c r="AE61" s="19">
        <f t="shared" si="8"/>
        <v>-82.399999999999636</v>
      </c>
      <c r="AF61" s="143">
        <f t="shared" si="9"/>
        <v>0.95880000000000021</v>
      </c>
      <c r="AG61" s="489"/>
    </row>
    <row r="62" spans="1:33">
      <c r="A62" s="508" t="s">
        <v>511</v>
      </c>
      <c r="B62" s="42" t="s">
        <v>506</v>
      </c>
      <c r="C62" s="494"/>
      <c r="D62" s="494"/>
      <c r="E62" s="147"/>
      <c r="F62" s="44"/>
      <c r="G62" s="17"/>
      <c r="H62" s="152"/>
      <c r="I62" s="30">
        <v>18</v>
      </c>
      <c r="J62" s="37">
        <v>2000</v>
      </c>
      <c r="K62" s="17">
        <f t="shared" si="1"/>
        <v>111.11111111111111</v>
      </c>
      <c r="L62" s="30">
        <v>18</v>
      </c>
      <c r="M62" s="18">
        <f>AVERAGE(M56:M61)</f>
        <v>1836.0685387176864</v>
      </c>
      <c r="N62" s="17">
        <f t="shared" si="3"/>
        <v>102.00380770653813</v>
      </c>
      <c r="O62" s="19">
        <f t="shared" si="4"/>
        <v>0</v>
      </c>
      <c r="P62" s="20">
        <f t="shared" si="5"/>
        <v>-9.1073034045729884</v>
      </c>
      <c r="Q62" s="143">
        <f t="shared" si="6"/>
        <v>0.91803426935884314</v>
      </c>
      <c r="R62" s="489"/>
      <c r="S62" s="41"/>
      <c r="T62" s="40"/>
      <c r="U62" s="17"/>
      <c r="V62" s="151"/>
      <c r="W62" s="17"/>
      <c r="X62" s="17"/>
      <c r="Y62" s="31">
        <f>SUM(Y56:Y61)</f>
        <v>0</v>
      </c>
      <c r="Z62" s="31">
        <f>SUM(Z56:Z61)</f>
        <v>0</v>
      </c>
      <c r="AA62" s="495"/>
      <c r="AB62" s="495"/>
      <c r="AC62" s="31">
        <f>SUM(AC56:AC61)</f>
        <v>4</v>
      </c>
      <c r="AD62" s="31">
        <f>SUM(AD56:AD61)</f>
        <v>0</v>
      </c>
      <c r="AE62" s="19">
        <f t="shared" si="8"/>
        <v>-163.93146128231365</v>
      </c>
      <c r="AF62" s="143">
        <f t="shared" si="9"/>
        <v>0.91803426935884314</v>
      </c>
      <c r="AG62" s="489"/>
    </row>
    <row r="63" spans="1:33" ht="15.75" customHeight="1">
      <c r="A63" s="499" t="s">
        <v>512</v>
      </c>
      <c r="B63" s="152" t="s">
        <v>100</v>
      </c>
      <c r="C63" s="490" t="s">
        <v>109</v>
      </c>
      <c r="D63" s="490"/>
      <c r="E63" s="42">
        <v>26.97</v>
      </c>
      <c r="F63" s="46">
        <v>2518</v>
      </c>
      <c r="G63" s="140">
        <f t="shared" ref="G63:G68" si="39">E63*F63</f>
        <v>67910.459999999992</v>
      </c>
      <c r="H63" s="125" t="s">
        <v>79</v>
      </c>
      <c r="I63" s="150">
        <v>8</v>
      </c>
      <c r="J63" s="37">
        <v>1500</v>
      </c>
      <c r="K63" s="17">
        <f t="shared" si="1"/>
        <v>187.5</v>
      </c>
      <c r="L63" s="150">
        <v>8</v>
      </c>
      <c r="M63" s="18">
        <f t="shared" ref="M63:M68" si="40">F63/V63*60</f>
        <v>1438.8571428571431</v>
      </c>
      <c r="N63" s="17">
        <f t="shared" si="3"/>
        <v>179.85714285714289</v>
      </c>
      <c r="O63" s="19">
        <f t="shared" si="4"/>
        <v>0</v>
      </c>
      <c r="P63" s="20">
        <f t="shared" si="5"/>
        <v>-7.6428571428571104</v>
      </c>
      <c r="Q63" s="143">
        <f t="shared" si="6"/>
        <v>0.95923809523809545</v>
      </c>
      <c r="R63" s="489">
        <f>Q69</f>
        <v>0.95824637361941423</v>
      </c>
      <c r="S63" s="40">
        <v>0.20833333333333334</v>
      </c>
      <c r="T63" s="40">
        <v>0.28125</v>
      </c>
      <c r="U63" s="140"/>
      <c r="V63" s="151">
        <f t="shared" ref="V63:V68" si="41">(T63-S63)*24*60</f>
        <v>104.99999999999999</v>
      </c>
      <c r="W63" s="28"/>
      <c r="X63" s="28"/>
      <c r="Y63" s="28"/>
      <c r="Z63" s="28"/>
      <c r="AA63" s="491"/>
      <c r="AB63" s="491"/>
      <c r="AC63" s="154" t="s">
        <v>79</v>
      </c>
      <c r="AD63" s="25"/>
      <c r="AE63" s="19">
        <f t="shared" si="8"/>
        <v>-61.142857142856883</v>
      </c>
      <c r="AF63" s="143">
        <f t="shared" si="9"/>
        <v>0.95923809523809545</v>
      </c>
      <c r="AG63" s="489">
        <f>AF69</f>
        <v>0.95824637361941412</v>
      </c>
    </row>
    <row r="64" spans="1:33" ht="15.75" customHeight="1">
      <c r="A64" s="499" t="s">
        <v>512</v>
      </c>
      <c r="B64" s="152" t="s">
        <v>93</v>
      </c>
      <c r="C64" s="490" t="s">
        <v>110</v>
      </c>
      <c r="D64" s="490"/>
      <c r="E64" s="42">
        <v>26.78</v>
      </c>
      <c r="F64" s="46">
        <v>2778</v>
      </c>
      <c r="G64" s="140">
        <f t="shared" si="39"/>
        <v>74394.84</v>
      </c>
      <c r="H64" s="125" t="s">
        <v>79</v>
      </c>
      <c r="I64" s="150">
        <v>10</v>
      </c>
      <c r="J64" s="37">
        <v>3000</v>
      </c>
      <c r="K64" s="17">
        <f t="shared" si="1"/>
        <v>300</v>
      </c>
      <c r="L64" s="150">
        <v>10</v>
      </c>
      <c r="M64" s="18">
        <f t="shared" si="40"/>
        <v>2873.793103448274</v>
      </c>
      <c r="N64" s="17">
        <f t="shared" si="3"/>
        <v>287.37931034482739</v>
      </c>
      <c r="O64" s="19">
        <f t="shared" si="4"/>
        <v>0</v>
      </c>
      <c r="P64" s="20">
        <f t="shared" si="5"/>
        <v>-12.620689655172612</v>
      </c>
      <c r="Q64" s="143">
        <f t="shared" si="6"/>
        <v>0.95793103448275796</v>
      </c>
      <c r="R64" s="489"/>
      <c r="S64" s="40">
        <v>0.28680555555555554</v>
      </c>
      <c r="T64" s="40">
        <v>0.32708333333333334</v>
      </c>
      <c r="U64" s="140">
        <f t="shared" ref="U64:U68" si="42">(S64-T63)*24*60</f>
        <v>7.9999999999999716</v>
      </c>
      <c r="V64" s="151">
        <f t="shared" si="41"/>
        <v>58.000000000000036</v>
      </c>
      <c r="W64" s="140"/>
      <c r="X64" s="140"/>
      <c r="Y64" s="140"/>
      <c r="Z64" s="140"/>
      <c r="AA64" s="491"/>
      <c r="AB64" s="491"/>
      <c r="AC64" s="154" t="s">
        <v>79</v>
      </c>
      <c r="AD64" s="25"/>
      <c r="AE64" s="19">
        <f t="shared" si="8"/>
        <v>-126.206896551726</v>
      </c>
      <c r="AF64" s="143">
        <f t="shared" si="9"/>
        <v>0.95793103448275796</v>
      </c>
      <c r="AG64" s="489"/>
    </row>
    <row r="65" spans="1:33" ht="15.75" customHeight="1">
      <c r="A65" s="499" t="s">
        <v>512</v>
      </c>
      <c r="B65" s="152" t="s">
        <v>93</v>
      </c>
      <c r="C65" s="490" t="s">
        <v>111</v>
      </c>
      <c r="D65" s="490"/>
      <c r="E65" s="42">
        <v>37.880000000000003</v>
      </c>
      <c r="F65" s="46">
        <v>2616</v>
      </c>
      <c r="G65" s="140">
        <f t="shared" si="39"/>
        <v>99094.080000000002</v>
      </c>
      <c r="H65" s="125" t="s">
        <v>79</v>
      </c>
      <c r="I65" s="150">
        <v>10</v>
      </c>
      <c r="J65" s="37">
        <v>3000</v>
      </c>
      <c r="K65" s="17">
        <f t="shared" si="1"/>
        <v>300</v>
      </c>
      <c r="L65" s="150">
        <v>10</v>
      </c>
      <c r="M65" s="18">
        <f t="shared" si="40"/>
        <v>2906.6666666666683</v>
      </c>
      <c r="N65" s="17">
        <f t="shared" si="3"/>
        <v>290.66666666666686</v>
      </c>
      <c r="O65" s="19">
        <f t="shared" si="4"/>
        <v>0</v>
      </c>
      <c r="P65" s="20">
        <f t="shared" si="5"/>
        <v>-9.3333333333331439</v>
      </c>
      <c r="Q65" s="143">
        <f t="shared" si="6"/>
        <v>0.96888888888888947</v>
      </c>
      <c r="R65" s="489"/>
      <c r="S65" s="40">
        <v>0.33263888888888887</v>
      </c>
      <c r="T65" s="40">
        <v>0.37013888888888885</v>
      </c>
      <c r="U65" s="140">
        <f t="shared" si="42"/>
        <v>7.9999999999999716</v>
      </c>
      <c r="V65" s="151">
        <f t="shared" si="41"/>
        <v>53.999999999999972</v>
      </c>
      <c r="W65" s="140"/>
      <c r="X65" s="140"/>
      <c r="Y65" s="140"/>
      <c r="Z65" s="140"/>
      <c r="AA65" s="491"/>
      <c r="AB65" s="491"/>
      <c r="AC65" s="154" t="s">
        <v>79</v>
      </c>
      <c r="AD65" s="25"/>
      <c r="AE65" s="19">
        <f t="shared" si="8"/>
        <v>-93.333333333331666</v>
      </c>
      <c r="AF65" s="143">
        <f t="shared" si="9"/>
        <v>0.96888888888888947</v>
      </c>
      <c r="AG65" s="489"/>
    </row>
    <row r="66" spans="1:33" ht="15.75" customHeight="1">
      <c r="A66" s="499" t="s">
        <v>512</v>
      </c>
      <c r="B66" s="152" t="s">
        <v>93</v>
      </c>
      <c r="C66" s="490" t="s">
        <v>112</v>
      </c>
      <c r="D66" s="490"/>
      <c r="E66" s="42">
        <v>35.869999999999997</v>
      </c>
      <c r="F66" s="46">
        <v>3139</v>
      </c>
      <c r="G66" s="140">
        <f t="shared" si="39"/>
        <v>112595.93</v>
      </c>
      <c r="H66" s="125" t="s">
        <v>79</v>
      </c>
      <c r="I66" s="150">
        <v>9</v>
      </c>
      <c r="J66" s="37">
        <v>3000</v>
      </c>
      <c r="K66" s="17">
        <f t="shared" si="1"/>
        <v>333.33333333333331</v>
      </c>
      <c r="L66" s="150">
        <v>9</v>
      </c>
      <c r="M66" s="18">
        <f t="shared" si="40"/>
        <v>2853.636363636364</v>
      </c>
      <c r="N66" s="17">
        <f t="shared" si="3"/>
        <v>317.0707070707071</v>
      </c>
      <c r="O66" s="19">
        <f t="shared" si="4"/>
        <v>0</v>
      </c>
      <c r="P66" s="20">
        <f t="shared" si="5"/>
        <v>-16.262626262626213</v>
      </c>
      <c r="Q66" s="143">
        <f t="shared" si="6"/>
        <v>0.9512121212121214</v>
      </c>
      <c r="R66" s="489"/>
      <c r="S66" s="40">
        <v>0.37361111111111106</v>
      </c>
      <c r="T66" s="40">
        <v>0.4194444444444444</v>
      </c>
      <c r="U66" s="140">
        <f t="shared" si="42"/>
        <v>4.9999999999999822</v>
      </c>
      <c r="V66" s="151">
        <f t="shared" si="41"/>
        <v>66</v>
      </c>
      <c r="W66" s="140"/>
      <c r="X66" s="140"/>
      <c r="Y66" s="140"/>
      <c r="Z66" s="140"/>
      <c r="AA66" s="491"/>
      <c r="AB66" s="491"/>
      <c r="AC66" s="154" t="s">
        <v>79</v>
      </c>
      <c r="AD66" s="25"/>
      <c r="AE66" s="19">
        <f t="shared" si="8"/>
        <v>-146.36363636363603</v>
      </c>
      <c r="AF66" s="143">
        <f t="shared" si="9"/>
        <v>0.95121212121212129</v>
      </c>
      <c r="AG66" s="489"/>
    </row>
    <row r="67" spans="1:33">
      <c r="A67" s="500" t="s">
        <v>512</v>
      </c>
      <c r="B67" s="152" t="s">
        <v>93</v>
      </c>
      <c r="C67" s="490" t="s">
        <v>113</v>
      </c>
      <c r="D67" s="490"/>
      <c r="E67" s="42">
        <v>34.36</v>
      </c>
      <c r="F67" s="46">
        <v>1856</v>
      </c>
      <c r="G67" s="140">
        <f t="shared" si="39"/>
        <v>63772.159999999996</v>
      </c>
      <c r="H67" s="125" t="s">
        <v>79</v>
      </c>
      <c r="I67" s="150">
        <v>10</v>
      </c>
      <c r="J67" s="37">
        <v>3000</v>
      </c>
      <c r="K67" s="17">
        <f t="shared" si="1"/>
        <v>300</v>
      </c>
      <c r="L67" s="150">
        <v>10</v>
      </c>
      <c r="M67" s="18">
        <f t="shared" si="40"/>
        <v>2855.3846153846139</v>
      </c>
      <c r="N67" s="17">
        <f t="shared" si="3"/>
        <v>285.53846153846138</v>
      </c>
      <c r="O67" s="19">
        <f t="shared" si="4"/>
        <v>0</v>
      </c>
      <c r="P67" s="20">
        <f t="shared" si="5"/>
        <v>-14.461538461538623</v>
      </c>
      <c r="Q67" s="143">
        <f t="shared" si="6"/>
        <v>0.95179487179487121</v>
      </c>
      <c r="R67" s="489"/>
      <c r="S67" s="40">
        <v>0.42361111111111105</v>
      </c>
      <c r="T67" s="40">
        <v>0.4506944444444444</v>
      </c>
      <c r="U67" s="140">
        <f t="shared" si="42"/>
        <v>5.9999999999999787</v>
      </c>
      <c r="V67" s="151">
        <f t="shared" si="41"/>
        <v>39.000000000000021</v>
      </c>
      <c r="W67" s="23"/>
      <c r="X67" s="23"/>
      <c r="Y67" s="23"/>
      <c r="Z67" s="23"/>
      <c r="AA67" s="491"/>
      <c r="AB67" s="491"/>
      <c r="AC67" s="154" t="s">
        <v>79</v>
      </c>
      <c r="AD67" s="25"/>
      <c r="AE67" s="19">
        <f t="shared" si="8"/>
        <v>-144.61538461538612</v>
      </c>
      <c r="AF67" s="143">
        <f t="shared" si="9"/>
        <v>0.95179487179487132</v>
      </c>
      <c r="AG67" s="489"/>
    </row>
    <row r="68" spans="1:33" ht="15" customHeight="1">
      <c r="A68" s="500" t="s">
        <v>512</v>
      </c>
      <c r="B68" s="152" t="s">
        <v>93</v>
      </c>
      <c r="C68" s="501" t="s">
        <v>114</v>
      </c>
      <c r="D68" s="502"/>
      <c r="E68" s="42">
        <v>36.14</v>
      </c>
      <c r="F68" s="46">
        <v>1057</v>
      </c>
      <c r="G68" s="140">
        <f t="shared" si="39"/>
        <v>38199.980000000003</v>
      </c>
      <c r="H68" s="125" t="s">
        <v>79</v>
      </c>
      <c r="I68" s="150">
        <v>9</v>
      </c>
      <c r="J68" s="37">
        <v>3000</v>
      </c>
      <c r="K68" s="17">
        <f t="shared" si="1"/>
        <v>333.33333333333331</v>
      </c>
      <c r="L68" s="150">
        <v>9</v>
      </c>
      <c r="M68" s="18">
        <f t="shared" si="40"/>
        <v>2882.727272727273</v>
      </c>
      <c r="N68" s="17">
        <f t="shared" si="3"/>
        <v>320.30303030303031</v>
      </c>
      <c r="O68" s="19">
        <f t="shared" si="4"/>
        <v>0</v>
      </c>
      <c r="P68" s="20">
        <f t="shared" si="5"/>
        <v>-13.030303030303003</v>
      </c>
      <c r="Q68" s="143">
        <f t="shared" si="6"/>
        <v>0.96090909090909093</v>
      </c>
      <c r="R68" s="489"/>
      <c r="S68" s="40">
        <v>0.45416666666666661</v>
      </c>
      <c r="T68" s="40">
        <v>0.46944444444444439</v>
      </c>
      <c r="U68" s="140">
        <f t="shared" si="42"/>
        <v>4.9999999999999822</v>
      </c>
      <c r="V68" s="151">
        <f t="shared" si="41"/>
        <v>22</v>
      </c>
      <c r="W68" s="140"/>
      <c r="X68" s="140"/>
      <c r="Y68" s="146"/>
      <c r="Z68" s="146"/>
      <c r="AA68" s="503"/>
      <c r="AB68" s="504"/>
      <c r="AC68" s="154" t="s">
        <v>79</v>
      </c>
      <c r="AD68" s="25"/>
      <c r="AE68" s="19">
        <f t="shared" si="8"/>
        <v>-117.27272727272702</v>
      </c>
      <c r="AF68" s="143">
        <f t="shared" si="9"/>
        <v>0.96090909090909105</v>
      </c>
      <c r="AG68" s="489"/>
    </row>
    <row r="69" spans="1:33">
      <c r="A69" s="500" t="s">
        <v>512</v>
      </c>
      <c r="B69" s="42" t="s">
        <v>506</v>
      </c>
      <c r="C69" s="494"/>
      <c r="D69" s="494"/>
      <c r="E69" s="147"/>
      <c r="F69" s="44"/>
      <c r="G69" s="17"/>
      <c r="H69" s="152"/>
      <c r="I69" s="30">
        <v>9.3333333333333339</v>
      </c>
      <c r="J69" s="37">
        <v>2750</v>
      </c>
      <c r="K69" s="17">
        <f t="shared" ref="K69:K76" si="43">J69/I69</f>
        <v>294.64285714285711</v>
      </c>
      <c r="L69" s="30">
        <v>9.3333333333333339</v>
      </c>
      <c r="M69" s="18">
        <f>AVERAGE(M63:M68)</f>
        <v>2635.1775274533888</v>
      </c>
      <c r="N69" s="17">
        <f t="shared" ref="N69:N76" si="44">M69/L69</f>
        <v>282.34044937000596</v>
      </c>
      <c r="O69" s="19">
        <f t="shared" ref="O69:O76" si="45">L69-I69</f>
        <v>0</v>
      </c>
      <c r="P69" s="20">
        <f t="shared" ref="P69:P76" si="46">N69-K69</f>
        <v>-12.302407772851154</v>
      </c>
      <c r="Q69" s="143">
        <f t="shared" ref="Q69:Q76" si="47">N69/K69</f>
        <v>0.95824637361941423</v>
      </c>
      <c r="R69" s="489"/>
      <c r="S69" s="40"/>
      <c r="T69" s="40"/>
      <c r="U69" s="17"/>
      <c r="V69" s="151"/>
      <c r="W69" s="17"/>
      <c r="X69" s="17"/>
      <c r="Y69" s="31">
        <f>SUM(Y63:Y68)</f>
        <v>0</v>
      </c>
      <c r="Z69" s="31">
        <f>SUM(Z63:Z68)</f>
        <v>0</v>
      </c>
      <c r="AA69" s="495"/>
      <c r="AB69" s="495"/>
      <c r="AC69" s="31">
        <f>SUM(AC63:AC68)</f>
        <v>0</v>
      </c>
      <c r="AD69" s="31">
        <f>SUM(AD63:AD68)</f>
        <v>0</v>
      </c>
      <c r="AE69" s="19">
        <f t="shared" ref="AE69:AE76" si="48">M69-J69</f>
        <v>-114.82247254661115</v>
      </c>
      <c r="AF69" s="143">
        <f t="shared" ref="AF69:AF76" si="49">M69/J69</f>
        <v>0.95824637361941412</v>
      </c>
      <c r="AG69" s="489"/>
    </row>
    <row r="70" spans="1:33" ht="15.75" customHeight="1">
      <c r="A70" s="496" t="s">
        <v>513</v>
      </c>
      <c r="B70" s="152" t="s">
        <v>80</v>
      </c>
      <c r="C70" s="490" t="s">
        <v>115</v>
      </c>
      <c r="D70" s="490"/>
      <c r="E70" s="42">
        <v>20.2</v>
      </c>
      <c r="F70" s="152">
        <v>2373</v>
      </c>
      <c r="G70" s="140">
        <f t="shared" ref="G70:G75" si="50">E70*F70</f>
        <v>47934.6</v>
      </c>
      <c r="H70" s="125" t="s">
        <v>79</v>
      </c>
      <c r="I70" s="150">
        <v>19</v>
      </c>
      <c r="J70" s="37">
        <v>2400</v>
      </c>
      <c r="K70" s="17">
        <f t="shared" si="43"/>
        <v>126.31578947368421</v>
      </c>
      <c r="L70" s="150">
        <v>19</v>
      </c>
      <c r="M70" s="18">
        <f t="shared" ref="M70:M75" si="51">F70/V70*60</f>
        <v>2296.4516129032263</v>
      </c>
      <c r="N70" s="17">
        <f t="shared" si="44"/>
        <v>120.86587436332771</v>
      </c>
      <c r="O70" s="19">
        <f t="shared" si="45"/>
        <v>0</v>
      </c>
      <c r="P70" s="20">
        <f t="shared" si="46"/>
        <v>-5.4499151103564998</v>
      </c>
      <c r="Q70" s="143">
        <f t="shared" si="47"/>
        <v>0.95685483870967769</v>
      </c>
      <c r="R70" s="489">
        <f>Q76</f>
        <v>0.95607559353414584</v>
      </c>
      <c r="S70" s="40">
        <v>8.3333333333333329E-2</v>
      </c>
      <c r="T70" s="40">
        <v>0.12638888888888888</v>
      </c>
      <c r="U70" s="28"/>
      <c r="V70" s="151">
        <f t="shared" ref="V70:V75" si="52">(T70-S70)*24*60</f>
        <v>61.999999999999993</v>
      </c>
      <c r="W70" s="23">
        <f>T70</f>
        <v>0.12638888888888888</v>
      </c>
      <c r="X70" s="23">
        <f>S71</f>
        <v>0.14652777777777778</v>
      </c>
      <c r="Y70" s="23"/>
      <c r="Z70" s="23"/>
      <c r="AA70" s="491"/>
      <c r="AB70" s="491"/>
      <c r="AC70" s="154">
        <v>9</v>
      </c>
      <c r="AD70" s="25"/>
      <c r="AE70" s="19">
        <f t="shared" si="48"/>
        <v>-103.54838709677369</v>
      </c>
      <c r="AF70" s="143">
        <f t="shared" si="49"/>
        <v>0.95685483870967758</v>
      </c>
      <c r="AG70" s="489">
        <f>AF76</f>
        <v>0.95607559353414573</v>
      </c>
    </row>
    <row r="71" spans="1:33" ht="15.75" customHeight="1">
      <c r="A71" s="497" t="s">
        <v>513</v>
      </c>
      <c r="B71" s="152" t="s">
        <v>80</v>
      </c>
      <c r="C71" s="490" t="s">
        <v>116</v>
      </c>
      <c r="D71" s="490"/>
      <c r="E71" s="42">
        <v>20.52</v>
      </c>
      <c r="F71" s="152">
        <v>3260</v>
      </c>
      <c r="G71" s="140">
        <f t="shared" si="50"/>
        <v>66895.199999999997</v>
      </c>
      <c r="H71" s="125" t="s">
        <v>79</v>
      </c>
      <c r="I71" s="150">
        <v>18</v>
      </c>
      <c r="J71" s="37">
        <v>2400</v>
      </c>
      <c r="K71" s="17">
        <f t="shared" si="43"/>
        <v>133.33333333333334</v>
      </c>
      <c r="L71" s="150">
        <v>18</v>
      </c>
      <c r="M71" s="18">
        <f t="shared" si="51"/>
        <v>2301.1764705882347</v>
      </c>
      <c r="N71" s="17">
        <f t="shared" si="44"/>
        <v>127.84313725490193</v>
      </c>
      <c r="O71" s="19">
        <f t="shared" si="45"/>
        <v>0</v>
      </c>
      <c r="P71" s="20">
        <f t="shared" si="46"/>
        <v>-5.4901960784314099</v>
      </c>
      <c r="Q71" s="143">
        <f t="shared" si="47"/>
        <v>0.95882352941176441</v>
      </c>
      <c r="R71" s="489"/>
      <c r="S71" s="40">
        <v>0.14652777777777778</v>
      </c>
      <c r="T71" s="40">
        <v>0.20555555555555557</v>
      </c>
      <c r="U71" s="140">
        <f t="shared" ref="U71:U75" si="53">(S71-T70)*24*60</f>
        <v>29.000000000000018</v>
      </c>
      <c r="V71" s="151">
        <f t="shared" si="52"/>
        <v>85.000000000000014</v>
      </c>
      <c r="W71" s="23"/>
      <c r="X71" s="23"/>
      <c r="Y71" s="23"/>
      <c r="Z71" s="23"/>
      <c r="AA71" s="491"/>
      <c r="AB71" s="491"/>
      <c r="AC71" s="154"/>
      <c r="AD71" s="25"/>
      <c r="AE71" s="19">
        <f t="shared" si="48"/>
        <v>-98.823529411765321</v>
      </c>
      <c r="AF71" s="143">
        <f t="shared" si="49"/>
        <v>0.95882352941176441</v>
      </c>
      <c r="AG71" s="489"/>
    </row>
    <row r="72" spans="1:33" ht="15.75" customHeight="1">
      <c r="A72" s="497" t="s">
        <v>513</v>
      </c>
      <c r="B72" s="152" t="s">
        <v>80</v>
      </c>
      <c r="C72" s="490" t="s">
        <v>117</v>
      </c>
      <c r="D72" s="490"/>
      <c r="E72" s="42">
        <v>24.43</v>
      </c>
      <c r="F72" s="152">
        <v>7319</v>
      </c>
      <c r="G72" s="140">
        <f t="shared" si="50"/>
        <v>178803.16999999998</v>
      </c>
      <c r="H72" s="125" t="s">
        <v>79</v>
      </c>
      <c r="I72" s="150">
        <v>14</v>
      </c>
      <c r="J72" s="37">
        <v>2400</v>
      </c>
      <c r="K72" s="17">
        <f t="shared" si="43"/>
        <v>171.42857142857142</v>
      </c>
      <c r="L72" s="150">
        <v>14</v>
      </c>
      <c r="M72" s="18">
        <f t="shared" si="51"/>
        <v>2287.1875000000009</v>
      </c>
      <c r="N72" s="17">
        <f t="shared" si="44"/>
        <v>163.37053571428578</v>
      </c>
      <c r="O72" s="19">
        <f t="shared" si="45"/>
        <v>0</v>
      </c>
      <c r="P72" s="20">
        <f t="shared" si="46"/>
        <v>-8.0580357142856371</v>
      </c>
      <c r="Q72" s="143">
        <f t="shared" si="47"/>
        <v>0.95299479166666712</v>
      </c>
      <c r="R72" s="489"/>
      <c r="S72" s="40">
        <v>0.20972222222222225</v>
      </c>
      <c r="T72" s="40">
        <v>0.34305555555555556</v>
      </c>
      <c r="U72" s="140">
        <f t="shared" si="53"/>
        <v>6.0000000000000187</v>
      </c>
      <c r="V72" s="151">
        <f t="shared" si="52"/>
        <v>191.99999999999994</v>
      </c>
      <c r="W72" s="23"/>
      <c r="X72" s="23"/>
      <c r="Y72" s="23"/>
      <c r="Z72" s="23"/>
      <c r="AA72" s="491"/>
      <c r="AB72" s="491"/>
      <c r="AC72" s="154"/>
      <c r="AD72" s="25"/>
      <c r="AE72" s="19">
        <f t="shared" si="48"/>
        <v>-112.81249999999909</v>
      </c>
      <c r="AF72" s="143">
        <f t="shared" si="49"/>
        <v>0.95299479166666701</v>
      </c>
      <c r="AG72" s="489"/>
    </row>
    <row r="73" spans="1:33" ht="15.75" customHeight="1">
      <c r="A73" s="497" t="s">
        <v>513</v>
      </c>
      <c r="B73" s="152" t="s">
        <v>80</v>
      </c>
      <c r="C73" s="490" t="s">
        <v>118</v>
      </c>
      <c r="D73" s="490"/>
      <c r="E73" s="42">
        <v>20.21</v>
      </c>
      <c r="F73" s="152">
        <v>4641</v>
      </c>
      <c r="G73" s="140">
        <f t="shared" si="50"/>
        <v>93794.61</v>
      </c>
      <c r="H73" s="125" t="s">
        <v>79</v>
      </c>
      <c r="I73" s="150">
        <v>16</v>
      </c>
      <c r="J73" s="37">
        <v>2400</v>
      </c>
      <c r="K73" s="17">
        <f t="shared" si="43"/>
        <v>150</v>
      </c>
      <c r="L73" s="150">
        <v>16</v>
      </c>
      <c r="M73" s="18">
        <f t="shared" si="51"/>
        <v>2301.3223140495875</v>
      </c>
      <c r="N73" s="17">
        <f t="shared" si="44"/>
        <v>143.83264462809922</v>
      </c>
      <c r="O73" s="19">
        <f t="shared" si="45"/>
        <v>0</v>
      </c>
      <c r="P73" s="20">
        <f t="shared" si="46"/>
        <v>-6.1673553719007828</v>
      </c>
      <c r="Q73" s="143">
        <f t="shared" si="47"/>
        <v>0.9588842975206614</v>
      </c>
      <c r="R73" s="489"/>
      <c r="S73" s="40">
        <v>0.34722222222222221</v>
      </c>
      <c r="T73" s="40">
        <v>0.43124999999999997</v>
      </c>
      <c r="U73" s="140">
        <f t="shared" si="53"/>
        <v>5.9999999999999787</v>
      </c>
      <c r="V73" s="151">
        <f t="shared" si="52"/>
        <v>120.99999999999997</v>
      </c>
      <c r="W73" s="23"/>
      <c r="X73" s="23"/>
      <c r="Y73" s="23"/>
      <c r="Z73" s="23"/>
      <c r="AA73" s="491"/>
      <c r="AB73" s="491"/>
      <c r="AC73" s="154"/>
      <c r="AD73" s="25"/>
      <c r="AE73" s="19">
        <f t="shared" si="48"/>
        <v>-98.677685950412524</v>
      </c>
      <c r="AF73" s="143">
        <f t="shared" si="49"/>
        <v>0.9588842975206614</v>
      </c>
      <c r="AG73" s="489"/>
    </row>
    <row r="74" spans="1:33" ht="15.75" customHeight="1">
      <c r="A74" s="497" t="s">
        <v>513</v>
      </c>
      <c r="B74" s="152" t="s">
        <v>80</v>
      </c>
      <c r="C74" s="490" t="s">
        <v>119</v>
      </c>
      <c r="D74" s="490"/>
      <c r="E74" s="42">
        <v>19.02</v>
      </c>
      <c r="F74" s="152">
        <v>4000</v>
      </c>
      <c r="G74" s="140">
        <f t="shared" si="50"/>
        <v>76080</v>
      </c>
      <c r="H74" s="125">
        <v>2</v>
      </c>
      <c r="I74" s="150">
        <v>15</v>
      </c>
      <c r="J74" s="37">
        <v>2400</v>
      </c>
      <c r="K74" s="17">
        <f t="shared" si="43"/>
        <v>160</v>
      </c>
      <c r="L74" s="150">
        <v>15</v>
      </c>
      <c r="M74" s="18">
        <f t="shared" si="51"/>
        <v>2285.7142857142853</v>
      </c>
      <c r="N74" s="17">
        <f t="shared" si="44"/>
        <v>152.38095238095235</v>
      </c>
      <c r="O74" s="19">
        <f t="shared" si="45"/>
        <v>0</v>
      </c>
      <c r="P74" s="20">
        <f t="shared" si="46"/>
        <v>-7.6190476190476488</v>
      </c>
      <c r="Q74" s="143">
        <f t="shared" si="47"/>
        <v>0.95238095238095222</v>
      </c>
      <c r="R74" s="489"/>
      <c r="S74" s="40">
        <v>0.43611111111111106</v>
      </c>
      <c r="T74" s="40">
        <v>0.50902777777777775</v>
      </c>
      <c r="U74" s="140">
        <f t="shared" si="53"/>
        <v>6.9999999999999751</v>
      </c>
      <c r="V74" s="151">
        <f t="shared" si="52"/>
        <v>105.00000000000003</v>
      </c>
      <c r="W74" s="23">
        <f>T74</f>
        <v>0.50902777777777775</v>
      </c>
      <c r="X74" s="23">
        <f>S75</f>
        <v>0.54722222222222217</v>
      </c>
      <c r="Y74" s="23"/>
      <c r="Z74" s="23"/>
      <c r="AA74" s="491"/>
      <c r="AB74" s="491"/>
      <c r="AC74" s="154"/>
      <c r="AD74" s="25"/>
      <c r="AE74" s="19">
        <f t="shared" si="48"/>
        <v>-114.28571428571468</v>
      </c>
      <c r="AF74" s="143">
        <f t="shared" si="49"/>
        <v>0.95238095238095222</v>
      </c>
      <c r="AG74" s="489"/>
    </row>
    <row r="75" spans="1:33" ht="15.75" customHeight="1">
      <c r="A75" s="497" t="s">
        <v>513</v>
      </c>
      <c r="B75" s="152" t="s">
        <v>80</v>
      </c>
      <c r="C75" s="490" t="s">
        <v>119</v>
      </c>
      <c r="D75" s="490"/>
      <c r="E75" s="42">
        <v>19.02</v>
      </c>
      <c r="F75" s="152">
        <v>6313</v>
      </c>
      <c r="G75" s="140">
        <f t="shared" si="50"/>
        <v>120073.26</v>
      </c>
      <c r="H75" s="125" t="s">
        <v>79</v>
      </c>
      <c r="I75" s="150">
        <v>15</v>
      </c>
      <c r="J75" s="37">
        <v>2400</v>
      </c>
      <c r="K75" s="17">
        <f t="shared" si="43"/>
        <v>160</v>
      </c>
      <c r="L75" s="150">
        <v>15</v>
      </c>
      <c r="M75" s="18">
        <f t="shared" si="51"/>
        <v>2295.6363636363631</v>
      </c>
      <c r="N75" s="17">
        <f t="shared" si="44"/>
        <v>153.0424242424242</v>
      </c>
      <c r="O75" s="19">
        <f t="shared" si="45"/>
        <v>0</v>
      </c>
      <c r="P75" s="20">
        <f t="shared" si="46"/>
        <v>-6.9575757575757962</v>
      </c>
      <c r="Q75" s="143">
        <f t="shared" si="47"/>
        <v>0.95651515151515132</v>
      </c>
      <c r="R75" s="489"/>
      <c r="S75" s="40">
        <v>0.54722222222222217</v>
      </c>
      <c r="T75" s="40">
        <v>0.66180555555555554</v>
      </c>
      <c r="U75" s="140">
        <f t="shared" si="53"/>
        <v>54.999999999999964</v>
      </c>
      <c r="V75" s="151">
        <f t="shared" si="52"/>
        <v>165.00000000000006</v>
      </c>
      <c r="W75" s="23"/>
      <c r="X75" s="23"/>
      <c r="Y75" s="23"/>
      <c r="Z75" s="23"/>
      <c r="AA75" s="491"/>
      <c r="AB75" s="491"/>
      <c r="AC75" s="154"/>
      <c r="AD75" s="25"/>
      <c r="AE75" s="19">
        <f t="shared" si="48"/>
        <v>-104.36363636363694</v>
      </c>
      <c r="AF75" s="143">
        <f t="shared" si="49"/>
        <v>0.95651515151515132</v>
      </c>
      <c r="AG75" s="489"/>
    </row>
    <row r="76" spans="1:33" ht="16.5" customHeight="1">
      <c r="A76" s="498" t="s">
        <v>513</v>
      </c>
      <c r="B76" s="42" t="s">
        <v>506</v>
      </c>
      <c r="C76" s="492"/>
      <c r="D76" s="493"/>
      <c r="E76" s="147"/>
      <c r="F76" s="44"/>
      <c r="G76" s="17"/>
      <c r="H76" s="152"/>
      <c r="I76" s="30">
        <v>16.166666666666668</v>
      </c>
      <c r="J76" s="37">
        <v>2400</v>
      </c>
      <c r="K76" s="17">
        <f t="shared" si="43"/>
        <v>148.45360824742266</v>
      </c>
      <c r="L76" s="30">
        <v>16.166666666666668</v>
      </c>
      <c r="M76" s="18">
        <f>AVERAGE(M70:M75)</f>
        <v>2294.5814244819499</v>
      </c>
      <c r="N76" s="17">
        <f t="shared" si="44"/>
        <v>141.93287161744018</v>
      </c>
      <c r="O76" s="19">
        <f t="shared" si="45"/>
        <v>0</v>
      </c>
      <c r="P76" s="20">
        <f t="shared" si="46"/>
        <v>-6.5207366299824798</v>
      </c>
      <c r="Q76" s="143">
        <f t="shared" si="47"/>
        <v>0.95607559353414584</v>
      </c>
      <c r="R76" s="489"/>
      <c r="S76" s="40"/>
      <c r="T76" s="40"/>
      <c r="U76" s="17"/>
      <c r="V76" s="151"/>
      <c r="W76" s="17"/>
      <c r="X76" s="17"/>
      <c r="Y76" s="31">
        <f>SUM(Y70:Y75)</f>
        <v>0</v>
      </c>
      <c r="Z76" s="31">
        <f>SUM(Z70:Z75)</f>
        <v>0</v>
      </c>
      <c r="AA76" s="495"/>
      <c r="AB76" s="495"/>
      <c r="AC76" s="31">
        <f>SUM(AC70:AC75)</f>
        <v>9</v>
      </c>
      <c r="AD76" s="31">
        <f>SUM(AD70:AD75)</f>
        <v>0</v>
      </c>
      <c r="AE76" s="19">
        <f t="shared" si="48"/>
        <v>-105.41857551805015</v>
      </c>
      <c r="AF76" s="143">
        <f t="shared" si="49"/>
        <v>0.95607559353414573</v>
      </c>
      <c r="AG76" s="489"/>
    </row>
    <row r="77" spans="1:33">
      <c r="D77" s="33"/>
      <c r="E77" s="33"/>
    </row>
  </sheetData>
  <mergeCells count="203">
    <mergeCell ref="A70:A76"/>
    <mergeCell ref="C70:D70"/>
    <mergeCell ref="R70:R76"/>
    <mergeCell ref="AA70:AB70"/>
    <mergeCell ref="AA75:AB75"/>
    <mergeCell ref="C76:D76"/>
    <mergeCell ref="AA76:AB76"/>
    <mergeCell ref="AG70:AG76"/>
    <mergeCell ref="C71:D71"/>
    <mergeCell ref="AA71:AB71"/>
    <mergeCell ref="C72:D72"/>
    <mergeCell ref="AA72:AB72"/>
    <mergeCell ref="C73:D73"/>
    <mergeCell ref="AA73:AB73"/>
    <mergeCell ref="C74:D74"/>
    <mergeCell ref="AA74:AB74"/>
    <mergeCell ref="C75:D75"/>
    <mergeCell ref="AG63:AG69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C69:D69"/>
    <mergeCell ref="AA69:AB69"/>
    <mergeCell ref="C61:D61"/>
    <mergeCell ref="AA61:AB61"/>
    <mergeCell ref="C62:D62"/>
    <mergeCell ref="AA62:AB62"/>
    <mergeCell ref="A63:A69"/>
    <mergeCell ref="C63:D63"/>
    <mergeCell ref="R63:R69"/>
    <mergeCell ref="AA63:AB63"/>
    <mergeCell ref="AA68:AB68"/>
    <mergeCell ref="A56:A62"/>
    <mergeCell ref="C56:D56"/>
    <mergeCell ref="R56:R62"/>
    <mergeCell ref="AA56:AB56"/>
    <mergeCell ref="A49:A55"/>
    <mergeCell ref="C49:D49"/>
    <mergeCell ref="R49:R55"/>
    <mergeCell ref="AA49:AB49"/>
    <mergeCell ref="AA54:AB54"/>
    <mergeCell ref="C55:D55"/>
    <mergeCell ref="AA55:AB55"/>
    <mergeCell ref="AG56:AG62"/>
    <mergeCell ref="C57:D57"/>
    <mergeCell ref="AA57:AB57"/>
    <mergeCell ref="C58:D58"/>
    <mergeCell ref="AA58:AB58"/>
    <mergeCell ref="AA59:AB59"/>
    <mergeCell ref="AG49:AG55"/>
    <mergeCell ref="C50:D50"/>
    <mergeCell ref="AA50:AB50"/>
    <mergeCell ref="C51:D51"/>
    <mergeCell ref="AA51:AB51"/>
    <mergeCell ref="C52:D52"/>
    <mergeCell ref="AA52:AB52"/>
    <mergeCell ref="C53:D53"/>
    <mergeCell ref="AA53:AB53"/>
    <mergeCell ref="C54:D54"/>
    <mergeCell ref="AA60:AB60"/>
    <mergeCell ref="A40:A48"/>
    <mergeCell ref="C40:D40"/>
    <mergeCell ref="R40:R48"/>
    <mergeCell ref="AA40:AB40"/>
    <mergeCell ref="AA45:AB45"/>
    <mergeCell ref="C46:D46"/>
    <mergeCell ref="AA46:AB46"/>
    <mergeCell ref="C47:D47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A47:AB47"/>
    <mergeCell ref="C48:D48"/>
    <mergeCell ref="AA48:AB48"/>
    <mergeCell ref="C37:D37"/>
    <mergeCell ref="AA37:AB37"/>
    <mergeCell ref="C38:D38"/>
    <mergeCell ref="AA38:AB38"/>
    <mergeCell ref="A32:A39"/>
    <mergeCell ref="C32:D32"/>
    <mergeCell ref="R32:R39"/>
    <mergeCell ref="AA32:AB32"/>
    <mergeCell ref="C39:D39"/>
    <mergeCell ref="AA39:AB39"/>
    <mergeCell ref="C24:D24"/>
    <mergeCell ref="AA24:AB24"/>
    <mergeCell ref="C25:D25"/>
    <mergeCell ref="AA25:AB25"/>
    <mergeCell ref="C26:D26"/>
    <mergeCell ref="AA26:AB26"/>
    <mergeCell ref="C27:D27"/>
    <mergeCell ref="AA35:AB35"/>
    <mergeCell ref="C36:D36"/>
    <mergeCell ref="AA36:AB36"/>
    <mergeCell ref="C21:D21"/>
    <mergeCell ref="AA21:AB21"/>
    <mergeCell ref="A22:A31"/>
    <mergeCell ref="C22:D22"/>
    <mergeCell ref="R22:R31"/>
    <mergeCell ref="AA22:AB22"/>
    <mergeCell ref="AA27:AB27"/>
    <mergeCell ref="C28:D28"/>
    <mergeCell ref="AG32:AG39"/>
    <mergeCell ref="C33:D33"/>
    <mergeCell ref="AA33:AB33"/>
    <mergeCell ref="C34:D34"/>
    <mergeCell ref="AA34:AB34"/>
    <mergeCell ref="C35:D35"/>
    <mergeCell ref="AA28:AB28"/>
    <mergeCell ref="C29:D29"/>
    <mergeCell ref="AA29:AB29"/>
    <mergeCell ref="C30:D30"/>
    <mergeCell ref="AA30:AB30"/>
    <mergeCell ref="C31:D31"/>
    <mergeCell ref="AA31:AB31"/>
    <mergeCell ref="AG22:AG31"/>
    <mergeCell ref="C23:D23"/>
    <mergeCell ref="AA23:AB23"/>
    <mergeCell ref="AG9:AG11"/>
    <mergeCell ref="C10:D10"/>
    <mergeCell ref="AA10:AB10"/>
    <mergeCell ref="C11:D11"/>
    <mergeCell ref="AA11:AB11"/>
    <mergeCell ref="A12:A21"/>
    <mergeCell ref="C12:D12"/>
    <mergeCell ref="R12:R21"/>
    <mergeCell ref="AA12:AB12"/>
    <mergeCell ref="AG12:AG21"/>
    <mergeCell ref="C16:D16"/>
    <mergeCell ref="AA16:AB16"/>
    <mergeCell ref="C17:D17"/>
    <mergeCell ref="AA17:AB17"/>
    <mergeCell ref="AA18:AB18"/>
    <mergeCell ref="AA19:AB19"/>
    <mergeCell ref="C13:D13"/>
    <mergeCell ref="AA13:AB13"/>
    <mergeCell ref="C14:D14"/>
    <mergeCell ref="AA14:AB14"/>
    <mergeCell ref="C15:D15"/>
    <mergeCell ref="AA15:AB15"/>
    <mergeCell ref="C20:D20"/>
    <mergeCell ref="AA20:AB20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6:O76 O5:O9 O11:O13 O21:O63">
    <cfRule type="cellIs" dxfId="329" priority="51" operator="greaterThan">
      <formula>0</formula>
    </cfRule>
  </conditionalFormatting>
  <conditionalFormatting sqref="P5:P7 P66:P68 AE66:AE68 P70:P75 P32:P38 P63 P9 P11:P13 P22:P30 P56:P61 P40:P54 AE5:AE63 AE70:AE76">
    <cfRule type="cellIs" dxfId="328" priority="55" operator="lessThan">
      <formula>0</formula>
    </cfRule>
  </conditionalFormatting>
  <conditionalFormatting sqref="AF66:AF68 Q66:Q76 Q5:Q9 Q11:Q13 Q21:Q63 AF5:AF63 AF70:AF76">
    <cfRule type="cellIs" dxfId="327" priority="52" operator="greaterThan">
      <formula>1</formula>
    </cfRule>
    <cfRule type="cellIs" dxfId="326" priority="53" operator="lessThan">
      <formula>0.8</formula>
    </cfRule>
  </conditionalFormatting>
  <conditionalFormatting sqref="AG12:AG13 R12:R13 AG66 R21:R27 AG21:AG27 R66:R76 AG5:AG9 R5:R9 AG31:AG63 R31:R63">
    <cfRule type="cellIs" dxfId="325" priority="57" operator="lessThan">
      <formula>0.8</formula>
    </cfRule>
  </conditionalFormatting>
  <conditionalFormatting sqref="AG49">
    <cfRule type="cellIs" dxfId="324" priority="59" operator="lessThan">
      <formula>0.8</formula>
    </cfRule>
  </conditionalFormatting>
  <conditionalFormatting sqref="AG22:AG27">
    <cfRule type="cellIs" dxfId="323" priority="56" operator="lessThan">
      <formula>0.8</formula>
    </cfRule>
  </conditionalFormatting>
  <conditionalFormatting sqref="AG32">
    <cfRule type="cellIs" dxfId="322" priority="58" operator="lessThan">
      <formula>0.8</formula>
    </cfRule>
  </conditionalFormatting>
  <conditionalFormatting sqref="AG40:AG47">
    <cfRule type="cellIs" dxfId="321" priority="54" operator="lessThan">
      <formula>0.8</formula>
    </cfRule>
  </conditionalFormatting>
  <conditionalFormatting sqref="AE69">
    <cfRule type="cellIs" dxfId="320" priority="50" operator="lessThan">
      <formula>0</formula>
    </cfRule>
  </conditionalFormatting>
  <conditionalFormatting sqref="AF69">
    <cfRule type="cellIs" dxfId="319" priority="48" operator="greaterThan">
      <formula>1</formula>
    </cfRule>
    <cfRule type="cellIs" dxfId="318" priority="49" operator="lessThan">
      <formula>0.8</formula>
    </cfRule>
  </conditionalFormatting>
  <conditionalFormatting sqref="O14:O15">
    <cfRule type="cellIs" dxfId="317" priority="43" operator="greaterThan">
      <formula>0</formula>
    </cfRule>
  </conditionalFormatting>
  <conditionalFormatting sqref="P14:P15">
    <cfRule type="cellIs" dxfId="316" priority="46" operator="lessThan">
      <formula>0</formula>
    </cfRule>
  </conditionalFormatting>
  <conditionalFormatting sqref="Q14:Q15">
    <cfRule type="cellIs" dxfId="315" priority="44" operator="greaterThan">
      <formula>1</formula>
    </cfRule>
    <cfRule type="cellIs" dxfId="314" priority="45" operator="lessThan">
      <formula>0.8</formula>
    </cfRule>
  </conditionalFormatting>
  <conditionalFormatting sqref="R14:R15 AG14:AG15">
    <cfRule type="cellIs" dxfId="313" priority="47" operator="lessThan">
      <formula>0.8</formula>
    </cfRule>
  </conditionalFormatting>
  <conditionalFormatting sqref="O10">
    <cfRule type="cellIs" dxfId="312" priority="39" operator="greaterThan">
      <formula>0</formula>
    </cfRule>
  </conditionalFormatting>
  <conditionalFormatting sqref="P10">
    <cfRule type="cellIs" dxfId="311" priority="42" operator="lessThan">
      <formula>0</formula>
    </cfRule>
  </conditionalFormatting>
  <conditionalFormatting sqref="Q10">
    <cfRule type="cellIs" dxfId="310" priority="40" operator="greaterThan">
      <formula>1</formula>
    </cfRule>
    <cfRule type="cellIs" dxfId="309" priority="41" operator="lessThan">
      <formula>0.8</formula>
    </cfRule>
  </conditionalFormatting>
  <conditionalFormatting sqref="AG29 R29">
    <cfRule type="cellIs" dxfId="308" priority="38" operator="lessThan">
      <formula>0.8</formula>
    </cfRule>
  </conditionalFormatting>
  <conditionalFormatting sqref="O65">
    <cfRule type="cellIs" dxfId="307" priority="33" operator="greaterThan">
      <formula>0</formula>
    </cfRule>
  </conditionalFormatting>
  <conditionalFormatting sqref="P65 AE65">
    <cfRule type="cellIs" dxfId="306" priority="36" operator="lessThan">
      <formula>0</formula>
    </cfRule>
  </conditionalFormatting>
  <conditionalFormatting sqref="Q65 AF65">
    <cfRule type="cellIs" dxfId="305" priority="34" operator="greaterThan">
      <formula>1</formula>
    </cfRule>
    <cfRule type="cellIs" dxfId="304" priority="35" operator="lessThan">
      <formula>0.8</formula>
    </cfRule>
  </conditionalFormatting>
  <conditionalFormatting sqref="R65 AG65">
    <cfRule type="cellIs" dxfId="303" priority="37" operator="lessThan">
      <formula>0.8</formula>
    </cfRule>
  </conditionalFormatting>
  <conditionalFormatting sqref="O16:O17">
    <cfRule type="cellIs" dxfId="302" priority="28" operator="greaterThan">
      <formula>0</formula>
    </cfRule>
  </conditionalFormatting>
  <conditionalFormatting sqref="P16:P17">
    <cfRule type="cellIs" dxfId="301" priority="31" operator="lessThan">
      <formula>0</formula>
    </cfRule>
  </conditionalFormatting>
  <conditionalFormatting sqref="Q16:Q17">
    <cfRule type="cellIs" dxfId="300" priority="29" operator="greaterThan">
      <formula>1</formula>
    </cfRule>
    <cfRule type="cellIs" dxfId="299" priority="30" operator="lessThan">
      <formula>0.8</formula>
    </cfRule>
  </conditionalFormatting>
  <conditionalFormatting sqref="R16:R17 AG16:AG17">
    <cfRule type="cellIs" dxfId="298" priority="32" operator="lessThan">
      <formula>0.8</formula>
    </cfRule>
  </conditionalFormatting>
  <conditionalFormatting sqref="AG30 R30">
    <cfRule type="cellIs" dxfId="297" priority="27" operator="lessThan">
      <formula>0.8</formula>
    </cfRule>
  </conditionalFormatting>
  <conditionalFormatting sqref="R28 AG28">
    <cfRule type="cellIs" dxfId="296" priority="26" operator="lessThan">
      <formula>0.8</formula>
    </cfRule>
  </conditionalFormatting>
  <conditionalFormatting sqref="AG28">
    <cfRule type="cellIs" dxfId="295" priority="25" operator="lessThan">
      <formula>0.8</formula>
    </cfRule>
  </conditionalFormatting>
  <conditionalFormatting sqref="O64">
    <cfRule type="cellIs" dxfId="294" priority="20" operator="greaterThan">
      <formula>0</formula>
    </cfRule>
  </conditionalFormatting>
  <conditionalFormatting sqref="P64 AE64">
    <cfRule type="cellIs" dxfId="293" priority="23" operator="lessThan">
      <formula>0</formula>
    </cfRule>
  </conditionalFormatting>
  <conditionalFormatting sqref="Q64 AF64">
    <cfRule type="cellIs" dxfId="292" priority="21" operator="greaterThan">
      <formula>1</formula>
    </cfRule>
    <cfRule type="cellIs" dxfId="291" priority="22" operator="lessThan">
      <formula>0.8</formula>
    </cfRule>
  </conditionalFormatting>
  <conditionalFormatting sqref="R64 AG64">
    <cfRule type="cellIs" dxfId="290" priority="24" operator="lessThan">
      <formula>0.8</formula>
    </cfRule>
  </conditionalFormatting>
  <conditionalFormatting sqref="O18">
    <cfRule type="cellIs" dxfId="289" priority="15" operator="greaterThan">
      <formula>0</formula>
    </cfRule>
  </conditionalFormatting>
  <conditionalFormatting sqref="P18">
    <cfRule type="cellIs" dxfId="288" priority="18" operator="lessThan">
      <formula>0</formula>
    </cfRule>
  </conditionalFormatting>
  <conditionalFormatting sqref="Q18">
    <cfRule type="cellIs" dxfId="287" priority="16" operator="greaterThan">
      <formula>1</formula>
    </cfRule>
    <cfRule type="cellIs" dxfId="286" priority="17" operator="lessThan">
      <formula>0.8</formula>
    </cfRule>
  </conditionalFormatting>
  <conditionalFormatting sqref="AG18 R18">
    <cfRule type="cellIs" dxfId="285" priority="19" operator="lessThan">
      <formula>0.8</formula>
    </cfRule>
  </conditionalFormatting>
  <conditionalFormatting sqref="O19:O20">
    <cfRule type="cellIs" dxfId="284" priority="10" operator="greaterThan">
      <formula>0</formula>
    </cfRule>
  </conditionalFormatting>
  <conditionalFormatting sqref="P19:P20">
    <cfRule type="cellIs" dxfId="283" priority="13" operator="lessThan">
      <formula>0</formula>
    </cfRule>
  </conditionalFormatting>
  <conditionalFormatting sqref="Q19:Q20">
    <cfRule type="cellIs" dxfId="282" priority="11" operator="greaterThan">
      <formula>1</formula>
    </cfRule>
    <cfRule type="cellIs" dxfId="281" priority="12" operator="lessThan">
      <formula>0.8</formula>
    </cfRule>
  </conditionalFormatting>
  <conditionalFormatting sqref="AG19 R19">
    <cfRule type="cellIs" dxfId="280" priority="14" operator="lessThan">
      <formula>0.8</formula>
    </cfRule>
  </conditionalFormatting>
  <conditionalFormatting sqref="P8">
    <cfRule type="cellIs" dxfId="279" priority="9" operator="lessThan">
      <formula>0</formula>
    </cfRule>
  </conditionalFormatting>
  <conditionalFormatting sqref="P21">
    <cfRule type="cellIs" dxfId="278" priority="8" operator="lessThan">
      <formula>0</formula>
    </cfRule>
  </conditionalFormatting>
  <conditionalFormatting sqref="P31">
    <cfRule type="cellIs" dxfId="277" priority="7" operator="lessThan">
      <formula>0</formula>
    </cfRule>
  </conditionalFormatting>
  <conditionalFormatting sqref="P39">
    <cfRule type="cellIs" dxfId="276" priority="6" operator="lessThan">
      <formula>0</formula>
    </cfRule>
  </conditionalFormatting>
  <conditionalFormatting sqref="P55">
    <cfRule type="cellIs" dxfId="275" priority="5" operator="lessThan">
      <formula>0</formula>
    </cfRule>
  </conditionalFormatting>
  <conditionalFormatting sqref="P62">
    <cfRule type="cellIs" dxfId="274" priority="4" operator="lessThan">
      <formula>0</formula>
    </cfRule>
  </conditionalFormatting>
  <conditionalFormatting sqref="P69">
    <cfRule type="cellIs" dxfId="273" priority="3" operator="lessThan">
      <formula>0</formula>
    </cfRule>
  </conditionalFormatting>
  <conditionalFormatting sqref="P76">
    <cfRule type="cellIs" dxfId="272" priority="2" operator="lessThan">
      <formula>0</formula>
    </cfRule>
  </conditionalFormatting>
  <conditionalFormatting sqref="AG20 R20">
    <cfRule type="cellIs" dxfId="271" priority="1" operator="lessThan">
      <formula>0.8</formula>
    </cfRule>
  </conditionalFormatting>
  <dataValidations count="1">
    <dataValidation type="list" allowBlank="1" showInputMessage="1" showErrorMessage="1" sqref="AB8 AA5:AB7 AB67:AB68 AA8:AA68 AB10:AB63 AA69:AB7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322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323</v>
      </c>
      <c r="C3" s="478" t="str">
        <f>TEXT('0103 4度C'!A2,"yyyy.mm.ddaaaa")</f>
        <v>2026.01.03星期六</v>
      </c>
      <c r="D3" s="479"/>
      <c r="E3" s="56" t="s">
        <v>324</v>
      </c>
      <c r="F3" s="480">
        <f>'0103 4度C'!D1</f>
        <v>139867</v>
      </c>
      <c r="G3" s="481"/>
      <c r="H3" s="56" t="s">
        <v>325</v>
      </c>
      <c r="I3" s="482">
        <f>'0103 4度C'!F1</f>
        <v>4888982.1599999992</v>
      </c>
      <c r="J3" s="483"/>
      <c r="K3" s="57"/>
      <c r="L3" s="58"/>
      <c r="M3" s="59"/>
      <c r="N3" s="59"/>
    </row>
    <row r="4" spans="2:17" ht="28.5" customHeight="1">
      <c r="B4" s="484" t="s">
        <v>326</v>
      </c>
      <c r="C4" s="470" t="s">
        <v>327</v>
      </c>
      <c r="D4" s="471"/>
      <c r="E4" s="487" t="s">
        <v>328</v>
      </c>
      <c r="F4" s="488"/>
      <c r="G4" s="487" t="s">
        <v>329</v>
      </c>
      <c r="H4" s="488"/>
      <c r="I4" s="487" t="s">
        <v>330</v>
      </c>
      <c r="J4" s="488"/>
      <c r="K4" s="468" t="s">
        <v>331</v>
      </c>
      <c r="L4" s="469"/>
      <c r="M4" s="469" t="s">
        <v>332</v>
      </c>
      <c r="N4" s="469"/>
    </row>
    <row r="5" spans="2:17" ht="28.5" customHeight="1">
      <c r="B5" s="485"/>
      <c r="C5" s="470" t="s">
        <v>333</v>
      </c>
      <c r="D5" s="471"/>
      <c r="E5" s="470" t="s">
        <v>334</v>
      </c>
      <c r="F5" s="471"/>
      <c r="G5" s="472" t="s">
        <v>335</v>
      </c>
      <c r="H5" s="473"/>
      <c r="I5" s="474" t="s">
        <v>336</v>
      </c>
      <c r="J5" s="475"/>
      <c r="K5" s="60" t="s">
        <v>337</v>
      </c>
      <c r="L5" s="61" t="s">
        <v>338</v>
      </c>
      <c r="M5" s="60" t="s">
        <v>339</v>
      </c>
      <c r="N5" s="61" t="s">
        <v>340</v>
      </c>
    </row>
    <row r="6" spans="2:17" ht="28.5" customHeight="1">
      <c r="B6" s="485"/>
      <c r="C6" s="470" t="s">
        <v>144</v>
      </c>
      <c r="D6" s="471"/>
      <c r="E6" s="462">
        <f>AVERAGE(D13:M13)</f>
        <v>147.70200947181544</v>
      </c>
      <c r="F6" s="463">
        <f>AVERAGE(D31:O31,D13:J13)</f>
        <v>151.58651162894307</v>
      </c>
      <c r="G6" s="464">
        <f>AVERAGE(D13:J13)</f>
        <v>151.58651162894307</v>
      </c>
      <c r="H6" s="465"/>
      <c r="I6" s="464">
        <f>AVERAGE(K13:M13)</f>
        <v>138.63817110518434</v>
      </c>
      <c r="J6" s="465"/>
      <c r="K6" s="466">
        <f>'0103 4度C'!Y2</f>
        <v>0</v>
      </c>
      <c r="L6" s="451">
        <f>'0103 4度C'!Z2</f>
        <v>0</v>
      </c>
      <c r="M6" s="467">
        <f>'0103 4度C'!AC2</f>
        <v>32</v>
      </c>
      <c r="N6" s="451">
        <f>'0103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140.83390751987204</v>
      </c>
      <c r="F7" s="455">
        <f>AVERAGE(D32:O32,D14:J14)</f>
        <v>144.28695880554247</v>
      </c>
      <c r="G7" s="456">
        <f>AVERAGE(D14:J14)</f>
        <v>144.28695880554247</v>
      </c>
      <c r="H7" s="457"/>
      <c r="I7" s="456">
        <f>AVERAGE(K14:M14)</f>
        <v>132.77678785330772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0.9509738951653649</v>
      </c>
      <c r="F8" s="459">
        <f>AVERAGE(D15:J15,D33:O33)</f>
        <v>0.94807641573119661</v>
      </c>
      <c r="G8" s="460">
        <f>AVERAGE(D15:J15)</f>
        <v>0.94807641573119661</v>
      </c>
      <c r="H8" s="461"/>
      <c r="I8" s="460">
        <f>AVERAGE(K15:M15)</f>
        <v>0.95773468051175781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341</v>
      </c>
      <c r="N9" s="59"/>
      <c r="O9" s="59"/>
      <c r="P9" s="59"/>
      <c r="Q9" s="59"/>
    </row>
    <row r="10" spans="2:17" ht="30" customHeight="1">
      <c r="B10" s="434" t="s">
        <v>342</v>
      </c>
      <c r="C10" s="435"/>
      <c r="D10" s="436" t="s">
        <v>343</v>
      </c>
      <c r="E10" s="437"/>
      <c r="F10" s="437"/>
      <c r="G10" s="437"/>
      <c r="H10" s="437"/>
      <c r="I10" s="437"/>
      <c r="J10" s="438"/>
      <c r="K10" s="439" t="s">
        <v>344</v>
      </c>
      <c r="L10" s="440"/>
      <c r="M10" s="441"/>
      <c r="P10" s="65"/>
      <c r="Q10" s="65"/>
    </row>
    <row r="11" spans="2:17" ht="17.25" customHeight="1">
      <c r="B11" s="442" t="s">
        <v>345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346</v>
      </c>
      <c r="C13" s="72" t="s">
        <v>347</v>
      </c>
      <c r="D13" s="73">
        <f>SUMIFS('0103 4度C'!$K:$K,'0103 4度C'!$A:$A,"新豐6線",'0103 4度C'!$B:$B,"平均")</f>
        <v>115.38461538461539</v>
      </c>
      <c r="E13" s="74">
        <f>SUMIFS('0103 4度C'!$K:$K,'0103 4度C'!$A:$A,"新豐2線",'0103 4度C'!$B:$B,"平均")</f>
        <v>83.333333333333329</v>
      </c>
      <c r="F13" s="75">
        <f>SUMIFS('0103 4度C'!$K:$K,'0103 4度C'!$A:$A,"新豐5線",'0103 4度C'!$B:$B,"平均")</f>
        <v>109.99999999999999</v>
      </c>
      <c r="G13" s="75">
        <f>SUMIFS('0103 4度C'!$K:$K,'0103 4度C'!$A:$A,"新豐7線",'0103 4度C'!$B:$B,"平均")</f>
        <v>117.1875</v>
      </c>
      <c r="H13" s="75">
        <f>SUMIFS('0103 4度C'!$K:$K,'0103 4度C'!$A:$A,"新豐3線",'0103 4度C'!$B:$B,"平均")</f>
        <v>235.29411764705881</v>
      </c>
      <c r="I13" s="75">
        <f>SUMIFS('0103 4度C'!$K:$K,'0103 4度C'!$A:$A,"新豐1線",'0103 4度C'!$B:$B,"平均")</f>
        <v>105.26315789473684</v>
      </c>
      <c r="J13" s="76">
        <f>SUMIFS('0103 4度C'!$K:$K,'0103 4度C'!$A:$A,"新豐10線",'0103 4度C'!$B:$B,"平均")</f>
        <v>294.64285714285711</v>
      </c>
      <c r="K13" s="77">
        <f>SUMIFS('0103 4度C'!$K:$K,'0103 4度C'!$A:$A,"新豐8線",'0103 4度C'!$B:$B,"平均")</f>
        <v>131.86813186813188</v>
      </c>
      <c r="L13" s="78">
        <f>SUMIFS('0103 4度C'!$K:$K,'0103 4度C'!$A:$A,"新豐9線",'0103 4度C'!$B:$B,"平均")</f>
        <v>137.70491803278691</v>
      </c>
      <c r="M13" s="76">
        <f>SUMIFS('0103 4度C'!$K:$K,'0103 4度C'!$A:$A,"新豐4線",'0103 4度C'!$B:$B,"平均")</f>
        <v>146.34146341463415</v>
      </c>
    </row>
    <row r="14" spans="2:17" ht="39.6" customHeight="1">
      <c r="B14" s="447"/>
      <c r="C14" s="79" t="s">
        <v>348</v>
      </c>
      <c r="D14" s="80">
        <f>SUMIFS('0103 4度C'!$N:$N,'0103 4度C'!$A:$A,"新豐6線",'0103 4度C'!$B:$B,"平均")</f>
        <v>111.09414132379247</v>
      </c>
      <c r="E14" s="81">
        <f>SUMIFS('0103 4度C'!$N:$N,'0103 4度C'!$A:$A,"新豐2線",'0103 4度C'!$B:$B,"平均")</f>
        <v>79.480153763633098</v>
      </c>
      <c r="F14" s="81">
        <f>SUMIFS('0103 4度C'!$N:$N,'0103 4度C'!$A:$A,"新豐5線",'0103 4度C'!$B:$B,"平均")</f>
        <v>105.65800212490235</v>
      </c>
      <c r="G14" s="81">
        <f>SUMIFS('0103 4度C'!$N:$N,'0103 4度C'!$A:$A,"新豐7線",'0103 4度C'!$B:$B,"平均")</f>
        <v>112.37070661047973</v>
      </c>
      <c r="H14" s="81">
        <f>SUMIFS('0103 4度C'!$N:$N,'0103 4度C'!$A:$A,"新豐3線",'0103 4度C'!$B:$B,"平均")</f>
        <v>225.47053282865161</v>
      </c>
      <c r="I14" s="81">
        <f>SUMIFS('0103 4度C'!$N:$N,'0103 4度C'!$A:$A,"新豐1線",'0103 4度C'!$B:$B,"平均")</f>
        <v>92.75738599563779</v>
      </c>
      <c r="J14" s="82">
        <f>SUMIFS('0103 4度C'!$N:$N,'0103 4度C'!$A:$A,"新豐10線",'0103 4度C'!$B:$B,"平均")</f>
        <v>283.17778899170008</v>
      </c>
      <c r="K14" s="83">
        <f>SUMIFS('0103 4度C'!$N:$N,'0103 4度C'!$A:$A,"新豐8線",'0103 4度C'!$B:$B,"平均")</f>
        <v>126.04123435290188</v>
      </c>
      <c r="L14" s="84">
        <f>SUMIFS('0103 4度C'!$N:$N,'0103 4度C'!$A:$A,"新豐9線",'0103 4度C'!$B:$B,"平均")</f>
        <v>132.41425114817383</v>
      </c>
      <c r="M14" s="82">
        <f>SUMIFS('0103 4度C'!$N:$N,'0103 4度C'!$A:$A,"新豐4線",'0103 4度C'!$B:$B,"平均")</f>
        <v>139.87487805884746</v>
      </c>
    </row>
    <row r="15" spans="2:17" ht="40.15" customHeight="1">
      <c r="B15" s="448"/>
      <c r="C15" s="85" t="s">
        <v>349</v>
      </c>
      <c r="D15" s="86">
        <f t="shared" ref="D15:M15" si="0">D14/D13</f>
        <v>0.96281589147286806</v>
      </c>
      <c r="E15" s="87">
        <f t="shared" si="0"/>
        <v>0.95376184516359719</v>
      </c>
      <c r="F15" s="87">
        <f t="shared" si="0"/>
        <v>0.96052729204456699</v>
      </c>
      <c r="G15" s="87">
        <f t="shared" si="0"/>
        <v>0.95889669640942699</v>
      </c>
      <c r="H15" s="87">
        <f t="shared" si="0"/>
        <v>0.95824976452176935</v>
      </c>
      <c r="I15" s="87">
        <f t="shared" si="0"/>
        <v>0.88119516695855904</v>
      </c>
      <c r="J15" s="88">
        <f t="shared" si="0"/>
        <v>0.96108825354758831</v>
      </c>
      <c r="K15" s="86">
        <f t="shared" si="0"/>
        <v>0.95581269384283918</v>
      </c>
      <c r="L15" s="87">
        <f t="shared" si="0"/>
        <v>0.96157968095697655</v>
      </c>
      <c r="M15" s="88">
        <f t="shared" si="0"/>
        <v>0.95581166673545759</v>
      </c>
    </row>
    <row r="16" spans="2:17" ht="17.25" customHeight="1">
      <c r="B16" s="449" t="s">
        <v>350</v>
      </c>
      <c r="C16" s="89" t="s">
        <v>351</v>
      </c>
      <c r="D16" s="90">
        <f>VLOOKUP("新豐6線",'0103 4度C'!$A:$T,19,0)</f>
        <v>0.70833333333333337</v>
      </c>
      <c r="E16" s="91">
        <f>VLOOKUP("新豐2線",'0103 4度C'!$A:$T,19,0)</f>
        <v>0.16666666666666666</v>
      </c>
      <c r="F16" s="91">
        <f>VLOOKUP("新豐5線",'0103 4度C'!$A:$T,19,0)</f>
        <v>0.20833333333333334</v>
      </c>
      <c r="G16" s="91">
        <f>VLOOKUP("新豐7線",'0103 4度C'!$A:$T,19,0)</f>
        <v>0.20833333333333334</v>
      </c>
      <c r="H16" s="91">
        <f>VLOOKUP("新豐3線",'0103 4度C'!$A:$T,19,0)</f>
        <v>8.3333333333333329E-2</v>
      </c>
      <c r="I16" s="91">
        <f>VLOOKUP("新豐1線",'0103 4度C'!$A:$T,19,0)</f>
        <v>0.20833333333333334</v>
      </c>
      <c r="J16" s="92">
        <f>VLOOKUP("新豐10線",'0103 4度C'!$A:$T,19,0)</f>
        <v>0.20833333333333334</v>
      </c>
      <c r="K16" s="93">
        <f>VLOOKUP("新豐8線",'0103 4度C'!$A:$T,19,0)</f>
        <v>8.3333333333333329E-2</v>
      </c>
      <c r="L16" s="94">
        <f>VLOOKUP("新豐9線",'0103 4度C'!$A:$T,19,0)</f>
        <v>8.3333333333333329E-2</v>
      </c>
      <c r="M16" s="95">
        <f>VLOOKUP("新豐4線",'0103 4度C'!$A:$T,19,0)</f>
        <v>8.3333333333333329E-2</v>
      </c>
    </row>
    <row r="17" spans="2:13" ht="17.25" customHeight="1">
      <c r="B17" s="450"/>
      <c r="C17" s="89" t="s">
        <v>352</v>
      </c>
      <c r="D17" s="93">
        <f>LOOKUP(2,1/(('0103 4度C'!$A:$A="新豐6線")*('0103 4度C'!$T:$T&lt;&gt;"")),'0103 4度C'!$T:$T)</f>
        <v>0.80694444444444446</v>
      </c>
      <c r="E17" s="91">
        <f>LOOKUP(2,1/(('0103 4度C'!$A:$A="新豐2線")*('0103 4度C'!$T:$T&lt;&gt;"")),'0103 4度C'!$T:$T)</f>
        <v>0.39722222222222225</v>
      </c>
      <c r="F17" s="91">
        <f>LOOKUP(2,1/(('0103 4度C'!$A:$A="新豐5線")*('0103 4度C'!$T:$T&lt;&gt;"")),'0103 4度C'!$T:$T)</f>
        <v>0.95972222222222214</v>
      </c>
      <c r="G17" s="91">
        <f>LOOKUP(2,1/(('0103 4度C'!$A:$A="新豐7線")*('0103 4度C'!$T:$T&lt;&gt;"")),'0103 4度C'!$T:$T)</f>
        <v>0.86180555555555549</v>
      </c>
      <c r="H17" s="91">
        <f>LOOKUP(2,1/(('0103 4度C'!$A:$A="新豐3線")*('0103 4度C'!$T:$T&lt;&gt;"")),'0103 4度C'!$T:$T)</f>
        <v>0.44791666666666657</v>
      </c>
      <c r="I17" s="91">
        <f>LOOKUP(2,1/(('0103 4度C'!$A:$A="新豐1線")*('0103 4度C'!$T:$T&lt;&gt;"")),'0103 4度C'!$T:$T)</f>
        <v>0.84722222222222221</v>
      </c>
      <c r="J17" s="92">
        <f>LOOKUP(2,1/(('0103 4度C'!$A:$A="新豐10線")*('0103 4度C'!$T:$T&lt;&gt;"")),'0103 4度C'!$T:$T)</f>
        <v>0.43958333333333327</v>
      </c>
      <c r="K17" s="90">
        <f>LOOKUP(2,1/(('0103 4度C'!$A:$A="新豐8線")*('0103 4度C'!$T:$T&lt;&gt;"")),'0103 4度C'!$T:$T)</f>
        <v>0.49305555555555552</v>
      </c>
      <c r="L17" s="91">
        <f>LOOKUP(2,1/(('0103 4度C'!$A:$A="新豐9線")*('0103 4度C'!$T:$T&lt;&gt;"")),'0103 4度C'!$T:$T)</f>
        <v>0.42430555555555555</v>
      </c>
      <c r="M17" s="92">
        <f>LOOKUP(2,1/(('0103 4度C'!$A:$A="新豐4線")*('0103 4度C'!$T:$T&lt;&gt;"")),'0103 4度C'!$T:$T)</f>
        <v>0.49444444444444441</v>
      </c>
    </row>
    <row r="18" spans="2:13" ht="17.25" customHeight="1">
      <c r="B18" s="428" t="s">
        <v>353</v>
      </c>
      <c r="C18" s="96" t="s">
        <v>354</v>
      </c>
      <c r="D18" s="97">
        <f>SUMIFS('0103 4度C'!$Y:$Y,'0103 4度C'!$A:$A,"新豐6線",'0103 4度C'!$B:$B,"平均")</f>
        <v>0</v>
      </c>
      <c r="E18" s="98">
        <f>SUMIFS('0103 4度C'!$Y:$Y,'0103 4度C'!$A:$A,"新豐2線",'0103 4度C'!$B:$B,"平均")</f>
        <v>0</v>
      </c>
      <c r="F18" s="98">
        <f>SUMIFS('0103 4度C'!$Y:$Y,'0103 4度C'!$A:$A,"新豐5線",'0103 4度C'!$B:$B,"平均")</f>
        <v>0</v>
      </c>
      <c r="G18" s="98">
        <f>SUMIFS('0103 4度C'!$Y:$Y,'0103 4度C'!$A:$A,"新豐7線",'0103 4度C'!$B:$B,"平均")</f>
        <v>0</v>
      </c>
      <c r="H18" s="98">
        <f>SUMIFS('0103 4度C'!$Y:$Y,'0103 4度C'!$A:$A,"新豐3線",'0103 4度C'!$B:$B,"平均")</f>
        <v>0</v>
      </c>
      <c r="I18" s="98">
        <f>SUMIFS('0103 4度C'!$Y:$Y,'0103 4度C'!$A:$A,"新豐1線",'0103 4度C'!$B:$B,"平均")</f>
        <v>0</v>
      </c>
      <c r="J18" s="99">
        <f>SUMIFS('0103 4度C'!$Y:$Y,'0103 4度C'!$A:$A,"新豐10線",'0103 4度C'!$B:$B,"平均")</f>
        <v>0</v>
      </c>
      <c r="K18" s="100">
        <f>SUMIFS('0103 4度C'!$Y:$Y,'0103 4度C'!$A:$A,"新豐8線",'0103 4度C'!$B:$B,"平均")</f>
        <v>0</v>
      </c>
      <c r="L18" s="98">
        <f>SUMIFS('0103 4度C'!$Y:$Y,'0103 4度C'!$A:$A,"新豐9線",'0103 4度C'!$B:$B,"平均")</f>
        <v>0</v>
      </c>
      <c r="M18" s="99">
        <f>SUMIFS('0103 4度C'!$Y:$Y,'0103 4度C'!$A:$A,"新豐4線",'0103 4度C'!$B:$B,"平均")</f>
        <v>0</v>
      </c>
    </row>
    <row r="19" spans="2:13" ht="17.25" customHeight="1">
      <c r="B19" s="429"/>
      <c r="C19" s="96" t="s">
        <v>355</v>
      </c>
      <c r="D19" s="97">
        <f>SUMIFS('0103 4度C'!$Z:$Z,'0103 4度C'!$A:$A,"新豐6線",'0103 4度C'!$B:$B,"平均")</f>
        <v>0</v>
      </c>
      <c r="E19" s="98">
        <f>SUMIFS('0103 4度C'!$Z:$Z,'0103 4度C'!$A:$A,"新豐2線",'0103 4度C'!$B:$B,"平均")</f>
        <v>0</v>
      </c>
      <c r="F19" s="98">
        <f>SUMIFS('0103 4度C'!$Z:$Z,'0103 4度C'!$A:$A,"新豐5線",'0103 4度C'!$B:$B,"平均")</f>
        <v>0</v>
      </c>
      <c r="G19" s="98">
        <f>SUMIFS('0103 4度C'!$Z:$Z,'0103 4度C'!$A:$A,"新豐7線",'0103 4度C'!$B:$B,"平均")</f>
        <v>0</v>
      </c>
      <c r="H19" s="98">
        <f>SUMIFS('0103 4度C'!$Z:$Z,'0103 4度C'!$A:$A,"新豐3線",'0103 4度C'!$B:$B,"平均")</f>
        <v>0</v>
      </c>
      <c r="I19" s="98">
        <f>SUMIFS('0103 4度C'!$Z:$Z,'0103 4度C'!$A:$A,"新豐1線",'0103 4度C'!$B:$B,"平均")</f>
        <v>0</v>
      </c>
      <c r="J19" s="99">
        <f>SUMIFS('0103 4度C'!$Z:$Z,'0103 4度C'!$A:$A,"新豐10線",'0103 4度C'!$B:$B,"平均")</f>
        <v>0</v>
      </c>
      <c r="K19" s="100">
        <f>SUMIFS('0103 4度C'!$Z:$Z,'0103 4度C'!$A:$A,"新豐8線",'0103 4度C'!$B:$B,"平均")</f>
        <v>0</v>
      </c>
      <c r="L19" s="98">
        <f>SUMIFS('0103 4度C'!$Z:$Z,'0103 4度C'!$A:$A,"新豐9線",'0103 4度C'!$B:$B,"平均")</f>
        <v>0</v>
      </c>
      <c r="M19" s="99">
        <f>SUMIFS('0103 4度C'!$Z:$Z,'0103 4度C'!$A:$A,"新豐4線",'0103 4度C'!$B:$B,"平均")</f>
        <v>0</v>
      </c>
    </row>
    <row r="20" spans="2:13" ht="17.25" customHeight="1">
      <c r="B20" s="428" t="s">
        <v>356</v>
      </c>
      <c r="C20" s="96" t="s">
        <v>354</v>
      </c>
      <c r="D20" s="97">
        <f>SUMIFS('0103 4度C'!$AC:$AC,'0103 4度C'!$A:$A,"新豐6線",'0103 4度C'!$B:$B,"平均")</f>
        <v>1</v>
      </c>
      <c r="E20" s="98">
        <f>SUMIFS('0103 4度C'!$AC:$AC,'0103 4度C'!$A:$A,"新豐2線",'0103 4度C'!$B:$B,"平均")</f>
        <v>2</v>
      </c>
      <c r="F20" s="98">
        <f>SUMIFS('0103 4度C'!$AC:$AC,'0103 4度C'!$A:$A,"新豐5線",'0103 4度C'!$B:$B,"平均")</f>
        <v>4</v>
      </c>
      <c r="G20" s="98">
        <f>SUMIFS('0103 4度C'!$AC:$AC,'0103 4度C'!$A:$A,"新豐7線",'0103 4度C'!$B:$B,"平均")</f>
        <v>4</v>
      </c>
      <c r="H20" s="98">
        <f>SUMIFS('0103 4度C'!$AC:$AC,'0103 4度C'!$A:$A,"新豐3線",'0103 4度C'!$B:$B,"平均")</f>
        <v>1</v>
      </c>
      <c r="I20" s="98">
        <f>SUMIFS('0103 4度C'!$AC:$AC,'0103 4度C'!$A:$A,"新豐1線",'0103 4度C'!$B:$B,"平均")</f>
        <v>3</v>
      </c>
      <c r="J20" s="99">
        <f>SUMIFS('0103 4度C'!$AC:$AC,'0103 4度C'!$A:$A,"新豐10線",'0103 4度C'!$B:$B,"平均")</f>
        <v>0</v>
      </c>
      <c r="K20" s="100">
        <f>SUMIFS('0103 4度C'!$AC:$AC,'0103 4度C'!$A:$A,"新豐8線",'0103 4度C'!$B:$B,"平均")</f>
        <v>6</v>
      </c>
      <c r="L20" s="98">
        <f>SUMIFS('0103 4度C'!$AC:$AC,'0103 4度C'!$A:$A,"新豐9線",'0103 4度C'!$B:$B,"平均")</f>
        <v>5</v>
      </c>
      <c r="M20" s="99">
        <f>SUMIFS('0103 4度C'!$AC:$AC,'0103 4度C'!$A:$A,"新豐4線",'0103 4度C'!$B:$B,"平均")</f>
        <v>6</v>
      </c>
    </row>
    <row r="21" spans="2:13" ht="17.25" customHeight="1">
      <c r="B21" s="429"/>
      <c r="C21" s="96" t="s">
        <v>357</v>
      </c>
      <c r="D21" s="97">
        <f>SUMIFS('0103 4度C'!$AD:$AD,'0103 4度C'!$A:$A,"新豐6線",'0103 4度C'!$B:$B,"平均")</f>
        <v>0</v>
      </c>
      <c r="E21" s="98">
        <f>SUMIFS('0103 4度C'!$AD:$AD,'0103 4度C'!$A:$A,"新豐2線",'0103 4度C'!$B:$B,"平均")</f>
        <v>0</v>
      </c>
      <c r="F21" s="98">
        <f>SUMIFS('0103 4度C'!$AD:$AD,'0103 4度C'!$A:$A,"新豐5線",'0103 4度C'!$B:$B,"平均")</f>
        <v>0</v>
      </c>
      <c r="G21" s="98">
        <f>SUMIFS('0103 4度C'!$AD:$AD,'0103 4度C'!$A:$A,"新豐7線",'0103 4度C'!$B:$B,"平均")</f>
        <v>0</v>
      </c>
      <c r="H21" s="98">
        <f>SUMIFS('0103 4度C'!$AD:$AD,'0103 4度C'!$A:$A,"新豐3線",'0103 4度C'!$B:$B,"平均")</f>
        <v>0</v>
      </c>
      <c r="I21" s="98">
        <f>SUMIFS('0103 4度C'!$AD:$AD,'0103 4度C'!$A:$A,"新豐1線",'0103 4度C'!$B:$B,"平均")</f>
        <v>0</v>
      </c>
      <c r="J21" s="99">
        <f>SUMIFS('0103 4度C'!$AD:$AD,'0103 4度C'!$A:$A,"新豐10線",'0103 4度C'!$B:$B,"平均")</f>
        <v>0</v>
      </c>
      <c r="K21" s="100">
        <f>SUMIFS('0103 4度C'!$AD:$AD,'0103 4度C'!$A:$A,"新豐8線",'0103 4度C'!$B:$B,"平均")</f>
        <v>0</v>
      </c>
      <c r="L21" s="98">
        <f>SUMIFS('0103 4度C'!$AD:$AD,'0103 4度C'!$A:$A,"新豐9線",'0103 4度C'!$B:$B,"平均")</f>
        <v>0</v>
      </c>
      <c r="M21" s="99">
        <f>SUMIFS('0103 4度C'!$AD:$AD,'0103 4度C'!$A:$A,"新豐4線",'0103 4度C'!$B:$B,"平均")</f>
        <v>0</v>
      </c>
    </row>
    <row r="22" spans="2:13" ht="17.25" customHeight="1">
      <c r="B22" s="430" t="s">
        <v>358</v>
      </c>
      <c r="C22" s="431"/>
      <c r="D22" s="101">
        <f>SUMIFS('0103 4度C'!$I:$I,'0103 4度C'!$A:$A,"新豐6線",'0103 4度C'!$B:$B,"平均")</f>
        <v>17.333333333333332</v>
      </c>
      <c r="E22" s="102">
        <f>SUMIFS('0103 4度C'!$I:$I,'0103 4度C'!$A:$A,"新豐2線",'0103 4度C'!$B:$B,"平均")</f>
        <v>18</v>
      </c>
      <c r="F22" s="102">
        <f>SUMIFS('0103 4度C'!$I:$I,'0103 4度C'!$A:$A,"新豐5線",'0103 4度C'!$B:$B,"平均")</f>
        <v>16.666666666666668</v>
      </c>
      <c r="G22" s="102">
        <f>SUMIFS('0103 4度C'!$I:$I,'0103 4度C'!$A:$A,"新豐7線",'0103 4度C'!$B:$B,"平均")</f>
        <v>16</v>
      </c>
      <c r="H22" s="102">
        <f>SUMIFS('0103 4度C'!$I:$I,'0103 4度C'!$A:$A,"新豐3線",'0103 4度C'!$B:$B,"平均")</f>
        <v>11.333333333333334</v>
      </c>
      <c r="I22" s="102">
        <f>SUMIFS('0103 4度C'!$I:$I,'0103 4度C'!$A:$A,"新豐1線",'0103 4度C'!$B:$B,"平均")</f>
        <v>19</v>
      </c>
      <c r="J22" s="103">
        <f>SUMIFS('0103 4度C'!$I:$I,'0103 4度C'!$A:$A,"新豐10線",'0103 4度C'!$B:$B,"平均")</f>
        <v>9.3333333333333339</v>
      </c>
      <c r="K22" s="101">
        <f>SUMIFS('0103 4度C'!$I:$I,'0103 4度C'!$A:$A,"新豐8線",'0103 4度C'!$B:$B,"平均")</f>
        <v>18.2</v>
      </c>
      <c r="L22" s="102">
        <f>SUMIFS('0103 4度C'!$I:$I,'0103 4度C'!$A:$A,"新豐9線",'0103 4度C'!$B:$B,"平均")</f>
        <v>17.428571428571427</v>
      </c>
      <c r="M22" s="103">
        <f>SUMIFS('0103 4度C'!$I:$I,'0103 4度C'!$A:$A,"新豐4線",'0103 4度C'!$B:$B,"平均")</f>
        <v>16.399999999999999</v>
      </c>
    </row>
    <row r="23" spans="2:13" ht="17.25" customHeight="1">
      <c r="B23" s="430" t="s">
        <v>359</v>
      </c>
      <c r="C23" s="431"/>
      <c r="D23" s="104" t="s">
        <v>157</v>
      </c>
      <c r="E23" s="105" t="s">
        <v>158</v>
      </c>
      <c r="F23" s="105" t="s">
        <v>360</v>
      </c>
      <c r="G23" s="105" t="s">
        <v>360</v>
      </c>
      <c r="H23" s="105" t="s">
        <v>159</v>
      </c>
      <c r="I23" s="105" t="s">
        <v>157</v>
      </c>
      <c r="J23" s="106" t="s">
        <v>159</v>
      </c>
      <c r="K23" s="104" t="s">
        <v>361</v>
      </c>
      <c r="L23" s="105" t="s">
        <v>361</v>
      </c>
      <c r="M23" s="106" t="s">
        <v>361</v>
      </c>
    </row>
    <row r="24" spans="2:13" ht="17.25" customHeight="1">
      <c r="B24" s="430" t="s">
        <v>362</v>
      </c>
      <c r="C24" s="431"/>
      <c r="D24" s="104"/>
      <c r="E24" s="105"/>
      <c r="F24" s="105" t="s">
        <v>363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364</v>
      </c>
      <c r="C25" s="433"/>
      <c r="D25" s="107"/>
      <c r="E25" s="108" t="s">
        <v>365</v>
      </c>
      <c r="F25" s="426" t="s">
        <v>366</v>
      </c>
      <c r="G25" s="427"/>
      <c r="H25" s="108" t="s">
        <v>367</v>
      </c>
      <c r="I25" s="108" t="s">
        <v>368</v>
      </c>
      <c r="J25" s="109" t="s">
        <v>367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7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topLeftCell="R1" zoomScale="80" zoomScaleNormal="80" workbookViewId="0">
      <pane ySplit="4" topLeftCell="A5" activePane="bottomLeft" state="frozen"/>
      <selection activeCell="A9" sqref="A9"/>
      <selection pane="bottomLeft" activeCell="AC5" sqref="AC5:AC7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bestFit="1" customWidth="1"/>
    <col min="6" max="6" width="14.375" style="9" bestFit="1" customWidth="1"/>
    <col min="7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369</v>
      </c>
      <c r="B1" s="1"/>
      <c r="C1" s="2" t="s">
        <v>370</v>
      </c>
      <c r="D1" s="3">
        <f>SUM(F5:F72)</f>
        <v>139867</v>
      </c>
      <c r="E1" s="126" t="s">
        <v>371</v>
      </c>
      <c r="F1" s="1">
        <f>SUM(G5:G72)</f>
        <v>4888982.1599999992</v>
      </c>
      <c r="G1" s="1" t="s">
        <v>372</v>
      </c>
      <c r="H1" s="5">
        <f>L8+L11+L51+L59+L21+L66+L36+L44+L30+L72</f>
        <v>159.6952380952381</v>
      </c>
      <c r="I1" s="542" t="s">
        <v>373</v>
      </c>
      <c r="J1" s="542"/>
      <c r="K1" s="542"/>
      <c r="L1" s="542" t="s">
        <v>374</v>
      </c>
      <c r="M1" s="542"/>
      <c r="N1" s="542"/>
      <c r="O1" s="542" t="s">
        <v>375</v>
      </c>
      <c r="P1" s="542"/>
      <c r="Q1" s="542"/>
      <c r="R1" s="542"/>
      <c r="S1" s="542" t="s">
        <v>376</v>
      </c>
      <c r="T1" s="542"/>
      <c r="U1" s="542"/>
      <c r="V1" s="542"/>
      <c r="W1" s="542"/>
      <c r="X1" s="542"/>
      <c r="Y1" s="6" t="s">
        <v>377</v>
      </c>
      <c r="Z1" s="7" t="s">
        <v>378</v>
      </c>
      <c r="AA1" s="543" t="s">
        <v>379</v>
      </c>
      <c r="AB1" s="543"/>
      <c r="AC1" s="8" t="s">
        <v>377</v>
      </c>
      <c r="AD1" s="7" t="s">
        <v>380</v>
      </c>
      <c r="AE1" s="542" t="s">
        <v>381</v>
      </c>
      <c r="AF1" s="544"/>
      <c r="AG1" s="544"/>
    </row>
    <row r="2" spans="1:33" ht="26.25" customHeight="1">
      <c r="A2" s="49">
        <v>46025</v>
      </c>
      <c r="B2" s="50" t="s">
        <v>382</v>
      </c>
      <c r="C2" s="2" t="s">
        <v>346</v>
      </c>
      <c r="D2" s="10">
        <f>AVERAGE(N8,N11,N51,N59,N21,N66,N30,N36,N44,N72)</f>
        <v>140.83390751987204</v>
      </c>
      <c r="E2" s="11" t="s">
        <v>14</v>
      </c>
      <c r="F2" s="12">
        <f>F1/D1</f>
        <v>34.954507925386253</v>
      </c>
      <c r="G2" s="1" t="s">
        <v>383</v>
      </c>
      <c r="H2" s="139">
        <f>COUNT(H5:H72)</f>
        <v>2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SUM(Y8+Y11+Y21+Y30+Y36+Y44+Y51+Y59+Y66+Y72)</f>
        <v>0</v>
      </c>
      <c r="Z2" s="14">
        <f>SUM(Z8+Z11+Z21+Z30+Z36+Z44+Z51+Z59+Z66+Z72)</f>
        <v>0</v>
      </c>
      <c r="AA2" s="543"/>
      <c r="AB2" s="543"/>
      <c r="AC2" s="14">
        <f>SUM(AC8+AC11+AC21+AC30+AC36+AC44+AC51+AC59+AC66+AC72)</f>
        <v>32</v>
      </c>
      <c r="AD2" s="14">
        <f>SUM(AD8+AD11+AD21+AD30+AD36+AD44+AD51+AD59+AD66+AD72)</f>
        <v>0</v>
      </c>
      <c r="AE2" s="544"/>
      <c r="AF2" s="544"/>
      <c r="AG2" s="544"/>
    </row>
    <row r="3" spans="1:33" ht="40.5" customHeight="1">
      <c r="A3" s="491" t="s">
        <v>384</v>
      </c>
      <c r="B3" s="491" t="s">
        <v>385</v>
      </c>
      <c r="C3" s="491" t="s">
        <v>386</v>
      </c>
      <c r="D3" s="491"/>
      <c r="E3" s="540" t="s">
        <v>387</v>
      </c>
      <c r="F3" s="491" t="s">
        <v>388</v>
      </c>
      <c r="G3" s="540" t="s">
        <v>389</v>
      </c>
      <c r="H3" s="533" t="s">
        <v>390</v>
      </c>
      <c r="I3" s="531" t="s">
        <v>391</v>
      </c>
      <c r="J3" s="528" t="s">
        <v>392</v>
      </c>
      <c r="K3" s="538" t="s">
        <v>346</v>
      </c>
      <c r="L3" s="531" t="s">
        <v>391</v>
      </c>
      <c r="M3" s="528" t="s">
        <v>392</v>
      </c>
      <c r="N3" s="538" t="s">
        <v>346</v>
      </c>
      <c r="O3" s="531" t="s">
        <v>391</v>
      </c>
      <c r="P3" s="538" t="s">
        <v>346</v>
      </c>
      <c r="Q3" s="529" t="s">
        <v>393</v>
      </c>
      <c r="R3" s="507" t="s">
        <v>394</v>
      </c>
      <c r="S3" s="539" t="s">
        <v>27</v>
      </c>
      <c r="T3" s="539"/>
      <c r="U3" s="533" t="s">
        <v>28</v>
      </c>
      <c r="V3" s="533" t="s">
        <v>395</v>
      </c>
      <c r="W3" s="491" t="s">
        <v>396</v>
      </c>
      <c r="X3" s="491"/>
      <c r="Y3" s="534" t="s">
        <v>397</v>
      </c>
      <c r="Z3" s="495"/>
      <c r="AA3" s="535" t="s">
        <v>398</v>
      </c>
      <c r="AB3" s="536"/>
      <c r="AC3" s="534" t="s">
        <v>399</v>
      </c>
      <c r="AD3" s="495"/>
      <c r="AE3" s="528" t="s">
        <v>392</v>
      </c>
      <c r="AF3" s="529" t="s">
        <v>400</v>
      </c>
      <c r="AG3" s="507" t="s">
        <v>394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38" t="s">
        <v>37</v>
      </c>
      <c r="T4" s="138" t="s">
        <v>38</v>
      </c>
      <c r="U4" s="533"/>
      <c r="V4" s="533"/>
      <c r="W4" s="126" t="s">
        <v>401</v>
      </c>
      <c r="X4" s="126" t="s">
        <v>402</v>
      </c>
      <c r="Y4" s="128" t="s">
        <v>354</v>
      </c>
      <c r="Z4" s="128" t="s">
        <v>403</v>
      </c>
      <c r="AA4" s="537"/>
      <c r="AB4" s="536"/>
      <c r="AC4" s="128" t="s">
        <v>404</v>
      </c>
      <c r="AD4" s="128" t="s">
        <v>405</v>
      </c>
      <c r="AE4" s="528"/>
      <c r="AF4" s="529"/>
      <c r="AG4" s="507"/>
    </row>
    <row r="5" spans="1:33">
      <c r="A5" s="530" t="s">
        <v>406</v>
      </c>
      <c r="B5" s="42" t="s">
        <v>103</v>
      </c>
      <c r="C5" s="532" t="s">
        <v>120</v>
      </c>
      <c r="D5" s="532"/>
      <c r="E5" s="42">
        <v>50.67</v>
      </c>
      <c r="F5" s="138">
        <v>1277</v>
      </c>
      <c r="G5" s="126">
        <f t="shared" ref="G5:G7" si="0">E5*F5</f>
        <v>64705.590000000004</v>
      </c>
      <c r="H5" s="125" t="s">
        <v>79</v>
      </c>
      <c r="I5" s="136">
        <v>17</v>
      </c>
      <c r="J5" s="37">
        <v>2000</v>
      </c>
      <c r="K5" s="17">
        <f t="shared" ref="K5:K68" si="1">J5/I5</f>
        <v>117.64705882352941</v>
      </c>
      <c r="L5" s="136">
        <v>17</v>
      </c>
      <c r="M5" s="18">
        <f t="shared" ref="M5:M7" si="2">F5/V5*60</f>
        <v>1915.4999999999993</v>
      </c>
      <c r="N5" s="17">
        <f t="shared" ref="N5:N68" si="3">M5/L5</f>
        <v>112.67647058823525</v>
      </c>
      <c r="O5" s="19">
        <f t="shared" ref="O5:O68" si="4">L5-I5</f>
        <v>0</v>
      </c>
      <c r="P5" s="20">
        <f t="shared" ref="P5:P68" si="5">N5-K5</f>
        <v>-4.9705882352941586</v>
      </c>
      <c r="Q5" s="129">
        <f t="shared" ref="Q5:Q68" si="6">N5/K5</f>
        <v>0.95774999999999966</v>
      </c>
      <c r="R5" s="489">
        <f>Q8</f>
        <v>0.96281589147286806</v>
      </c>
      <c r="S5" s="40">
        <v>0.70833333333333337</v>
      </c>
      <c r="T5" s="40">
        <v>0.73611111111111116</v>
      </c>
      <c r="U5" s="126"/>
      <c r="V5" s="137">
        <f t="shared" ref="V5:V7" si="7">(T5-S5)*24*60</f>
        <v>40.000000000000014</v>
      </c>
      <c r="W5" s="23"/>
      <c r="X5" s="24"/>
      <c r="Y5" s="24"/>
      <c r="Z5" s="24"/>
      <c r="AA5" s="491"/>
      <c r="AB5" s="491"/>
      <c r="AC5" s="25">
        <v>1</v>
      </c>
      <c r="AD5" s="25"/>
      <c r="AE5" s="19">
        <f t="shared" ref="AE5:AE68" si="8">M5-J5</f>
        <v>-84.500000000000682</v>
      </c>
      <c r="AF5" s="129">
        <f t="shared" ref="AF5:AF68" si="9">M5/J5</f>
        <v>0.95774999999999966</v>
      </c>
      <c r="AG5" s="489">
        <f>AF8</f>
        <v>0.96281589147286795</v>
      </c>
    </row>
    <row r="6" spans="1:33">
      <c r="A6" s="531" t="s">
        <v>407</v>
      </c>
      <c r="B6" s="42" t="s">
        <v>103</v>
      </c>
      <c r="C6" s="532" t="s">
        <v>121</v>
      </c>
      <c r="D6" s="532"/>
      <c r="E6" s="42">
        <v>54.09</v>
      </c>
      <c r="F6" s="138">
        <v>1377</v>
      </c>
      <c r="G6" s="126">
        <f t="shared" si="0"/>
        <v>74481.930000000008</v>
      </c>
      <c r="H6" s="125" t="s">
        <v>79</v>
      </c>
      <c r="I6" s="136">
        <v>19</v>
      </c>
      <c r="J6" s="37">
        <v>2000</v>
      </c>
      <c r="K6" s="17">
        <f t="shared" si="1"/>
        <v>105.26315789473684</v>
      </c>
      <c r="L6" s="136">
        <v>19</v>
      </c>
      <c r="M6" s="18">
        <f t="shared" si="2"/>
        <v>1921.395348837209</v>
      </c>
      <c r="N6" s="17">
        <f t="shared" si="3"/>
        <v>101.12607099143206</v>
      </c>
      <c r="O6" s="19">
        <f t="shared" si="4"/>
        <v>0</v>
      </c>
      <c r="P6" s="20">
        <f t="shared" si="5"/>
        <v>-4.1370869033047768</v>
      </c>
      <c r="Q6" s="129">
        <f t="shared" si="6"/>
        <v>0.96069767441860465</v>
      </c>
      <c r="R6" s="489"/>
      <c r="S6" s="40">
        <v>0.74027777777777781</v>
      </c>
      <c r="T6" s="40">
        <v>0.77013888888888893</v>
      </c>
      <c r="U6" s="126">
        <f t="shared" ref="U6:U7" si="10">IF(S6=TIME(17,0,0),"",(S6-T5)*24*60)</f>
        <v>5.9999999999999787</v>
      </c>
      <c r="V6" s="137">
        <f t="shared" si="7"/>
        <v>43.000000000000007</v>
      </c>
      <c r="W6" s="23"/>
      <c r="X6" s="23"/>
      <c r="Y6" s="23"/>
      <c r="Z6" s="23"/>
      <c r="AA6" s="491"/>
      <c r="AB6" s="491"/>
      <c r="AC6" s="25"/>
      <c r="AD6" s="25"/>
      <c r="AE6" s="19">
        <f t="shared" si="8"/>
        <v>-78.604651162791015</v>
      </c>
      <c r="AF6" s="129">
        <f t="shared" si="9"/>
        <v>0.96069767441860454</v>
      </c>
      <c r="AG6" s="489"/>
    </row>
    <row r="7" spans="1:33">
      <c r="A7" s="531" t="s">
        <v>406</v>
      </c>
      <c r="B7" s="42" t="s">
        <v>103</v>
      </c>
      <c r="C7" s="523" t="s">
        <v>122</v>
      </c>
      <c r="D7" s="524"/>
      <c r="E7" s="42">
        <v>50.29</v>
      </c>
      <c r="F7" s="138">
        <v>1455</v>
      </c>
      <c r="G7" s="126">
        <f t="shared" si="0"/>
        <v>73171.95</v>
      </c>
      <c r="H7" s="125" t="s">
        <v>79</v>
      </c>
      <c r="I7" s="136">
        <v>16</v>
      </c>
      <c r="J7" s="37">
        <v>2000</v>
      </c>
      <c r="K7" s="17">
        <f t="shared" si="1"/>
        <v>125</v>
      </c>
      <c r="L7" s="136">
        <v>16</v>
      </c>
      <c r="M7" s="18">
        <f t="shared" si="2"/>
        <v>1940.0000000000002</v>
      </c>
      <c r="N7" s="17">
        <f t="shared" si="3"/>
        <v>121.25000000000001</v>
      </c>
      <c r="O7" s="19">
        <f t="shared" si="4"/>
        <v>0</v>
      </c>
      <c r="P7" s="20">
        <f t="shared" si="5"/>
        <v>-3.7499999999999858</v>
      </c>
      <c r="Q7" s="129">
        <f t="shared" si="6"/>
        <v>0.97000000000000008</v>
      </c>
      <c r="R7" s="489"/>
      <c r="S7" s="40">
        <v>0.77569444444444446</v>
      </c>
      <c r="T7" s="40">
        <v>0.80694444444444446</v>
      </c>
      <c r="U7" s="126">
        <f t="shared" si="10"/>
        <v>7.9999999999999716</v>
      </c>
      <c r="V7" s="137">
        <f t="shared" si="7"/>
        <v>45</v>
      </c>
      <c r="W7" s="23"/>
      <c r="X7" s="23"/>
      <c r="Y7" s="26"/>
      <c r="Z7" s="26"/>
      <c r="AA7" s="503"/>
      <c r="AB7" s="504"/>
      <c r="AC7" s="27"/>
      <c r="AD7" s="27"/>
      <c r="AE7" s="19">
        <f t="shared" si="8"/>
        <v>-59.999999999999773</v>
      </c>
      <c r="AF7" s="129">
        <f t="shared" si="9"/>
        <v>0.97000000000000008</v>
      </c>
      <c r="AG7" s="489"/>
    </row>
    <row r="8" spans="1:33">
      <c r="A8" s="531" t="s">
        <v>45</v>
      </c>
      <c r="B8" s="42" t="s">
        <v>408</v>
      </c>
      <c r="C8" s="494"/>
      <c r="D8" s="494"/>
      <c r="E8" s="133"/>
      <c r="F8" s="44"/>
      <c r="G8" s="17"/>
      <c r="H8" s="138"/>
      <c r="I8" s="30">
        <v>17.333333333333332</v>
      </c>
      <c r="J8" s="37">
        <v>2000</v>
      </c>
      <c r="K8" s="17">
        <f t="shared" si="1"/>
        <v>115.38461538461539</v>
      </c>
      <c r="L8" s="30">
        <v>17.333333333333332</v>
      </c>
      <c r="M8" s="18">
        <f>AVERAGE(M5:M7)</f>
        <v>1925.6317829457359</v>
      </c>
      <c r="N8" s="17">
        <f t="shared" si="3"/>
        <v>111.09414132379247</v>
      </c>
      <c r="O8" s="19">
        <f t="shared" si="4"/>
        <v>0</v>
      </c>
      <c r="P8" s="20">
        <f t="shared" si="5"/>
        <v>-4.2904740608229162</v>
      </c>
      <c r="Q8" s="129">
        <f t="shared" si="6"/>
        <v>0.96281589147286806</v>
      </c>
      <c r="R8" s="489"/>
      <c r="S8" s="40"/>
      <c r="T8" s="40"/>
      <c r="U8" s="126"/>
      <c r="V8" s="137"/>
      <c r="W8" s="17"/>
      <c r="X8" s="17"/>
      <c r="Y8" s="31">
        <f>SUM(Y5:Y7)</f>
        <v>0</v>
      </c>
      <c r="Z8" s="31">
        <f>SUM(Z5:Z7)</f>
        <v>0</v>
      </c>
      <c r="AA8" s="495"/>
      <c r="AB8" s="495"/>
      <c r="AC8" s="31">
        <f>SUM(AC5:AC7)</f>
        <v>1</v>
      </c>
      <c r="AD8" s="31">
        <f>SUM(AD5:AD7)</f>
        <v>0</v>
      </c>
      <c r="AE8" s="19">
        <f t="shared" si="8"/>
        <v>-74.368217054264051</v>
      </c>
      <c r="AF8" s="129">
        <f t="shared" si="9"/>
        <v>0.96281589147286795</v>
      </c>
      <c r="AG8" s="489"/>
    </row>
    <row r="9" spans="1:33" ht="15.75" customHeight="1">
      <c r="A9" s="527" t="s">
        <v>409</v>
      </c>
      <c r="B9" s="42" t="s">
        <v>100</v>
      </c>
      <c r="C9" s="523" t="s">
        <v>124</v>
      </c>
      <c r="D9" s="524"/>
      <c r="E9" s="42">
        <v>39.619999999999997</v>
      </c>
      <c r="F9" s="138">
        <v>2848</v>
      </c>
      <c r="G9" s="126">
        <f t="shared" ref="G9:G10" si="11">E9*F9</f>
        <v>112837.75999999999</v>
      </c>
      <c r="H9" s="125" t="s">
        <v>79</v>
      </c>
      <c r="I9" s="136">
        <v>19</v>
      </c>
      <c r="J9" s="37">
        <v>1500</v>
      </c>
      <c r="K9" s="17">
        <f t="shared" si="1"/>
        <v>78.94736842105263</v>
      </c>
      <c r="L9" s="136">
        <v>19</v>
      </c>
      <c r="M9" s="18">
        <f t="shared" ref="M9:M10" si="12">F9/V9*60</f>
        <v>1435.9663865546217</v>
      </c>
      <c r="N9" s="17">
        <f t="shared" si="3"/>
        <v>75.577178239716929</v>
      </c>
      <c r="O9" s="19">
        <f t="shared" si="4"/>
        <v>0</v>
      </c>
      <c r="P9" s="20">
        <f t="shared" si="5"/>
        <v>-3.3701901813357011</v>
      </c>
      <c r="Q9" s="129">
        <f t="shared" si="6"/>
        <v>0.95731092436974774</v>
      </c>
      <c r="R9" s="489">
        <f>Q11</f>
        <v>0.95376184516359719</v>
      </c>
      <c r="S9" s="40">
        <v>0.16666666666666666</v>
      </c>
      <c r="T9" s="40">
        <v>0.24930555555555556</v>
      </c>
      <c r="U9" s="126"/>
      <c r="V9" s="137">
        <f t="shared" ref="V9:V10" si="13">(T9-S9)*24*60</f>
        <v>119.00000000000001</v>
      </c>
      <c r="W9" s="23">
        <f>T9</f>
        <v>0.24930555555555556</v>
      </c>
      <c r="X9" s="23">
        <f>S10</f>
        <v>0.26666666666666666</v>
      </c>
      <c r="Y9" s="23"/>
      <c r="Z9" s="23"/>
      <c r="AA9" s="491"/>
      <c r="AB9" s="491"/>
      <c r="AC9" s="25">
        <v>2</v>
      </c>
      <c r="AD9" s="25"/>
      <c r="AE9" s="19">
        <f t="shared" si="8"/>
        <v>-64.033613445378251</v>
      </c>
      <c r="AF9" s="129">
        <f t="shared" si="9"/>
        <v>0.95731092436974785</v>
      </c>
      <c r="AG9" s="489">
        <f>AF11</f>
        <v>0.95376184516359719</v>
      </c>
    </row>
    <row r="10" spans="1:33" ht="15.75" customHeight="1">
      <c r="A10" s="527" t="s">
        <v>409</v>
      </c>
      <c r="B10" s="42" t="s">
        <v>100</v>
      </c>
      <c r="C10" s="523" t="s">
        <v>125</v>
      </c>
      <c r="D10" s="524"/>
      <c r="E10" s="42">
        <v>39.799999999999997</v>
      </c>
      <c r="F10" s="138">
        <v>4466</v>
      </c>
      <c r="G10" s="126">
        <f t="shared" si="11"/>
        <v>177746.8</v>
      </c>
      <c r="H10" s="125" t="s">
        <v>79</v>
      </c>
      <c r="I10" s="136">
        <v>17</v>
      </c>
      <c r="J10" s="37">
        <v>1500</v>
      </c>
      <c r="K10" s="17">
        <f t="shared" si="1"/>
        <v>88.235294117647058</v>
      </c>
      <c r="L10" s="136">
        <v>17</v>
      </c>
      <c r="M10" s="18">
        <f t="shared" si="12"/>
        <v>1425.3191489361698</v>
      </c>
      <c r="N10" s="17">
        <f t="shared" si="3"/>
        <v>83.842302878598218</v>
      </c>
      <c r="O10" s="19">
        <f t="shared" si="4"/>
        <v>0</v>
      </c>
      <c r="P10" s="20">
        <f t="shared" si="5"/>
        <v>-4.3929912390488397</v>
      </c>
      <c r="Q10" s="129">
        <f t="shared" si="6"/>
        <v>0.95021276595744653</v>
      </c>
      <c r="R10" s="489"/>
      <c r="S10" s="40">
        <v>0.26666666666666666</v>
      </c>
      <c r="T10" s="40">
        <v>0.39722222222222225</v>
      </c>
      <c r="U10" s="126">
        <f t="shared" ref="U10" si="14">IF(S10=TIME(17,0,0),"",(S10-T9)*24*60)</f>
        <v>24.999999999999993</v>
      </c>
      <c r="V10" s="137">
        <f t="shared" si="13"/>
        <v>188.00000000000006</v>
      </c>
      <c r="W10" s="23"/>
      <c r="X10" s="23"/>
      <c r="Y10" s="23"/>
      <c r="Z10" s="23"/>
      <c r="AA10" s="491"/>
      <c r="AB10" s="491"/>
      <c r="AC10" s="25"/>
      <c r="AD10" s="25"/>
      <c r="AE10" s="19">
        <f t="shared" si="8"/>
        <v>-74.680851063830232</v>
      </c>
      <c r="AF10" s="129">
        <f t="shared" si="9"/>
        <v>0.95021276595744653</v>
      </c>
      <c r="AG10" s="489"/>
    </row>
    <row r="11" spans="1:33" ht="16.5" customHeight="1">
      <c r="A11" s="527" t="s">
        <v>410</v>
      </c>
      <c r="B11" s="42" t="s">
        <v>408</v>
      </c>
      <c r="C11" s="494"/>
      <c r="D11" s="494"/>
      <c r="E11" s="133"/>
      <c r="F11" s="37"/>
      <c r="G11" s="18"/>
      <c r="H11" s="138"/>
      <c r="I11" s="30">
        <v>18</v>
      </c>
      <c r="J11" s="37">
        <v>1500</v>
      </c>
      <c r="K11" s="17">
        <f t="shared" si="1"/>
        <v>83.333333333333329</v>
      </c>
      <c r="L11" s="30">
        <v>18</v>
      </c>
      <c r="M11" s="18">
        <f>AVERAGE(M9:M10)</f>
        <v>1430.6427677453958</v>
      </c>
      <c r="N11" s="17">
        <f t="shared" si="3"/>
        <v>79.480153763633098</v>
      </c>
      <c r="O11" s="19">
        <f t="shared" si="4"/>
        <v>0</v>
      </c>
      <c r="P11" s="20">
        <f t="shared" si="5"/>
        <v>-3.8531795697002309</v>
      </c>
      <c r="Q11" s="129">
        <f t="shared" si="6"/>
        <v>0.95376184516359719</v>
      </c>
      <c r="R11" s="489"/>
      <c r="S11" s="40"/>
      <c r="T11" s="40"/>
      <c r="U11" s="17"/>
      <c r="V11" s="137"/>
      <c r="W11" s="17"/>
      <c r="X11" s="17"/>
      <c r="Y11" s="31">
        <f>SUM(Y9:Y10)</f>
        <v>0</v>
      </c>
      <c r="Z11" s="31">
        <f>SUM(Z9:Z10)</f>
        <v>0</v>
      </c>
      <c r="AA11" s="495"/>
      <c r="AB11" s="495"/>
      <c r="AC11" s="31">
        <f>SUM(AC9:AC10)</f>
        <v>2</v>
      </c>
      <c r="AD11" s="31">
        <f>SUM(AD9:AD10)</f>
        <v>0</v>
      </c>
      <c r="AE11" s="19">
        <f t="shared" si="8"/>
        <v>-69.357232254604241</v>
      </c>
      <c r="AF11" s="129">
        <f t="shared" si="9"/>
        <v>0.95376184516359719</v>
      </c>
      <c r="AG11" s="489"/>
    </row>
    <row r="12" spans="1:33" ht="16.5" customHeight="1">
      <c r="A12" s="525" t="s">
        <v>411</v>
      </c>
      <c r="B12" s="138" t="s">
        <v>126</v>
      </c>
      <c r="C12" s="515" t="s">
        <v>127</v>
      </c>
      <c r="D12" s="515"/>
      <c r="E12" s="42">
        <v>41</v>
      </c>
      <c r="F12" s="138">
        <v>2396</v>
      </c>
      <c r="G12" s="126">
        <f t="shared" ref="G12:G20" si="15">E12*F12</f>
        <v>98236</v>
      </c>
      <c r="H12" s="125" t="s">
        <v>79</v>
      </c>
      <c r="I12" s="136">
        <v>26</v>
      </c>
      <c r="J12" s="37">
        <v>1500</v>
      </c>
      <c r="K12" s="17">
        <f t="shared" si="1"/>
        <v>57.692307692307693</v>
      </c>
      <c r="L12" s="136">
        <v>26</v>
      </c>
      <c r="M12" s="18">
        <f t="shared" ref="M12:M20" si="16">F12/V12*60</f>
        <v>1437.6000000000001</v>
      </c>
      <c r="N12" s="17">
        <f t="shared" si="3"/>
        <v>55.292307692307695</v>
      </c>
      <c r="O12" s="19">
        <f t="shared" si="4"/>
        <v>0</v>
      </c>
      <c r="P12" s="20">
        <f t="shared" si="5"/>
        <v>-2.3999999999999986</v>
      </c>
      <c r="Q12" s="129">
        <f t="shared" si="6"/>
        <v>0.95840000000000003</v>
      </c>
      <c r="R12" s="489">
        <f>Q21</f>
        <v>0.96052729204456699</v>
      </c>
      <c r="S12" s="40">
        <v>0.20833333333333334</v>
      </c>
      <c r="T12" s="40">
        <v>0.27777777777777779</v>
      </c>
      <c r="U12" s="126"/>
      <c r="V12" s="137">
        <f t="shared" ref="V12:V20" si="17">(T12-S12)*24*60</f>
        <v>100</v>
      </c>
      <c r="W12" s="28"/>
      <c r="X12" s="28"/>
      <c r="Y12" s="28"/>
      <c r="Z12" s="28"/>
      <c r="AA12" s="491"/>
      <c r="AB12" s="491"/>
      <c r="AC12" s="25">
        <v>4</v>
      </c>
      <c r="AD12" s="25"/>
      <c r="AE12" s="19">
        <f t="shared" si="8"/>
        <v>-62.399999999999864</v>
      </c>
      <c r="AF12" s="129">
        <f t="shared" si="9"/>
        <v>0.95840000000000014</v>
      </c>
      <c r="AG12" s="489">
        <f>AF21</f>
        <v>0.96052729204456699</v>
      </c>
    </row>
    <row r="13" spans="1:33" ht="16.5" customHeight="1">
      <c r="A13" s="526" t="s">
        <v>412</v>
      </c>
      <c r="B13" s="138" t="s">
        <v>128</v>
      </c>
      <c r="C13" s="515" t="s">
        <v>129</v>
      </c>
      <c r="D13" s="515"/>
      <c r="E13" s="42">
        <v>72.400000000000006</v>
      </c>
      <c r="F13" s="138">
        <v>807</v>
      </c>
      <c r="G13" s="126">
        <f t="shared" si="15"/>
        <v>58426.8</v>
      </c>
      <c r="H13" s="125" t="s">
        <v>79</v>
      </c>
      <c r="I13" s="136">
        <v>18</v>
      </c>
      <c r="J13" s="37">
        <v>1500</v>
      </c>
      <c r="K13" s="17">
        <f t="shared" si="1"/>
        <v>83.333333333333329</v>
      </c>
      <c r="L13" s="136">
        <v>18</v>
      </c>
      <c r="M13" s="18">
        <f t="shared" si="16"/>
        <v>1467.2727272727252</v>
      </c>
      <c r="N13" s="17">
        <f t="shared" si="3"/>
        <v>81.515151515151402</v>
      </c>
      <c r="O13" s="19">
        <f t="shared" si="4"/>
        <v>0</v>
      </c>
      <c r="P13" s="20">
        <f t="shared" si="5"/>
        <v>-1.8181818181819267</v>
      </c>
      <c r="Q13" s="129">
        <f t="shared" si="6"/>
        <v>0.97818181818181693</v>
      </c>
      <c r="R13" s="489"/>
      <c r="S13" s="40">
        <v>0.28194444444444444</v>
      </c>
      <c r="T13" s="40">
        <v>0.30486111111111114</v>
      </c>
      <c r="U13" s="126">
        <f t="shared" ref="U13:U20" si="18">IF(S13=TIME(17,0,0),"",(S13-T12)*24*60)</f>
        <v>5.9999999999999787</v>
      </c>
      <c r="V13" s="137">
        <f t="shared" si="17"/>
        <v>33.000000000000043</v>
      </c>
      <c r="W13" s="23"/>
      <c r="X13" s="23"/>
      <c r="Y13" s="23"/>
      <c r="Z13" s="23"/>
      <c r="AA13" s="491"/>
      <c r="AB13" s="491"/>
      <c r="AC13" s="25"/>
      <c r="AD13" s="25"/>
      <c r="AE13" s="19">
        <f t="shared" si="8"/>
        <v>-32.727272727274794</v>
      </c>
      <c r="AF13" s="129">
        <f t="shared" si="9"/>
        <v>0.97818181818181682</v>
      </c>
      <c r="AG13" s="489"/>
    </row>
    <row r="14" spans="1:33" ht="16.5" customHeight="1">
      <c r="A14" s="526" t="s">
        <v>412</v>
      </c>
      <c r="B14" s="138" t="s">
        <v>130</v>
      </c>
      <c r="C14" s="515" t="s">
        <v>131</v>
      </c>
      <c r="D14" s="515"/>
      <c r="E14" s="42">
        <v>50.67</v>
      </c>
      <c r="F14" s="138">
        <v>1476</v>
      </c>
      <c r="G14" s="126">
        <f t="shared" si="15"/>
        <v>74788.92</v>
      </c>
      <c r="H14" s="125" t="s">
        <v>79</v>
      </c>
      <c r="I14" s="136">
        <v>16</v>
      </c>
      <c r="J14" s="37">
        <v>1500</v>
      </c>
      <c r="K14" s="17">
        <f t="shared" si="1"/>
        <v>93.75</v>
      </c>
      <c r="L14" s="136">
        <v>16</v>
      </c>
      <c r="M14" s="18">
        <f t="shared" si="16"/>
        <v>1428.387096774193</v>
      </c>
      <c r="N14" s="17">
        <f t="shared" si="3"/>
        <v>89.274193548387061</v>
      </c>
      <c r="O14" s="19">
        <f t="shared" si="4"/>
        <v>0</v>
      </c>
      <c r="P14" s="20">
        <f t="shared" si="5"/>
        <v>-4.4758064516129394</v>
      </c>
      <c r="Q14" s="129">
        <f t="shared" si="6"/>
        <v>0.9522580645161286</v>
      </c>
      <c r="R14" s="489"/>
      <c r="S14" s="40">
        <v>0.31041666666666667</v>
      </c>
      <c r="T14" s="40">
        <v>0.35347222222222224</v>
      </c>
      <c r="U14" s="126">
        <f t="shared" si="18"/>
        <v>7.9999999999999716</v>
      </c>
      <c r="V14" s="137">
        <f t="shared" si="17"/>
        <v>62.000000000000021</v>
      </c>
      <c r="W14" s="23"/>
      <c r="X14" s="23"/>
      <c r="Y14" s="23"/>
      <c r="Z14" s="23"/>
      <c r="AA14" s="491"/>
      <c r="AB14" s="491"/>
      <c r="AC14" s="25"/>
      <c r="AD14" s="25"/>
      <c r="AE14" s="19">
        <f t="shared" si="8"/>
        <v>-71.612903225807031</v>
      </c>
      <c r="AF14" s="129">
        <f t="shared" si="9"/>
        <v>0.9522580645161286</v>
      </c>
      <c r="AG14" s="489"/>
    </row>
    <row r="15" spans="1:33" ht="16.5" customHeight="1">
      <c r="A15" s="526" t="s">
        <v>412</v>
      </c>
      <c r="B15" s="138" t="s">
        <v>103</v>
      </c>
      <c r="C15" s="515" t="s">
        <v>123</v>
      </c>
      <c r="D15" s="515"/>
      <c r="E15" s="42">
        <v>50.98</v>
      </c>
      <c r="F15" s="138">
        <v>800</v>
      </c>
      <c r="G15" s="126">
        <f t="shared" si="15"/>
        <v>40784</v>
      </c>
      <c r="H15" s="125">
        <v>2</v>
      </c>
      <c r="I15" s="136">
        <v>16</v>
      </c>
      <c r="J15" s="37">
        <v>2000</v>
      </c>
      <c r="K15" s="17">
        <f t="shared" si="1"/>
        <v>125</v>
      </c>
      <c r="L15" s="136">
        <v>16</v>
      </c>
      <c r="M15" s="18">
        <f t="shared" si="16"/>
        <v>1919.9999999999945</v>
      </c>
      <c r="N15" s="17">
        <f t="shared" si="3"/>
        <v>119.99999999999966</v>
      </c>
      <c r="O15" s="19">
        <f t="shared" si="4"/>
        <v>0</v>
      </c>
      <c r="P15" s="20">
        <f t="shared" si="5"/>
        <v>-5.0000000000003411</v>
      </c>
      <c r="Q15" s="129">
        <f t="shared" si="6"/>
        <v>0.9599999999999973</v>
      </c>
      <c r="R15" s="489"/>
      <c r="S15" s="40">
        <v>0.70833333333333337</v>
      </c>
      <c r="T15" s="40">
        <v>0.72569444444444453</v>
      </c>
      <c r="U15" s="126" t="str">
        <f t="shared" si="18"/>
        <v/>
      </c>
      <c r="V15" s="137">
        <f t="shared" si="17"/>
        <v>25.000000000000071</v>
      </c>
      <c r="W15" s="23"/>
      <c r="X15" s="23"/>
      <c r="Y15" s="23"/>
      <c r="Z15" s="23"/>
      <c r="AA15" s="491"/>
      <c r="AB15" s="491"/>
      <c r="AC15" s="25"/>
      <c r="AD15" s="25"/>
      <c r="AE15" s="19">
        <f t="shared" si="8"/>
        <v>-80.000000000005457</v>
      </c>
      <c r="AF15" s="129">
        <f t="shared" si="9"/>
        <v>0.9599999999999973</v>
      </c>
      <c r="AG15" s="489"/>
    </row>
    <row r="16" spans="1:33" ht="16.5" customHeight="1">
      <c r="A16" s="526" t="s">
        <v>412</v>
      </c>
      <c r="B16" s="138" t="s">
        <v>103</v>
      </c>
      <c r="C16" s="515" t="s">
        <v>132</v>
      </c>
      <c r="D16" s="515"/>
      <c r="E16" s="42">
        <v>50.92</v>
      </c>
      <c r="F16" s="138">
        <v>800</v>
      </c>
      <c r="G16" s="126">
        <f t="shared" si="15"/>
        <v>40736</v>
      </c>
      <c r="H16" s="125">
        <v>2</v>
      </c>
      <c r="I16" s="136">
        <v>15</v>
      </c>
      <c r="J16" s="37">
        <v>2000</v>
      </c>
      <c r="K16" s="17">
        <f t="shared" si="1"/>
        <v>133.33333333333334</v>
      </c>
      <c r="L16" s="136">
        <v>15</v>
      </c>
      <c r="M16" s="18">
        <f t="shared" si="16"/>
        <v>1919.9999999999945</v>
      </c>
      <c r="N16" s="17">
        <f t="shared" si="3"/>
        <v>127.99999999999963</v>
      </c>
      <c r="O16" s="19">
        <f t="shared" si="4"/>
        <v>0</v>
      </c>
      <c r="P16" s="20">
        <f t="shared" si="5"/>
        <v>-5.3333333333337123</v>
      </c>
      <c r="Q16" s="129">
        <f t="shared" si="6"/>
        <v>0.95999999999999719</v>
      </c>
      <c r="R16" s="489"/>
      <c r="S16" s="40">
        <v>0.73055555555555562</v>
      </c>
      <c r="T16" s="40">
        <v>0.74791666666666679</v>
      </c>
      <c r="U16" s="126">
        <f t="shared" si="18"/>
        <v>6.9999999999999751</v>
      </c>
      <c r="V16" s="137">
        <f t="shared" si="17"/>
        <v>25.000000000000071</v>
      </c>
      <c r="W16" s="23"/>
      <c r="X16" s="23"/>
      <c r="Y16" s="23"/>
      <c r="Z16" s="23"/>
      <c r="AA16" s="491"/>
      <c r="AB16" s="491"/>
      <c r="AC16" s="25"/>
      <c r="AD16" s="25"/>
      <c r="AE16" s="19">
        <f t="shared" si="8"/>
        <v>-80.000000000005457</v>
      </c>
      <c r="AF16" s="129">
        <f t="shared" si="9"/>
        <v>0.9599999999999973</v>
      </c>
      <c r="AG16" s="489"/>
    </row>
    <row r="17" spans="1:33" ht="16.5" customHeight="1">
      <c r="A17" s="526" t="s">
        <v>412</v>
      </c>
      <c r="B17" s="138" t="s">
        <v>103</v>
      </c>
      <c r="C17" s="521" t="s">
        <v>133</v>
      </c>
      <c r="D17" s="522"/>
      <c r="E17" s="42">
        <v>50.67</v>
      </c>
      <c r="F17" s="138">
        <v>1598</v>
      </c>
      <c r="G17" s="126">
        <f t="shared" si="15"/>
        <v>80970.66</v>
      </c>
      <c r="H17" s="125" t="s">
        <v>79</v>
      </c>
      <c r="I17" s="136">
        <v>15</v>
      </c>
      <c r="J17" s="37">
        <v>2000</v>
      </c>
      <c r="K17" s="17">
        <f t="shared" si="1"/>
        <v>133.33333333333334</v>
      </c>
      <c r="L17" s="136">
        <v>15</v>
      </c>
      <c r="M17" s="18">
        <f t="shared" si="16"/>
        <v>1917.6000000000004</v>
      </c>
      <c r="N17" s="17">
        <f t="shared" si="3"/>
        <v>127.84000000000002</v>
      </c>
      <c r="O17" s="19">
        <f t="shared" si="4"/>
        <v>0</v>
      </c>
      <c r="P17" s="20">
        <f t="shared" si="5"/>
        <v>-5.4933333333333252</v>
      </c>
      <c r="Q17" s="129">
        <f t="shared" si="6"/>
        <v>0.9588000000000001</v>
      </c>
      <c r="R17" s="489"/>
      <c r="S17" s="40">
        <v>0.75208333333333344</v>
      </c>
      <c r="T17" s="40">
        <v>0.78680555555555565</v>
      </c>
      <c r="U17" s="126">
        <f t="shared" si="18"/>
        <v>5.9999999999999787</v>
      </c>
      <c r="V17" s="137">
        <f t="shared" si="17"/>
        <v>49.999999999999986</v>
      </c>
      <c r="W17" s="23"/>
      <c r="X17" s="23"/>
      <c r="Y17" s="26"/>
      <c r="Z17" s="26"/>
      <c r="AA17" s="503"/>
      <c r="AB17" s="504"/>
      <c r="AC17" s="25"/>
      <c r="AD17" s="25"/>
      <c r="AE17" s="19">
        <f t="shared" si="8"/>
        <v>-82.399999999999636</v>
      </c>
      <c r="AF17" s="129">
        <f t="shared" si="9"/>
        <v>0.95880000000000021</v>
      </c>
      <c r="AG17" s="489"/>
    </row>
    <row r="18" spans="1:33" ht="16.5" customHeight="1">
      <c r="A18" s="526" t="s">
        <v>412</v>
      </c>
      <c r="B18" s="138" t="s">
        <v>103</v>
      </c>
      <c r="C18" s="134" t="s">
        <v>134</v>
      </c>
      <c r="D18" s="135"/>
      <c r="E18" s="42">
        <v>57.3</v>
      </c>
      <c r="F18" s="138">
        <v>2167</v>
      </c>
      <c r="G18" s="126">
        <f t="shared" si="15"/>
        <v>124169.09999999999</v>
      </c>
      <c r="H18" s="125" t="s">
        <v>79</v>
      </c>
      <c r="I18" s="136">
        <v>13</v>
      </c>
      <c r="J18" s="37">
        <v>2000</v>
      </c>
      <c r="K18" s="17">
        <f t="shared" si="1"/>
        <v>153.84615384615384</v>
      </c>
      <c r="L18" s="136">
        <v>13</v>
      </c>
      <c r="M18" s="18">
        <f t="shared" si="16"/>
        <v>1912.058823529414</v>
      </c>
      <c r="N18" s="17">
        <f t="shared" si="3"/>
        <v>147.08144796380108</v>
      </c>
      <c r="O18" s="19">
        <f t="shared" si="4"/>
        <v>0</v>
      </c>
      <c r="P18" s="20">
        <f t="shared" si="5"/>
        <v>-6.7647058823527573</v>
      </c>
      <c r="Q18" s="129">
        <f t="shared" si="6"/>
        <v>0.95602941176470713</v>
      </c>
      <c r="R18" s="489"/>
      <c r="S18" s="40">
        <v>0.79236111111111118</v>
      </c>
      <c r="T18" s="40">
        <v>0.83958333333333335</v>
      </c>
      <c r="U18" s="126">
        <f t="shared" si="18"/>
        <v>7.9999999999999716</v>
      </c>
      <c r="V18" s="137">
        <f t="shared" si="17"/>
        <v>67.999999999999915</v>
      </c>
      <c r="W18" s="23">
        <f>T18</f>
        <v>0.83958333333333335</v>
      </c>
      <c r="X18" s="23">
        <f>S19</f>
        <v>0.87847222222222221</v>
      </c>
      <c r="Y18" s="26"/>
      <c r="Z18" s="26"/>
      <c r="AA18" s="503"/>
      <c r="AB18" s="504"/>
      <c r="AC18" s="25"/>
      <c r="AD18" s="25"/>
      <c r="AE18" s="19">
        <f t="shared" si="8"/>
        <v>-87.941176470586015</v>
      </c>
      <c r="AF18" s="129">
        <f t="shared" si="9"/>
        <v>0.95602941176470702</v>
      </c>
      <c r="AG18" s="489"/>
    </row>
    <row r="19" spans="1:33" ht="16.5" customHeight="1">
      <c r="A19" s="526" t="s">
        <v>412</v>
      </c>
      <c r="B19" s="138" t="s">
        <v>103</v>
      </c>
      <c r="C19" s="134" t="s">
        <v>123</v>
      </c>
      <c r="D19" s="135"/>
      <c r="E19" s="42">
        <v>50.98</v>
      </c>
      <c r="F19" s="138">
        <v>1790</v>
      </c>
      <c r="G19" s="126">
        <f t="shared" si="15"/>
        <v>91254.2</v>
      </c>
      <c r="H19" s="125" t="s">
        <v>79</v>
      </c>
      <c r="I19" s="136">
        <v>16</v>
      </c>
      <c r="J19" s="37">
        <v>2000</v>
      </c>
      <c r="K19" s="17">
        <f t="shared" si="1"/>
        <v>125</v>
      </c>
      <c r="L19" s="136">
        <v>16</v>
      </c>
      <c r="M19" s="18">
        <f t="shared" si="16"/>
        <v>1917.8571428571445</v>
      </c>
      <c r="N19" s="17">
        <f t="shared" si="3"/>
        <v>119.86607142857153</v>
      </c>
      <c r="O19" s="19">
        <f t="shared" si="4"/>
        <v>0</v>
      </c>
      <c r="P19" s="20">
        <f t="shared" si="5"/>
        <v>-5.1339285714284699</v>
      </c>
      <c r="Q19" s="129">
        <f t="shared" si="6"/>
        <v>0.95892857142857224</v>
      </c>
      <c r="R19" s="489"/>
      <c r="S19" s="40">
        <v>0.87847222222222221</v>
      </c>
      <c r="T19" s="40">
        <v>0.91736111111111107</v>
      </c>
      <c r="U19" s="126">
        <f t="shared" si="18"/>
        <v>55.999999999999957</v>
      </c>
      <c r="V19" s="137">
        <f t="shared" si="17"/>
        <v>55.999999999999957</v>
      </c>
      <c r="W19" s="23"/>
      <c r="X19" s="23"/>
      <c r="Y19" s="26"/>
      <c r="Z19" s="26"/>
      <c r="AA19" s="503"/>
      <c r="AB19" s="504"/>
      <c r="AC19" s="25"/>
      <c r="AD19" s="25"/>
      <c r="AE19" s="19">
        <f t="shared" si="8"/>
        <v>-82.142857142855519</v>
      </c>
      <c r="AF19" s="129">
        <f t="shared" si="9"/>
        <v>0.95892857142857224</v>
      </c>
      <c r="AG19" s="489"/>
    </row>
    <row r="20" spans="1:33" ht="16.5" customHeight="1">
      <c r="A20" s="526" t="s">
        <v>412</v>
      </c>
      <c r="B20" s="138" t="s">
        <v>103</v>
      </c>
      <c r="C20" s="521" t="s">
        <v>132</v>
      </c>
      <c r="D20" s="522"/>
      <c r="E20" s="42">
        <v>50.92</v>
      </c>
      <c r="F20" s="138">
        <v>1703</v>
      </c>
      <c r="G20" s="126">
        <f t="shared" si="15"/>
        <v>86716.760000000009</v>
      </c>
      <c r="H20" s="125" t="s">
        <v>79</v>
      </c>
      <c r="I20" s="136">
        <v>15</v>
      </c>
      <c r="J20" s="37">
        <v>2000</v>
      </c>
      <c r="K20" s="17">
        <f t="shared" si="1"/>
        <v>133.33333333333334</v>
      </c>
      <c r="L20" s="136">
        <v>15</v>
      </c>
      <c r="M20" s="18">
        <f t="shared" si="16"/>
        <v>1927.9245283018877</v>
      </c>
      <c r="N20" s="17">
        <f t="shared" si="3"/>
        <v>128.52830188679252</v>
      </c>
      <c r="O20" s="19">
        <f t="shared" si="4"/>
        <v>0</v>
      </c>
      <c r="P20" s="20">
        <f t="shared" si="5"/>
        <v>-4.8050314465408235</v>
      </c>
      <c r="Q20" s="129">
        <f t="shared" si="6"/>
        <v>0.96396226415094388</v>
      </c>
      <c r="R20" s="489"/>
      <c r="S20" s="40">
        <v>0.92291666666666661</v>
      </c>
      <c r="T20" s="40">
        <v>0.95972222222222214</v>
      </c>
      <c r="U20" s="126">
        <f t="shared" si="18"/>
        <v>7.9999999999999716</v>
      </c>
      <c r="V20" s="137">
        <f t="shared" si="17"/>
        <v>52.999999999999972</v>
      </c>
      <c r="W20" s="23"/>
      <c r="X20" s="23"/>
      <c r="Y20" s="26"/>
      <c r="Z20" s="26"/>
      <c r="AA20" s="503"/>
      <c r="AB20" s="504"/>
      <c r="AC20" s="25"/>
      <c r="AD20" s="25"/>
      <c r="AE20" s="19">
        <f t="shared" si="8"/>
        <v>-72.075471698112324</v>
      </c>
      <c r="AF20" s="129">
        <f t="shared" si="9"/>
        <v>0.96396226415094388</v>
      </c>
      <c r="AG20" s="489"/>
    </row>
    <row r="21" spans="1:33" ht="16.5" customHeight="1">
      <c r="A21" s="526" t="s">
        <v>412</v>
      </c>
      <c r="B21" s="42" t="s">
        <v>413</v>
      </c>
      <c r="C21" s="494"/>
      <c r="D21" s="494"/>
      <c r="E21" s="133"/>
      <c r="F21" s="44"/>
      <c r="G21" s="17"/>
      <c r="H21" s="138"/>
      <c r="I21" s="30">
        <v>16.666666666666668</v>
      </c>
      <c r="J21" s="37">
        <v>1833.3333333333333</v>
      </c>
      <c r="K21" s="17">
        <f t="shared" si="1"/>
        <v>109.99999999999999</v>
      </c>
      <c r="L21" s="30">
        <v>16.666666666666668</v>
      </c>
      <c r="M21" s="18">
        <f>AVERAGE(M12:M20)</f>
        <v>1760.966702081706</v>
      </c>
      <c r="N21" s="17">
        <f t="shared" si="3"/>
        <v>105.65800212490235</v>
      </c>
      <c r="O21" s="19">
        <f t="shared" si="4"/>
        <v>0</v>
      </c>
      <c r="P21" s="20">
        <f t="shared" si="5"/>
        <v>-4.3419978750976327</v>
      </c>
      <c r="Q21" s="129">
        <f t="shared" si="6"/>
        <v>0.96052729204456699</v>
      </c>
      <c r="R21" s="489"/>
      <c r="S21" s="40"/>
      <c r="T21" s="40"/>
      <c r="U21" s="126"/>
      <c r="V21" s="137"/>
      <c r="W21" s="17"/>
      <c r="X21" s="17"/>
      <c r="Y21" s="31">
        <f>SUM(Y12:Y20)</f>
        <v>0</v>
      </c>
      <c r="Z21" s="31">
        <f>SUM(Z12:Z20)</f>
        <v>0</v>
      </c>
      <c r="AA21" s="495"/>
      <c r="AB21" s="495"/>
      <c r="AC21" s="31">
        <f>SUM(AC12:AC20)</f>
        <v>4</v>
      </c>
      <c r="AD21" s="31">
        <f>SUM(AD12:AD20)</f>
        <v>0</v>
      </c>
      <c r="AE21" s="19">
        <f t="shared" si="8"/>
        <v>-72.366631251627268</v>
      </c>
      <c r="AF21" s="129">
        <f t="shared" si="9"/>
        <v>0.96052729204456699</v>
      </c>
      <c r="AG21" s="489"/>
    </row>
    <row r="22" spans="1:33" ht="15.75" customHeight="1">
      <c r="A22" s="519" t="s">
        <v>414</v>
      </c>
      <c r="B22" s="42" t="s">
        <v>126</v>
      </c>
      <c r="C22" s="515" t="s">
        <v>135</v>
      </c>
      <c r="D22" s="515"/>
      <c r="E22" s="42">
        <v>43.14</v>
      </c>
      <c r="F22" s="138">
        <v>986</v>
      </c>
      <c r="G22" s="126">
        <f t="shared" ref="G22:G29" si="19">E22*F22</f>
        <v>42536.04</v>
      </c>
      <c r="H22" s="125" t="s">
        <v>79</v>
      </c>
      <c r="I22" s="136">
        <v>17</v>
      </c>
      <c r="J22" s="37">
        <v>2000</v>
      </c>
      <c r="K22" s="17">
        <f t="shared" si="1"/>
        <v>117.64705882352941</v>
      </c>
      <c r="L22" s="136">
        <v>17</v>
      </c>
      <c r="M22" s="18">
        <f t="shared" ref="M22:M29" si="20">F22/V22*60</f>
        <v>1908.3870967741927</v>
      </c>
      <c r="N22" s="17">
        <f t="shared" si="3"/>
        <v>112.25806451612898</v>
      </c>
      <c r="O22" s="19">
        <f t="shared" si="4"/>
        <v>0</v>
      </c>
      <c r="P22" s="20">
        <f t="shared" si="5"/>
        <v>-5.3889943074004236</v>
      </c>
      <c r="Q22" s="129">
        <f t="shared" si="6"/>
        <v>0.95419354838709636</v>
      </c>
      <c r="R22" s="489">
        <f>Q30</f>
        <v>0.95889669640942699</v>
      </c>
      <c r="S22" s="40">
        <v>0.20833333333333334</v>
      </c>
      <c r="T22" s="40">
        <v>0.22986111111111113</v>
      </c>
      <c r="U22" s="126"/>
      <c r="V22" s="137">
        <f t="shared" ref="V22:V29" si="21">(T22-S22)*24*60</f>
        <v>31.000000000000011</v>
      </c>
      <c r="W22" s="28"/>
      <c r="X22" s="28"/>
      <c r="Y22" s="28"/>
      <c r="Z22" s="28"/>
      <c r="AA22" s="491"/>
      <c r="AB22" s="491"/>
      <c r="AC22" s="25">
        <v>4</v>
      </c>
      <c r="AD22" s="25"/>
      <c r="AE22" s="19">
        <f t="shared" si="8"/>
        <v>-91.612903225807258</v>
      </c>
      <c r="AF22" s="129">
        <f t="shared" si="9"/>
        <v>0.95419354838709636</v>
      </c>
      <c r="AG22" s="489">
        <f>AF30</f>
        <v>0.95889669640942699</v>
      </c>
    </row>
    <row r="23" spans="1:33" ht="15.75" customHeight="1">
      <c r="A23" s="520" t="s">
        <v>414</v>
      </c>
      <c r="B23" s="42" t="s">
        <v>130</v>
      </c>
      <c r="C23" s="515" t="s">
        <v>136</v>
      </c>
      <c r="D23" s="515"/>
      <c r="E23" s="42">
        <v>49.9</v>
      </c>
      <c r="F23" s="138">
        <v>954</v>
      </c>
      <c r="G23" s="126">
        <f t="shared" si="19"/>
        <v>47604.6</v>
      </c>
      <c r="H23" s="125" t="s">
        <v>79</v>
      </c>
      <c r="I23" s="136">
        <v>17</v>
      </c>
      <c r="J23" s="37">
        <v>2000</v>
      </c>
      <c r="K23" s="17">
        <f t="shared" si="1"/>
        <v>117.64705882352941</v>
      </c>
      <c r="L23" s="136">
        <v>17</v>
      </c>
      <c r="M23" s="18">
        <f t="shared" si="20"/>
        <v>1908.0000000000018</v>
      </c>
      <c r="N23" s="17">
        <f t="shared" si="3"/>
        <v>112.23529411764717</v>
      </c>
      <c r="O23" s="19">
        <f t="shared" si="4"/>
        <v>0</v>
      </c>
      <c r="P23" s="20">
        <f t="shared" si="5"/>
        <v>-5.4117647058822342</v>
      </c>
      <c r="Q23" s="129">
        <f t="shared" si="6"/>
        <v>0.95400000000000096</v>
      </c>
      <c r="R23" s="489"/>
      <c r="S23" s="40">
        <v>0.23333333333333334</v>
      </c>
      <c r="T23" s="40">
        <v>0.25416666666666665</v>
      </c>
      <c r="U23" s="126">
        <f t="shared" ref="U23:U29" si="22">IF(S23=TIME(17,0,0),"",(S23-T22)*24*60)</f>
        <v>4.9999999999999822</v>
      </c>
      <c r="V23" s="137">
        <f t="shared" si="21"/>
        <v>29.999999999999972</v>
      </c>
      <c r="W23" s="23"/>
      <c r="X23" s="126"/>
      <c r="Y23" s="126"/>
      <c r="Z23" s="126"/>
      <c r="AA23" s="491"/>
      <c r="AB23" s="491"/>
      <c r="AC23" s="25"/>
      <c r="AD23" s="25"/>
      <c r="AE23" s="19">
        <f t="shared" si="8"/>
        <v>-91.999999999998181</v>
      </c>
      <c r="AF23" s="129">
        <f t="shared" si="9"/>
        <v>0.95400000000000096</v>
      </c>
      <c r="AG23" s="489"/>
    </row>
    <row r="24" spans="1:33" ht="15.75" customHeight="1">
      <c r="A24" s="520" t="s">
        <v>414</v>
      </c>
      <c r="B24" s="42" t="s">
        <v>103</v>
      </c>
      <c r="C24" s="515" t="s">
        <v>137</v>
      </c>
      <c r="D24" s="515"/>
      <c r="E24" s="42">
        <v>57.73</v>
      </c>
      <c r="F24" s="138">
        <v>2421</v>
      </c>
      <c r="G24" s="126">
        <f t="shared" si="19"/>
        <v>139764.32999999999</v>
      </c>
      <c r="H24" s="125" t="s">
        <v>79</v>
      </c>
      <c r="I24" s="136">
        <v>14</v>
      </c>
      <c r="J24" s="37">
        <v>2000</v>
      </c>
      <c r="K24" s="17">
        <f t="shared" si="1"/>
        <v>142.85714285714286</v>
      </c>
      <c r="L24" s="136">
        <v>14</v>
      </c>
      <c r="M24" s="18">
        <f t="shared" si="20"/>
        <v>1911.3157894736851</v>
      </c>
      <c r="N24" s="17">
        <f t="shared" si="3"/>
        <v>136.52255639097751</v>
      </c>
      <c r="O24" s="19">
        <f t="shared" si="4"/>
        <v>0</v>
      </c>
      <c r="P24" s="20">
        <f t="shared" si="5"/>
        <v>-6.3345864661653479</v>
      </c>
      <c r="Q24" s="129">
        <f t="shared" si="6"/>
        <v>0.95565789473684259</v>
      </c>
      <c r="R24" s="489"/>
      <c r="S24" s="40">
        <v>0.25902777777777775</v>
      </c>
      <c r="T24" s="40">
        <v>0.3118055555555555</v>
      </c>
      <c r="U24" s="126">
        <f t="shared" si="22"/>
        <v>6.9999999999999751</v>
      </c>
      <c r="V24" s="137">
        <f t="shared" si="21"/>
        <v>75.999999999999972</v>
      </c>
      <c r="W24" s="23"/>
      <c r="X24" s="126"/>
      <c r="Y24" s="126"/>
      <c r="Z24" s="126"/>
      <c r="AA24" s="491"/>
      <c r="AB24" s="491"/>
      <c r="AC24" s="25"/>
      <c r="AD24" s="25"/>
      <c r="AE24" s="19">
        <f t="shared" si="8"/>
        <v>-88.684210526314928</v>
      </c>
      <c r="AF24" s="129">
        <f t="shared" si="9"/>
        <v>0.95565789473684248</v>
      </c>
      <c r="AG24" s="489"/>
    </row>
    <row r="25" spans="1:33" ht="15.75" customHeight="1">
      <c r="A25" s="520" t="s">
        <v>414</v>
      </c>
      <c r="B25" s="42" t="s">
        <v>103</v>
      </c>
      <c r="C25" s="515" t="s">
        <v>138</v>
      </c>
      <c r="D25" s="515"/>
      <c r="E25" s="42">
        <v>53.68</v>
      </c>
      <c r="F25" s="138">
        <v>1459</v>
      </c>
      <c r="G25" s="126">
        <f t="shared" si="19"/>
        <v>78319.12</v>
      </c>
      <c r="H25" s="125" t="s">
        <v>79</v>
      </c>
      <c r="I25" s="136">
        <v>16</v>
      </c>
      <c r="J25" s="37">
        <v>2000</v>
      </c>
      <c r="K25" s="17">
        <f t="shared" si="1"/>
        <v>125</v>
      </c>
      <c r="L25" s="136">
        <v>16</v>
      </c>
      <c r="M25" s="18">
        <f t="shared" si="20"/>
        <v>1903.0434782608695</v>
      </c>
      <c r="N25" s="17">
        <f t="shared" si="3"/>
        <v>118.94021739130434</v>
      </c>
      <c r="O25" s="19">
        <f t="shared" si="4"/>
        <v>0</v>
      </c>
      <c r="P25" s="20">
        <f t="shared" si="5"/>
        <v>-6.0597826086956559</v>
      </c>
      <c r="Q25" s="129">
        <f t="shared" si="6"/>
        <v>0.95152173913043481</v>
      </c>
      <c r="R25" s="489"/>
      <c r="S25" s="40">
        <v>0.3166666666666666</v>
      </c>
      <c r="T25" s="40">
        <v>0.34861111111111104</v>
      </c>
      <c r="U25" s="126">
        <f t="shared" si="22"/>
        <v>6.9999999999999751</v>
      </c>
      <c r="V25" s="137">
        <f t="shared" si="21"/>
        <v>46</v>
      </c>
      <c r="W25" s="23"/>
      <c r="X25" s="126"/>
      <c r="Y25" s="126"/>
      <c r="Z25" s="126"/>
      <c r="AA25" s="491"/>
      <c r="AB25" s="491"/>
      <c r="AC25" s="25"/>
      <c r="AD25" s="25"/>
      <c r="AE25" s="19">
        <f t="shared" si="8"/>
        <v>-96.956521739130494</v>
      </c>
      <c r="AF25" s="129">
        <f t="shared" si="9"/>
        <v>0.95152173913043481</v>
      </c>
      <c r="AG25" s="489"/>
    </row>
    <row r="26" spans="1:33" ht="15.75" customHeight="1">
      <c r="A26" s="520" t="s">
        <v>414</v>
      </c>
      <c r="B26" s="42" t="s">
        <v>103</v>
      </c>
      <c r="C26" s="515" t="s">
        <v>139</v>
      </c>
      <c r="D26" s="515"/>
      <c r="E26" s="42">
        <v>49.91</v>
      </c>
      <c r="F26" s="138">
        <v>787</v>
      </c>
      <c r="G26" s="126">
        <f t="shared" si="19"/>
        <v>39279.17</v>
      </c>
      <c r="H26" s="125" t="s">
        <v>79</v>
      </c>
      <c r="I26" s="136">
        <v>17</v>
      </c>
      <c r="J26" s="37">
        <v>2000</v>
      </c>
      <c r="K26" s="17">
        <f t="shared" si="1"/>
        <v>117.64705882352941</v>
      </c>
      <c r="L26" s="136">
        <v>17</v>
      </c>
      <c r="M26" s="18">
        <f t="shared" si="20"/>
        <v>1967.5000000000007</v>
      </c>
      <c r="N26" s="17">
        <f t="shared" si="3"/>
        <v>115.7352941176471</v>
      </c>
      <c r="O26" s="19">
        <f t="shared" si="4"/>
        <v>0</v>
      </c>
      <c r="P26" s="20">
        <f t="shared" si="5"/>
        <v>-1.9117647058823053</v>
      </c>
      <c r="Q26" s="129">
        <f t="shared" si="6"/>
        <v>0.98375000000000046</v>
      </c>
      <c r="R26" s="489"/>
      <c r="S26" s="40">
        <v>0.35416666666666657</v>
      </c>
      <c r="T26" s="40">
        <v>0.37083333333333324</v>
      </c>
      <c r="U26" s="126">
        <f t="shared" si="22"/>
        <v>7.9999999999999716</v>
      </c>
      <c r="V26" s="137">
        <f t="shared" si="21"/>
        <v>23.999999999999993</v>
      </c>
      <c r="W26" s="23"/>
      <c r="X26" s="126"/>
      <c r="Y26" s="126"/>
      <c r="Z26" s="126"/>
      <c r="AA26" s="491"/>
      <c r="AB26" s="491"/>
      <c r="AC26" s="25"/>
      <c r="AD26" s="25"/>
      <c r="AE26" s="19">
        <f t="shared" si="8"/>
        <v>-32.499999999999318</v>
      </c>
      <c r="AF26" s="129">
        <f t="shared" si="9"/>
        <v>0.98375000000000035</v>
      </c>
      <c r="AG26" s="489"/>
    </row>
    <row r="27" spans="1:33" ht="15.75" customHeight="1">
      <c r="A27" s="520" t="s">
        <v>414</v>
      </c>
      <c r="B27" s="42" t="s">
        <v>103</v>
      </c>
      <c r="C27" s="515" t="s">
        <v>140</v>
      </c>
      <c r="D27" s="515"/>
      <c r="E27" s="42">
        <v>50.49</v>
      </c>
      <c r="F27" s="138">
        <v>2044</v>
      </c>
      <c r="G27" s="126">
        <f t="shared" si="19"/>
        <v>103201.56</v>
      </c>
      <c r="H27" s="125" t="s">
        <v>79</v>
      </c>
      <c r="I27" s="136">
        <v>15</v>
      </c>
      <c r="J27" s="37">
        <v>2000</v>
      </c>
      <c r="K27" s="17">
        <f t="shared" si="1"/>
        <v>133.33333333333334</v>
      </c>
      <c r="L27" s="136">
        <v>15</v>
      </c>
      <c r="M27" s="18">
        <f t="shared" si="20"/>
        <v>1916.250000000002</v>
      </c>
      <c r="N27" s="17">
        <f t="shared" si="3"/>
        <v>127.75000000000014</v>
      </c>
      <c r="O27" s="19">
        <f t="shared" si="4"/>
        <v>0</v>
      </c>
      <c r="P27" s="20">
        <f t="shared" si="5"/>
        <v>-5.5833333333332007</v>
      </c>
      <c r="Q27" s="129">
        <f t="shared" si="6"/>
        <v>0.958125000000001</v>
      </c>
      <c r="R27" s="489"/>
      <c r="S27" s="40">
        <v>0.70833333333333337</v>
      </c>
      <c r="T27" s="40">
        <v>0.75277777777777777</v>
      </c>
      <c r="U27" s="126" t="str">
        <f t="shared" si="22"/>
        <v/>
      </c>
      <c r="V27" s="137">
        <f t="shared" si="21"/>
        <v>63.999999999999929</v>
      </c>
      <c r="W27" s="23"/>
      <c r="X27" s="28"/>
      <c r="Y27" s="28"/>
      <c r="Z27" s="28"/>
      <c r="AA27" s="491"/>
      <c r="AB27" s="491"/>
      <c r="AC27" s="25"/>
      <c r="AD27" s="25"/>
      <c r="AE27" s="19">
        <f t="shared" si="8"/>
        <v>-83.749999999997954</v>
      </c>
      <c r="AF27" s="129">
        <f t="shared" si="9"/>
        <v>0.958125000000001</v>
      </c>
      <c r="AG27" s="489"/>
    </row>
    <row r="28" spans="1:33" ht="15.75" customHeight="1">
      <c r="A28" s="520" t="s">
        <v>414</v>
      </c>
      <c r="B28" s="42" t="s">
        <v>103</v>
      </c>
      <c r="C28" s="515" t="s">
        <v>141</v>
      </c>
      <c r="D28" s="515"/>
      <c r="E28" s="42">
        <v>57.73</v>
      </c>
      <c r="F28" s="138">
        <v>1168</v>
      </c>
      <c r="G28" s="126">
        <f t="shared" si="19"/>
        <v>67428.639999999999</v>
      </c>
      <c r="H28" s="125" t="s">
        <v>79</v>
      </c>
      <c r="I28" s="136">
        <v>16</v>
      </c>
      <c r="J28" s="37">
        <v>1500</v>
      </c>
      <c r="K28" s="17">
        <f t="shared" si="1"/>
        <v>93.75</v>
      </c>
      <c r="L28" s="136">
        <v>16</v>
      </c>
      <c r="M28" s="18">
        <f t="shared" si="20"/>
        <v>1430.2040816326535</v>
      </c>
      <c r="N28" s="17">
        <f t="shared" si="3"/>
        <v>89.387755102040842</v>
      </c>
      <c r="O28" s="19">
        <f t="shared" si="4"/>
        <v>0</v>
      </c>
      <c r="P28" s="20">
        <f t="shared" si="5"/>
        <v>-4.3622448979591582</v>
      </c>
      <c r="Q28" s="129">
        <f t="shared" si="6"/>
        <v>0.95346938775510226</v>
      </c>
      <c r="R28" s="489"/>
      <c r="S28" s="40">
        <v>0.75694444444444442</v>
      </c>
      <c r="T28" s="40">
        <v>0.79097222222222219</v>
      </c>
      <c r="U28" s="126">
        <f t="shared" si="22"/>
        <v>5.9999999999999787</v>
      </c>
      <c r="V28" s="137">
        <f t="shared" si="21"/>
        <v>48.999999999999986</v>
      </c>
      <c r="W28" s="23"/>
      <c r="X28" s="28"/>
      <c r="Y28" s="29"/>
      <c r="Z28" s="29"/>
      <c r="AA28" s="503"/>
      <c r="AB28" s="504"/>
      <c r="AC28" s="25"/>
      <c r="AD28" s="25"/>
      <c r="AE28" s="19">
        <f t="shared" si="8"/>
        <v>-69.79591836734653</v>
      </c>
      <c r="AF28" s="129">
        <f t="shared" si="9"/>
        <v>0.95346938775510226</v>
      </c>
      <c r="AG28" s="489"/>
    </row>
    <row r="29" spans="1:33" ht="15.75" customHeight="1">
      <c r="A29" s="520" t="s">
        <v>414</v>
      </c>
      <c r="B29" s="42" t="s">
        <v>103</v>
      </c>
      <c r="C29" s="521" t="s">
        <v>142</v>
      </c>
      <c r="D29" s="522"/>
      <c r="E29" s="42">
        <v>53.68</v>
      </c>
      <c r="F29" s="138">
        <v>2302</v>
      </c>
      <c r="G29" s="126">
        <f t="shared" si="19"/>
        <v>123571.36</v>
      </c>
      <c r="H29" s="125" t="s">
        <v>79</v>
      </c>
      <c r="I29" s="136">
        <v>16</v>
      </c>
      <c r="J29" s="37">
        <v>1500</v>
      </c>
      <c r="K29" s="17">
        <f t="shared" si="1"/>
        <v>93.75</v>
      </c>
      <c r="L29" s="136">
        <v>16</v>
      </c>
      <c r="M29" s="18">
        <f t="shared" si="20"/>
        <v>1438.7500000000005</v>
      </c>
      <c r="N29" s="17">
        <f t="shared" si="3"/>
        <v>89.921875000000028</v>
      </c>
      <c r="O29" s="19">
        <f t="shared" si="4"/>
        <v>0</v>
      </c>
      <c r="P29" s="20">
        <f t="shared" si="5"/>
        <v>-3.8281249999999716</v>
      </c>
      <c r="Q29" s="129">
        <f t="shared" si="6"/>
        <v>0.95916666666666694</v>
      </c>
      <c r="R29" s="489"/>
      <c r="S29" s="40">
        <v>0.79513888888888884</v>
      </c>
      <c r="T29" s="40">
        <v>0.86180555555555549</v>
      </c>
      <c r="U29" s="126">
        <f t="shared" si="22"/>
        <v>5.9999999999999787</v>
      </c>
      <c r="V29" s="137">
        <f t="shared" si="21"/>
        <v>95.999999999999972</v>
      </c>
      <c r="W29" s="23"/>
      <c r="X29" s="23"/>
      <c r="Y29" s="26"/>
      <c r="Z29" s="26"/>
      <c r="AA29" s="503"/>
      <c r="AB29" s="504"/>
      <c r="AC29" s="25"/>
      <c r="AD29" s="25"/>
      <c r="AE29" s="19">
        <f t="shared" si="8"/>
        <v>-61.249999999999545</v>
      </c>
      <c r="AF29" s="129">
        <f t="shared" si="9"/>
        <v>0.95916666666666694</v>
      </c>
      <c r="AG29" s="489"/>
    </row>
    <row r="30" spans="1:33" ht="15.75" customHeight="1">
      <c r="A30" s="520" t="s">
        <v>414</v>
      </c>
      <c r="B30" s="42" t="s">
        <v>413</v>
      </c>
      <c r="C30" s="494"/>
      <c r="D30" s="494"/>
      <c r="E30" s="133"/>
      <c r="F30" s="138"/>
      <c r="G30" s="126"/>
      <c r="H30" s="138"/>
      <c r="I30" s="30">
        <v>16</v>
      </c>
      <c r="J30" s="37">
        <v>1875</v>
      </c>
      <c r="K30" s="17">
        <f t="shared" si="1"/>
        <v>117.1875</v>
      </c>
      <c r="L30" s="30">
        <v>16</v>
      </c>
      <c r="M30" s="18">
        <f>AVERAGE(M22:M29)</f>
        <v>1797.9313057676757</v>
      </c>
      <c r="N30" s="17">
        <f t="shared" si="3"/>
        <v>112.37070661047973</v>
      </c>
      <c r="O30" s="19">
        <f t="shared" si="4"/>
        <v>0</v>
      </c>
      <c r="P30" s="20">
        <f t="shared" si="5"/>
        <v>-4.8167933895202708</v>
      </c>
      <c r="Q30" s="129">
        <f t="shared" si="6"/>
        <v>0.95889669640942699</v>
      </c>
      <c r="R30" s="489"/>
      <c r="S30" s="40"/>
      <c r="T30" s="40"/>
      <c r="U30" s="17"/>
      <c r="V30" s="137"/>
      <c r="W30" s="17"/>
      <c r="X30" s="17"/>
      <c r="Y30" s="31">
        <f>SUM(Y22:Y29)</f>
        <v>0</v>
      </c>
      <c r="Z30" s="31">
        <f>SUM(Z22:Z29)</f>
        <v>0</v>
      </c>
      <c r="AA30" s="495"/>
      <c r="AB30" s="495"/>
      <c r="AC30" s="31">
        <f>SUM(AC22:AC29)</f>
        <v>4</v>
      </c>
      <c r="AD30" s="31">
        <f>SUM(AD22:AD29)</f>
        <v>0</v>
      </c>
      <c r="AE30" s="19">
        <f t="shared" si="8"/>
        <v>-77.068694232324333</v>
      </c>
      <c r="AF30" s="129">
        <f t="shared" si="9"/>
        <v>0.95889669640942699</v>
      </c>
      <c r="AG30" s="489"/>
    </row>
    <row r="31" spans="1:33" ht="15.75" customHeight="1">
      <c r="A31" s="518" t="s">
        <v>415</v>
      </c>
      <c r="B31" s="42" t="s">
        <v>80</v>
      </c>
      <c r="C31" s="515" t="s">
        <v>81</v>
      </c>
      <c r="D31" s="515"/>
      <c r="E31" s="42">
        <v>31.29</v>
      </c>
      <c r="F31" s="138">
        <v>7214</v>
      </c>
      <c r="G31" s="126">
        <f t="shared" ref="G31:G35" si="23">E31*F31</f>
        <v>225726.06</v>
      </c>
      <c r="H31" s="125" t="s">
        <v>79</v>
      </c>
      <c r="I31" s="136">
        <v>18</v>
      </c>
      <c r="J31" s="37">
        <v>2400</v>
      </c>
      <c r="K31" s="17">
        <f t="shared" si="1"/>
        <v>133.33333333333334</v>
      </c>
      <c r="L31" s="136">
        <v>18</v>
      </c>
      <c r="M31" s="18">
        <f t="shared" ref="M31:M35" si="24">F31/V31*60</f>
        <v>2290.1587301587292</v>
      </c>
      <c r="N31" s="17">
        <f t="shared" si="3"/>
        <v>127.23104056437384</v>
      </c>
      <c r="O31" s="19">
        <f t="shared" si="4"/>
        <v>0</v>
      </c>
      <c r="P31" s="20">
        <f t="shared" si="5"/>
        <v>-6.1022927689595008</v>
      </c>
      <c r="Q31" s="129">
        <f t="shared" si="6"/>
        <v>0.95423280423280377</v>
      </c>
      <c r="R31" s="489">
        <f>Q36</f>
        <v>0.95581269384283918</v>
      </c>
      <c r="S31" s="40">
        <v>8.3333333333333329E-2</v>
      </c>
      <c r="T31" s="40">
        <v>0.21458333333333335</v>
      </c>
      <c r="U31" s="126"/>
      <c r="V31" s="137">
        <f t="shared" ref="V31:V35" si="25">(T31-S31)*24*60</f>
        <v>189.00000000000006</v>
      </c>
      <c r="W31" s="23">
        <f>T31</f>
        <v>0.21458333333333335</v>
      </c>
      <c r="X31" s="23">
        <f>S32</f>
        <v>0.23333333333333336</v>
      </c>
      <c r="Y31" s="23"/>
      <c r="Z31" s="23"/>
      <c r="AA31" s="491"/>
      <c r="AB31" s="491"/>
      <c r="AC31" s="25">
        <v>6</v>
      </c>
      <c r="AD31" s="25"/>
      <c r="AE31" s="19">
        <f t="shared" si="8"/>
        <v>-109.84126984127079</v>
      </c>
      <c r="AF31" s="129">
        <f t="shared" si="9"/>
        <v>0.95423280423280388</v>
      </c>
      <c r="AG31" s="489">
        <f>AF36</f>
        <v>0.95581269384283929</v>
      </c>
    </row>
    <row r="32" spans="1:33" ht="15.75" customHeight="1">
      <c r="A32" s="518" t="s">
        <v>415</v>
      </c>
      <c r="B32" s="42" t="s">
        <v>80</v>
      </c>
      <c r="C32" s="515" t="s">
        <v>82</v>
      </c>
      <c r="D32" s="515"/>
      <c r="E32" s="42">
        <v>26.2</v>
      </c>
      <c r="F32" s="138">
        <v>3862</v>
      </c>
      <c r="G32" s="126">
        <f t="shared" si="23"/>
        <v>101184.4</v>
      </c>
      <c r="H32" s="125" t="s">
        <v>79</v>
      </c>
      <c r="I32" s="136">
        <v>20</v>
      </c>
      <c r="J32" s="37">
        <v>2400</v>
      </c>
      <c r="K32" s="17">
        <f t="shared" si="1"/>
        <v>120</v>
      </c>
      <c r="L32" s="136">
        <v>20</v>
      </c>
      <c r="M32" s="18">
        <f t="shared" si="24"/>
        <v>2294.2574257425745</v>
      </c>
      <c r="N32" s="17">
        <f t="shared" si="3"/>
        <v>114.71287128712872</v>
      </c>
      <c r="O32" s="19">
        <f t="shared" si="4"/>
        <v>0</v>
      </c>
      <c r="P32" s="20">
        <f t="shared" si="5"/>
        <v>-5.2871287128712794</v>
      </c>
      <c r="Q32" s="129">
        <f t="shared" si="6"/>
        <v>0.95594059405940601</v>
      </c>
      <c r="R32" s="489"/>
      <c r="S32" s="40">
        <v>0.23333333333333336</v>
      </c>
      <c r="T32" s="40">
        <v>0.30347222222222225</v>
      </c>
      <c r="U32" s="126">
        <f t="shared" ref="U32:U35" si="26">(S32-T31)*24*60</f>
        <v>27.000000000000025</v>
      </c>
      <c r="V32" s="137">
        <f t="shared" si="25"/>
        <v>101</v>
      </c>
      <c r="W32" s="23"/>
      <c r="X32" s="23"/>
      <c r="Y32" s="23"/>
      <c r="Z32" s="23"/>
      <c r="AA32" s="491"/>
      <c r="AB32" s="491"/>
      <c r="AC32" s="25"/>
      <c r="AD32" s="25"/>
      <c r="AE32" s="19">
        <f t="shared" si="8"/>
        <v>-105.74257425742553</v>
      </c>
      <c r="AF32" s="129">
        <f t="shared" si="9"/>
        <v>0.95594059405940601</v>
      </c>
      <c r="AG32" s="489"/>
    </row>
    <row r="33" spans="1:33" ht="15.75" customHeight="1">
      <c r="A33" s="518" t="s">
        <v>415</v>
      </c>
      <c r="B33" s="42" t="s">
        <v>80</v>
      </c>
      <c r="C33" s="515" t="s">
        <v>83</v>
      </c>
      <c r="D33" s="515"/>
      <c r="E33" s="42">
        <v>25.99</v>
      </c>
      <c r="F33" s="138">
        <v>3586</v>
      </c>
      <c r="G33" s="126">
        <f t="shared" si="23"/>
        <v>93200.14</v>
      </c>
      <c r="H33" s="125" t="s">
        <v>79</v>
      </c>
      <c r="I33" s="136">
        <v>14</v>
      </c>
      <c r="J33" s="37">
        <v>2400</v>
      </c>
      <c r="K33" s="17">
        <f t="shared" si="1"/>
        <v>171.42857142857142</v>
      </c>
      <c r="L33" s="136">
        <v>14</v>
      </c>
      <c r="M33" s="18">
        <f t="shared" si="24"/>
        <v>2288.9361702127662</v>
      </c>
      <c r="N33" s="17">
        <f t="shared" si="3"/>
        <v>163.49544072948331</v>
      </c>
      <c r="O33" s="19">
        <f t="shared" si="4"/>
        <v>0</v>
      </c>
      <c r="P33" s="20">
        <f t="shared" si="5"/>
        <v>-7.9331306990881103</v>
      </c>
      <c r="Q33" s="129">
        <f t="shared" si="6"/>
        <v>0.95372340425531932</v>
      </c>
      <c r="R33" s="489"/>
      <c r="S33" s="40">
        <v>0.30833333333333335</v>
      </c>
      <c r="T33" s="40">
        <v>0.37361111111111112</v>
      </c>
      <c r="U33" s="126">
        <f t="shared" si="26"/>
        <v>6.9999999999999751</v>
      </c>
      <c r="V33" s="137">
        <f t="shared" si="25"/>
        <v>93.999999999999986</v>
      </c>
      <c r="W33" s="23"/>
      <c r="X33" s="23"/>
      <c r="Y33" s="23"/>
      <c r="Z33" s="23"/>
      <c r="AA33" s="491"/>
      <c r="AB33" s="491"/>
      <c r="AC33" s="25"/>
      <c r="AD33" s="25"/>
      <c r="AE33" s="19">
        <f t="shared" si="8"/>
        <v>-111.06382978723377</v>
      </c>
      <c r="AF33" s="129">
        <f t="shared" si="9"/>
        <v>0.95372340425531921</v>
      </c>
      <c r="AG33" s="489"/>
    </row>
    <row r="34" spans="1:33" ht="15.75" customHeight="1">
      <c r="A34" s="518" t="s">
        <v>415</v>
      </c>
      <c r="B34" s="42" t="s">
        <v>80</v>
      </c>
      <c r="C34" s="515" t="s">
        <v>84</v>
      </c>
      <c r="D34" s="515"/>
      <c r="E34" s="42">
        <v>20.52</v>
      </c>
      <c r="F34" s="138">
        <v>3206</v>
      </c>
      <c r="G34" s="126">
        <f t="shared" si="23"/>
        <v>65787.12</v>
      </c>
      <c r="H34" s="125" t="s">
        <v>79</v>
      </c>
      <c r="I34" s="136">
        <v>18</v>
      </c>
      <c r="J34" s="37">
        <v>2400</v>
      </c>
      <c r="K34" s="17">
        <f t="shared" si="1"/>
        <v>133.33333333333334</v>
      </c>
      <c r="L34" s="136">
        <v>18</v>
      </c>
      <c r="M34" s="18">
        <f t="shared" si="24"/>
        <v>2289.9999999999995</v>
      </c>
      <c r="N34" s="17">
        <f t="shared" si="3"/>
        <v>127.2222222222222</v>
      </c>
      <c r="O34" s="19">
        <f t="shared" si="4"/>
        <v>0</v>
      </c>
      <c r="P34" s="20">
        <f t="shared" si="5"/>
        <v>-6.1111111111111427</v>
      </c>
      <c r="Q34" s="129">
        <f t="shared" si="6"/>
        <v>0.95416666666666639</v>
      </c>
      <c r="R34" s="489"/>
      <c r="S34" s="40">
        <v>0.37916666666666665</v>
      </c>
      <c r="T34" s="40">
        <v>0.4375</v>
      </c>
      <c r="U34" s="126">
        <f t="shared" si="26"/>
        <v>7.9999999999999716</v>
      </c>
      <c r="V34" s="137">
        <f t="shared" si="25"/>
        <v>84.000000000000028</v>
      </c>
      <c r="W34" s="23"/>
      <c r="X34" s="23"/>
      <c r="Y34" s="23"/>
      <c r="Z34" s="23"/>
      <c r="AA34" s="491"/>
      <c r="AB34" s="491"/>
      <c r="AC34" s="25"/>
      <c r="AD34" s="25"/>
      <c r="AE34" s="19">
        <f t="shared" si="8"/>
        <v>-110.00000000000045</v>
      </c>
      <c r="AF34" s="129">
        <f t="shared" si="9"/>
        <v>0.9541666666666665</v>
      </c>
      <c r="AG34" s="489"/>
    </row>
    <row r="35" spans="1:33" ht="15.75" customHeight="1">
      <c r="A35" s="518" t="s">
        <v>415</v>
      </c>
      <c r="B35" s="42" t="s">
        <v>80</v>
      </c>
      <c r="C35" s="515" t="s">
        <v>85</v>
      </c>
      <c r="D35" s="515"/>
      <c r="E35" s="42">
        <v>25.98</v>
      </c>
      <c r="F35" s="138">
        <v>2883</v>
      </c>
      <c r="G35" s="126">
        <f t="shared" si="23"/>
        <v>74900.34</v>
      </c>
      <c r="H35" s="125" t="s">
        <v>79</v>
      </c>
      <c r="I35" s="136">
        <v>21</v>
      </c>
      <c r="J35" s="37">
        <v>2400</v>
      </c>
      <c r="K35" s="17">
        <f t="shared" si="1"/>
        <v>114.28571428571429</v>
      </c>
      <c r="L35" s="136">
        <v>21</v>
      </c>
      <c r="M35" s="18">
        <f t="shared" si="24"/>
        <v>2306.4000000000005</v>
      </c>
      <c r="N35" s="17">
        <f t="shared" si="3"/>
        <v>109.82857142857145</v>
      </c>
      <c r="O35" s="19">
        <f t="shared" si="4"/>
        <v>0</v>
      </c>
      <c r="P35" s="20">
        <f t="shared" si="5"/>
        <v>-4.4571428571428413</v>
      </c>
      <c r="Q35" s="129">
        <f t="shared" si="6"/>
        <v>0.96100000000000019</v>
      </c>
      <c r="R35" s="489"/>
      <c r="S35" s="40">
        <v>0.44097222222222221</v>
      </c>
      <c r="T35" s="40">
        <v>0.49305555555555552</v>
      </c>
      <c r="U35" s="126">
        <f t="shared" si="26"/>
        <v>4.9999999999999822</v>
      </c>
      <c r="V35" s="137">
        <f t="shared" si="25"/>
        <v>74.999999999999972</v>
      </c>
      <c r="W35" s="23"/>
      <c r="X35" s="23"/>
      <c r="Y35" s="23"/>
      <c r="Z35" s="23"/>
      <c r="AA35" s="491"/>
      <c r="AB35" s="491"/>
      <c r="AC35" s="25"/>
      <c r="AD35" s="25"/>
      <c r="AE35" s="19">
        <f t="shared" si="8"/>
        <v>-93.599999999999454</v>
      </c>
      <c r="AF35" s="129">
        <f t="shared" si="9"/>
        <v>0.96100000000000019</v>
      </c>
      <c r="AG35" s="489"/>
    </row>
    <row r="36" spans="1:33" ht="15.75" customHeight="1">
      <c r="A36" s="518" t="s">
        <v>415</v>
      </c>
      <c r="B36" s="42" t="s">
        <v>413</v>
      </c>
      <c r="C36" s="494"/>
      <c r="D36" s="494"/>
      <c r="E36" s="133"/>
      <c r="F36" s="138"/>
      <c r="G36" s="126"/>
      <c r="H36" s="138"/>
      <c r="I36" s="30">
        <v>18.2</v>
      </c>
      <c r="J36" s="37">
        <v>2400</v>
      </c>
      <c r="K36" s="17">
        <f t="shared" si="1"/>
        <v>131.86813186813188</v>
      </c>
      <c r="L36" s="30">
        <v>18.2</v>
      </c>
      <c r="M36" s="18">
        <f>AVERAGE(M31:M35)</f>
        <v>2293.9504652228143</v>
      </c>
      <c r="N36" s="17">
        <f t="shared" si="3"/>
        <v>126.04123435290188</v>
      </c>
      <c r="O36" s="19">
        <f t="shared" si="4"/>
        <v>0</v>
      </c>
      <c r="P36" s="20">
        <f t="shared" si="5"/>
        <v>-5.8268975152300015</v>
      </c>
      <c r="Q36" s="129">
        <f t="shared" si="6"/>
        <v>0.95581269384283918</v>
      </c>
      <c r="R36" s="489"/>
      <c r="S36" s="40"/>
      <c r="T36" s="40"/>
      <c r="U36" s="126"/>
      <c r="V36" s="137"/>
      <c r="W36" s="126"/>
      <c r="X36" s="126"/>
      <c r="Y36" s="31">
        <f>SUM(Y31:Y35)</f>
        <v>0</v>
      </c>
      <c r="Z36" s="31">
        <f>SUM(Z31:Z35)</f>
        <v>0</v>
      </c>
      <c r="AA36" s="495"/>
      <c r="AB36" s="495"/>
      <c r="AC36" s="31">
        <f>SUM(AC31:AC35)</f>
        <v>6</v>
      </c>
      <c r="AD36" s="31">
        <f>SUM(AD31:AD35)</f>
        <v>0</v>
      </c>
      <c r="AE36" s="19">
        <f t="shared" si="8"/>
        <v>-106.04953477718573</v>
      </c>
      <c r="AF36" s="129">
        <f t="shared" si="9"/>
        <v>0.95581269384283929</v>
      </c>
      <c r="AG36" s="489"/>
    </row>
    <row r="37" spans="1:33" ht="15.75" customHeight="1">
      <c r="A37" s="516" t="s">
        <v>416</v>
      </c>
      <c r="B37" s="42" t="s">
        <v>80</v>
      </c>
      <c r="C37" s="490" t="s">
        <v>86</v>
      </c>
      <c r="D37" s="490"/>
      <c r="E37" s="42">
        <v>22.69</v>
      </c>
      <c r="F37" s="138">
        <v>597</v>
      </c>
      <c r="G37" s="126">
        <f t="shared" ref="G37:G43" si="27">E37*F37</f>
        <v>13545.93</v>
      </c>
      <c r="H37" s="125" t="s">
        <v>79</v>
      </c>
      <c r="I37" s="136">
        <v>15</v>
      </c>
      <c r="J37" s="37">
        <v>2400</v>
      </c>
      <c r="K37" s="17">
        <f t="shared" si="1"/>
        <v>160</v>
      </c>
      <c r="L37" s="136">
        <v>15</v>
      </c>
      <c r="M37" s="18">
        <f t="shared" ref="M37:M43" si="28">F37/V37*60</f>
        <v>2387.9999999999991</v>
      </c>
      <c r="N37" s="17">
        <f t="shared" si="3"/>
        <v>159.19999999999993</v>
      </c>
      <c r="O37" s="19">
        <f t="shared" si="4"/>
        <v>0</v>
      </c>
      <c r="P37" s="20">
        <f t="shared" si="5"/>
        <v>-0.80000000000006821</v>
      </c>
      <c r="Q37" s="129">
        <f t="shared" si="6"/>
        <v>0.99499999999999955</v>
      </c>
      <c r="R37" s="489">
        <f>Q44</f>
        <v>0.96157968095697655</v>
      </c>
      <c r="S37" s="40">
        <v>8.3333333333333329E-2</v>
      </c>
      <c r="T37" s="40">
        <v>9.375E-2</v>
      </c>
      <c r="U37" s="126"/>
      <c r="V37" s="137">
        <f t="shared" ref="V37:V43" si="29">(T37-S37)*24*60</f>
        <v>15.000000000000007</v>
      </c>
      <c r="W37" s="28">
        <f>T37</f>
        <v>9.375E-2</v>
      </c>
      <c r="X37" s="28">
        <f>S38</f>
        <v>0.11388888888888889</v>
      </c>
      <c r="Y37" s="28"/>
      <c r="Z37" s="28"/>
      <c r="AA37" s="491"/>
      <c r="AB37" s="491"/>
      <c r="AC37" s="25">
        <v>5</v>
      </c>
      <c r="AD37" s="25"/>
      <c r="AE37" s="19">
        <f t="shared" si="8"/>
        <v>-12.000000000000909</v>
      </c>
      <c r="AF37" s="129">
        <f t="shared" si="9"/>
        <v>0.99499999999999966</v>
      </c>
      <c r="AG37" s="489">
        <f>AF44</f>
        <v>0.96157968095697655</v>
      </c>
    </row>
    <row r="38" spans="1:33" ht="15.75" customHeight="1">
      <c r="A38" s="516" t="s">
        <v>416</v>
      </c>
      <c r="B38" s="42" t="s">
        <v>80</v>
      </c>
      <c r="C38" s="490" t="s">
        <v>87</v>
      </c>
      <c r="D38" s="490"/>
      <c r="E38" s="42">
        <v>26.2</v>
      </c>
      <c r="F38" s="138">
        <v>5032</v>
      </c>
      <c r="G38" s="126">
        <f t="shared" si="27"/>
        <v>131838.39999999999</v>
      </c>
      <c r="H38" s="125" t="s">
        <v>79</v>
      </c>
      <c r="I38" s="136">
        <v>18</v>
      </c>
      <c r="J38" s="37">
        <v>2400</v>
      </c>
      <c r="K38" s="17">
        <f t="shared" si="1"/>
        <v>133.33333333333334</v>
      </c>
      <c r="L38" s="136">
        <v>18</v>
      </c>
      <c r="M38" s="18">
        <f t="shared" si="28"/>
        <v>2287.2727272727279</v>
      </c>
      <c r="N38" s="17">
        <f t="shared" si="3"/>
        <v>127.0707070707071</v>
      </c>
      <c r="O38" s="19">
        <f t="shared" si="4"/>
        <v>0</v>
      </c>
      <c r="P38" s="20">
        <f t="shared" si="5"/>
        <v>-6.2626262626262417</v>
      </c>
      <c r="Q38" s="129">
        <f t="shared" si="6"/>
        <v>0.95303030303030323</v>
      </c>
      <c r="R38" s="489"/>
      <c r="S38" s="40">
        <v>0.11388888888888889</v>
      </c>
      <c r="T38" s="40">
        <v>0.20555555555555555</v>
      </c>
      <c r="U38" s="126">
        <f t="shared" ref="U38:U43" si="30">(S38-T37)*24*60</f>
        <v>28.999999999999996</v>
      </c>
      <c r="V38" s="137">
        <f t="shared" si="29"/>
        <v>131.99999999999997</v>
      </c>
      <c r="W38" s="126"/>
      <c r="X38" s="126"/>
      <c r="Y38" s="126"/>
      <c r="Z38" s="126"/>
      <c r="AA38" s="491"/>
      <c r="AB38" s="491"/>
      <c r="AC38" s="25"/>
      <c r="AD38" s="25"/>
      <c r="AE38" s="19">
        <f t="shared" si="8"/>
        <v>-112.72727272727207</v>
      </c>
      <c r="AF38" s="129">
        <f t="shared" si="9"/>
        <v>0.95303030303030334</v>
      </c>
      <c r="AG38" s="489"/>
    </row>
    <row r="39" spans="1:33">
      <c r="A39" s="517" t="s">
        <v>416</v>
      </c>
      <c r="B39" s="42" t="s">
        <v>80</v>
      </c>
      <c r="C39" s="490" t="s">
        <v>88</v>
      </c>
      <c r="D39" s="490"/>
      <c r="E39" s="42">
        <v>26.18</v>
      </c>
      <c r="F39" s="138">
        <v>1702</v>
      </c>
      <c r="G39" s="126">
        <f t="shared" si="27"/>
        <v>44558.36</v>
      </c>
      <c r="H39" s="125" t="s">
        <v>79</v>
      </c>
      <c r="I39" s="136">
        <v>19</v>
      </c>
      <c r="J39" s="37">
        <v>2400</v>
      </c>
      <c r="K39" s="17">
        <f t="shared" si="1"/>
        <v>126.31578947368421</v>
      </c>
      <c r="L39" s="136">
        <v>19</v>
      </c>
      <c r="M39" s="18">
        <f t="shared" si="28"/>
        <v>2320.909090909091</v>
      </c>
      <c r="N39" s="17">
        <f t="shared" si="3"/>
        <v>122.15311004784689</v>
      </c>
      <c r="O39" s="19">
        <f t="shared" si="4"/>
        <v>0</v>
      </c>
      <c r="P39" s="20">
        <f t="shared" si="5"/>
        <v>-4.162679425837311</v>
      </c>
      <c r="Q39" s="129">
        <f t="shared" si="6"/>
        <v>0.96704545454545465</v>
      </c>
      <c r="R39" s="489"/>
      <c r="S39" s="40">
        <v>0.20902777777777776</v>
      </c>
      <c r="T39" s="40">
        <v>0.23958333333333331</v>
      </c>
      <c r="U39" s="126">
        <f t="shared" si="30"/>
        <v>4.9999999999999822</v>
      </c>
      <c r="V39" s="137">
        <f t="shared" si="29"/>
        <v>44</v>
      </c>
      <c r="W39" s="126"/>
      <c r="X39" s="126"/>
      <c r="Y39" s="126"/>
      <c r="Z39" s="126"/>
      <c r="AA39" s="491"/>
      <c r="AB39" s="491"/>
      <c r="AC39" s="25"/>
      <c r="AD39" s="25"/>
      <c r="AE39" s="19">
        <f t="shared" si="8"/>
        <v>-79.090909090909008</v>
      </c>
      <c r="AF39" s="129">
        <f t="shared" si="9"/>
        <v>0.96704545454545454</v>
      </c>
      <c r="AG39" s="489"/>
    </row>
    <row r="40" spans="1:33">
      <c r="A40" s="517" t="s">
        <v>416</v>
      </c>
      <c r="B40" s="42" t="s">
        <v>80</v>
      </c>
      <c r="C40" s="490" t="s">
        <v>89</v>
      </c>
      <c r="D40" s="490"/>
      <c r="E40" s="42">
        <v>26.39</v>
      </c>
      <c r="F40" s="138">
        <v>4885</v>
      </c>
      <c r="G40" s="126">
        <f t="shared" si="27"/>
        <v>128915.15000000001</v>
      </c>
      <c r="H40" s="125" t="s">
        <v>79</v>
      </c>
      <c r="I40" s="136">
        <v>19</v>
      </c>
      <c r="J40" s="37">
        <v>2400</v>
      </c>
      <c r="K40" s="17">
        <f t="shared" si="1"/>
        <v>126.31578947368421</v>
      </c>
      <c r="L40" s="136">
        <v>19</v>
      </c>
      <c r="M40" s="18">
        <f t="shared" si="28"/>
        <v>2289.8437499999995</v>
      </c>
      <c r="N40" s="17">
        <f t="shared" si="3"/>
        <v>120.51809210526314</v>
      </c>
      <c r="O40" s="19">
        <f t="shared" si="4"/>
        <v>0</v>
      </c>
      <c r="P40" s="20">
        <f t="shared" si="5"/>
        <v>-5.7976973684210691</v>
      </c>
      <c r="Q40" s="129">
        <f t="shared" si="6"/>
        <v>0.95410156249999989</v>
      </c>
      <c r="R40" s="489"/>
      <c r="S40" s="40">
        <v>0.24305555555555552</v>
      </c>
      <c r="T40" s="40">
        <v>0.33194444444444443</v>
      </c>
      <c r="U40" s="126">
        <f t="shared" si="30"/>
        <v>4.9999999999999822</v>
      </c>
      <c r="V40" s="137">
        <f t="shared" si="29"/>
        <v>128.00000000000003</v>
      </c>
      <c r="W40" s="23"/>
      <c r="X40" s="23"/>
      <c r="Y40" s="23"/>
      <c r="Z40" s="23"/>
      <c r="AA40" s="491"/>
      <c r="AB40" s="491"/>
      <c r="AC40" s="25"/>
      <c r="AD40" s="25"/>
      <c r="AE40" s="19">
        <f t="shared" si="8"/>
        <v>-110.15625000000045</v>
      </c>
      <c r="AF40" s="129">
        <f t="shared" si="9"/>
        <v>0.95410156249999978</v>
      </c>
      <c r="AG40" s="489"/>
    </row>
    <row r="41" spans="1:33">
      <c r="A41" s="517" t="s">
        <v>416</v>
      </c>
      <c r="B41" s="42" t="s">
        <v>80</v>
      </c>
      <c r="C41" s="490" t="s">
        <v>90</v>
      </c>
      <c r="D41" s="490"/>
      <c r="E41" s="42">
        <v>22.69</v>
      </c>
      <c r="F41" s="138">
        <v>2077</v>
      </c>
      <c r="G41" s="126">
        <f t="shared" si="27"/>
        <v>47127.130000000005</v>
      </c>
      <c r="H41" s="125" t="s">
        <v>79</v>
      </c>
      <c r="I41" s="136">
        <v>15</v>
      </c>
      <c r="J41" s="37">
        <v>2400</v>
      </c>
      <c r="K41" s="17">
        <f t="shared" si="1"/>
        <v>160</v>
      </c>
      <c r="L41" s="136">
        <v>15</v>
      </c>
      <c r="M41" s="18">
        <f t="shared" si="28"/>
        <v>2307.7777777777792</v>
      </c>
      <c r="N41" s="17">
        <f t="shared" si="3"/>
        <v>153.85185185185193</v>
      </c>
      <c r="O41" s="19">
        <f t="shared" si="4"/>
        <v>0</v>
      </c>
      <c r="P41" s="20">
        <f t="shared" si="5"/>
        <v>-6.1481481481480671</v>
      </c>
      <c r="Q41" s="129">
        <f t="shared" si="6"/>
        <v>0.96157407407407458</v>
      </c>
      <c r="R41" s="489"/>
      <c r="S41" s="40">
        <v>0.33541666666666664</v>
      </c>
      <c r="T41" s="40">
        <v>0.37291666666666662</v>
      </c>
      <c r="U41" s="126">
        <f t="shared" si="30"/>
        <v>4.9999999999999822</v>
      </c>
      <c r="V41" s="137">
        <f t="shared" si="29"/>
        <v>53.999999999999972</v>
      </c>
      <c r="W41" s="23"/>
      <c r="X41" s="23"/>
      <c r="Y41" s="23"/>
      <c r="Z41" s="23"/>
      <c r="AA41" s="491"/>
      <c r="AB41" s="491"/>
      <c r="AC41" s="25"/>
      <c r="AD41" s="25"/>
      <c r="AE41" s="19">
        <f t="shared" si="8"/>
        <v>-92.222222222220807</v>
      </c>
      <c r="AF41" s="129">
        <f t="shared" si="9"/>
        <v>0.96157407407407469</v>
      </c>
      <c r="AG41" s="489"/>
    </row>
    <row r="42" spans="1:33">
      <c r="A42" s="517" t="s">
        <v>416</v>
      </c>
      <c r="B42" s="42" t="s">
        <v>80</v>
      </c>
      <c r="C42" s="490" t="s">
        <v>91</v>
      </c>
      <c r="D42" s="490"/>
      <c r="E42" s="42">
        <v>24.45</v>
      </c>
      <c r="F42" s="138">
        <v>1945</v>
      </c>
      <c r="G42" s="126">
        <f t="shared" si="27"/>
        <v>47555.25</v>
      </c>
      <c r="H42" s="125" t="s">
        <v>79</v>
      </c>
      <c r="I42" s="136">
        <v>20</v>
      </c>
      <c r="J42" s="37">
        <v>2400</v>
      </c>
      <c r="K42" s="17">
        <f t="shared" si="1"/>
        <v>120</v>
      </c>
      <c r="L42" s="136">
        <v>20</v>
      </c>
      <c r="M42" s="18">
        <f t="shared" si="28"/>
        <v>2288.2352941176482</v>
      </c>
      <c r="N42" s="17">
        <f t="shared" si="3"/>
        <v>114.4117647058824</v>
      </c>
      <c r="O42" s="19">
        <f t="shared" si="4"/>
        <v>0</v>
      </c>
      <c r="P42" s="20">
        <f t="shared" si="5"/>
        <v>-5.5882352941175952</v>
      </c>
      <c r="Q42" s="129">
        <f t="shared" si="6"/>
        <v>0.95343137254902</v>
      </c>
      <c r="R42" s="489"/>
      <c r="S42" s="40">
        <v>0.37847222222222215</v>
      </c>
      <c r="T42" s="40">
        <v>0.41388888888888881</v>
      </c>
      <c r="U42" s="126">
        <f t="shared" si="30"/>
        <v>7.9999999999999716</v>
      </c>
      <c r="V42" s="137">
        <f t="shared" si="29"/>
        <v>50.999999999999979</v>
      </c>
      <c r="W42" s="23"/>
      <c r="X42" s="23"/>
      <c r="Y42" s="23"/>
      <c r="Z42" s="23"/>
      <c r="AA42" s="491"/>
      <c r="AB42" s="491"/>
      <c r="AC42" s="25"/>
      <c r="AD42" s="25"/>
      <c r="AE42" s="19">
        <f t="shared" si="8"/>
        <v>-111.76470588235179</v>
      </c>
      <c r="AF42" s="129">
        <f t="shared" si="9"/>
        <v>0.95343137254902011</v>
      </c>
      <c r="AG42" s="489"/>
    </row>
    <row r="43" spans="1:33">
      <c r="A43" s="517" t="s">
        <v>416</v>
      </c>
      <c r="B43" s="42" t="s">
        <v>80</v>
      </c>
      <c r="C43" s="490" t="s">
        <v>92</v>
      </c>
      <c r="D43" s="490"/>
      <c r="E43" s="42">
        <v>28.51</v>
      </c>
      <c r="F43" s="138">
        <v>303</v>
      </c>
      <c r="G43" s="126">
        <f t="shared" si="27"/>
        <v>8638.5300000000007</v>
      </c>
      <c r="H43" s="125" t="s">
        <v>79</v>
      </c>
      <c r="I43" s="136">
        <v>16</v>
      </c>
      <c r="J43" s="37">
        <v>2400</v>
      </c>
      <c r="K43" s="17">
        <f t="shared" si="1"/>
        <v>150</v>
      </c>
      <c r="L43" s="136">
        <v>16</v>
      </c>
      <c r="M43" s="18">
        <f t="shared" si="28"/>
        <v>2272.4999999999627</v>
      </c>
      <c r="N43" s="17">
        <f t="shared" si="3"/>
        <v>142.03124999999767</v>
      </c>
      <c r="O43" s="19">
        <f t="shared" si="4"/>
        <v>0</v>
      </c>
      <c r="P43" s="20">
        <f t="shared" si="5"/>
        <v>-7.9687500000023306</v>
      </c>
      <c r="Q43" s="129">
        <f t="shared" si="6"/>
        <v>0.94687499999998448</v>
      </c>
      <c r="R43" s="489"/>
      <c r="S43" s="40">
        <v>0.4187499999999999</v>
      </c>
      <c r="T43" s="40">
        <v>0.42430555555555555</v>
      </c>
      <c r="U43" s="126">
        <f t="shared" si="30"/>
        <v>6.9999999999999751</v>
      </c>
      <c r="V43" s="137">
        <f t="shared" si="29"/>
        <v>8.0000000000001315</v>
      </c>
      <c r="W43" s="23"/>
      <c r="X43" s="23"/>
      <c r="Y43" s="26"/>
      <c r="Z43" s="26"/>
      <c r="AA43" s="503"/>
      <c r="AB43" s="504"/>
      <c r="AC43" s="25"/>
      <c r="AD43" s="25"/>
      <c r="AE43" s="19">
        <f t="shared" si="8"/>
        <v>-127.50000000003729</v>
      </c>
      <c r="AF43" s="129">
        <f t="shared" si="9"/>
        <v>0.94687499999998448</v>
      </c>
      <c r="AG43" s="489"/>
    </row>
    <row r="44" spans="1:33">
      <c r="A44" s="517" t="s">
        <v>416</v>
      </c>
      <c r="B44" s="44" t="s">
        <v>413</v>
      </c>
      <c r="C44" s="494"/>
      <c r="D44" s="494"/>
      <c r="E44" s="133"/>
      <c r="F44" s="44"/>
      <c r="G44" s="17"/>
      <c r="H44" s="138"/>
      <c r="I44" s="30">
        <v>17.428571428571427</v>
      </c>
      <c r="J44" s="37">
        <v>2400</v>
      </c>
      <c r="K44" s="17">
        <f t="shared" si="1"/>
        <v>137.70491803278691</v>
      </c>
      <c r="L44" s="30">
        <v>17.428571428571427</v>
      </c>
      <c r="M44" s="18">
        <f>AVERAGE(M37:M43)</f>
        <v>2307.7912342967438</v>
      </c>
      <c r="N44" s="17">
        <f t="shared" si="3"/>
        <v>132.41425114817383</v>
      </c>
      <c r="O44" s="19">
        <f t="shared" si="4"/>
        <v>0</v>
      </c>
      <c r="P44" s="20">
        <f t="shared" si="5"/>
        <v>-5.2906668846130742</v>
      </c>
      <c r="Q44" s="129">
        <f t="shared" si="6"/>
        <v>0.96157968095697655</v>
      </c>
      <c r="R44" s="489"/>
      <c r="S44" s="40"/>
      <c r="T44" s="40"/>
      <c r="U44" s="17"/>
      <c r="V44" s="137"/>
      <c r="W44" s="17"/>
      <c r="X44" s="17"/>
      <c r="Y44" s="31">
        <f>SUM(Y37:Y43)</f>
        <v>0</v>
      </c>
      <c r="Z44" s="31">
        <f>SUM(Z37:Z43)</f>
        <v>0</v>
      </c>
      <c r="AA44" s="495"/>
      <c r="AB44" s="495"/>
      <c r="AC44" s="31">
        <f>SUM(AC37:AC43)</f>
        <v>5</v>
      </c>
      <c r="AD44" s="31">
        <f>SUM(AD37:AD43)</f>
        <v>0</v>
      </c>
      <c r="AE44" s="19">
        <f t="shared" si="8"/>
        <v>-92.208765703256176</v>
      </c>
      <c r="AF44" s="129">
        <f t="shared" si="9"/>
        <v>0.96157968095697655</v>
      </c>
      <c r="AG44" s="489"/>
    </row>
    <row r="45" spans="1:33" ht="15.75" customHeight="1">
      <c r="A45" s="512" t="s">
        <v>417</v>
      </c>
      <c r="B45" s="42" t="s">
        <v>93</v>
      </c>
      <c r="C45" s="501" t="s">
        <v>94</v>
      </c>
      <c r="D45" s="502"/>
      <c r="E45" s="42">
        <v>21.13</v>
      </c>
      <c r="F45" s="138">
        <v>4455</v>
      </c>
      <c r="G45" s="126">
        <f t="shared" ref="G45:G50" si="31">E45*F45</f>
        <v>94134.15</v>
      </c>
      <c r="H45" s="125" t="s">
        <v>79</v>
      </c>
      <c r="I45" s="136">
        <v>10</v>
      </c>
      <c r="J45" s="37">
        <v>3000</v>
      </c>
      <c r="K45" s="17">
        <f t="shared" si="1"/>
        <v>300</v>
      </c>
      <c r="L45" s="136">
        <v>10</v>
      </c>
      <c r="M45" s="18">
        <f t="shared" ref="M45:M50" si="32">F45/V45*60</f>
        <v>2874.1935483870966</v>
      </c>
      <c r="N45" s="18">
        <f t="shared" si="3"/>
        <v>287.41935483870964</v>
      </c>
      <c r="O45" s="19">
        <f t="shared" si="4"/>
        <v>0</v>
      </c>
      <c r="P45" s="20">
        <f t="shared" si="5"/>
        <v>-12.580645161290363</v>
      </c>
      <c r="Q45" s="129">
        <f t="shared" si="6"/>
        <v>0.9580645161290321</v>
      </c>
      <c r="R45" s="509">
        <f>Q51</f>
        <v>0.95824976452176935</v>
      </c>
      <c r="S45" s="40">
        <v>8.3333333333333329E-2</v>
      </c>
      <c r="T45" s="40">
        <v>0.14791666666666667</v>
      </c>
      <c r="U45" s="28"/>
      <c r="V45" s="137">
        <f t="shared" ref="V45:V50" si="33">(T45-S45)*24*60</f>
        <v>93.000000000000014</v>
      </c>
      <c r="W45" s="23">
        <f>T45</f>
        <v>0.14791666666666667</v>
      </c>
      <c r="X45" s="23">
        <f>S46</f>
        <v>0.16736111111111113</v>
      </c>
      <c r="Y45" s="26"/>
      <c r="Z45" s="26"/>
      <c r="AA45" s="503"/>
      <c r="AB45" s="504"/>
      <c r="AC45" s="25" t="s">
        <v>79</v>
      </c>
      <c r="AD45" s="25"/>
      <c r="AE45" s="19">
        <f t="shared" si="8"/>
        <v>-125.8064516129034</v>
      </c>
      <c r="AF45" s="129">
        <f t="shared" si="9"/>
        <v>0.95806451612903221</v>
      </c>
      <c r="AG45" s="509">
        <f>AF51</f>
        <v>0.95824976452176935</v>
      </c>
    </row>
    <row r="46" spans="1:33" ht="15.75" customHeight="1">
      <c r="A46" s="513" t="s">
        <v>417</v>
      </c>
      <c r="B46" s="42" t="s">
        <v>93</v>
      </c>
      <c r="C46" s="501" t="s">
        <v>95</v>
      </c>
      <c r="D46" s="502"/>
      <c r="E46" s="42">
        <v>27.17</v>
      </c>
      <c r="F46" s="138">
        <v>5771</v>
      </c>
      <c r="G46" s="126">
        <f t="shared" si="31"/>
        <v>156798.07</v>
      </c>
      <c r="H46" s="125" t="s">
        <v>79</v>
      </c>
      <c r="I46" s="136">
        <v>10</v>
      </c>
      <c r="J46" s="37">
        <v>3000</v>
      </c>
      <c r="K46" s="17">
        <f t="shared" si="1"/>
        <v>300</v>
      </c>
      <c r="L46" s="136">
        <v>10</v>
      </c>
      <c r="M46" s="18">
        <f t="shared" si="32"/>
        <v>2861.6528925619841</v>
      </c>
      <c r="N46" s="18">
        <f t="shared" si="3"/>
        <v>286.16528925619843</v>
      </c>
      <c r="O46" s="19">
        <f t="shared" si="4"/>
        <v>0</v>
      </c>
      <c r="P46" s="20">
        <f t="shared" si="5"/>
        <v>-13.834710743801566</v>
      </c>
      <c r="Q46" s="129">
        <f t="shared" si="6"/>
        <v>0.95388429752066139</v>
      </c>
      <c r="R46" s="510"/>
      <c r="S46" s="40">
        <v>0.16736111111111113</v>
      </c>
      <c r="T46" s="40">
        <v>0.25138888888888888</v>
      </c>
      <c r="U46" s="126">
        <f t="shared" ref="U46:U50" si="34">(S46-T45)*24*60</f>
        <v>28.000000000000021</v>
      </c>
      <c r="V46" s="137">
        <f t="shared" si="33"/>
        <v>120.99999999999997</v>
      </c>
      <c r="W46" s="23"/>
      <c r="X46" s="23"/>
      <c r="Y46" s="26"/>
      <c r="Z46" s="26"/>
      <c r="AA46" s="503"/>
      <c r="AB46" s="504"/>
      <c r="AC46" s="25">
        <v>1</v>
      </c>
      <c r="AD46" s="25"/>
      <c r="AE46" s="19">
        <f t="shared" si="8"/>
        <v>-138.34710743801588</v>
      </c>
      <c r="AF46" s="129">
        <f t="shared" si="9"/>
        <v>0.95388429752066139</v>
      </c>
      <c r="AG46" s="510"/>
    </row>
    <row r="47" spans="1:33" ht="15.75" customHeight="1">
      <c r="A47" s="513" t="s">
        <v>417</v>
      </c>
      <c r="B47" s="42" t="s">
        <v>93</v>
      </c>
      <c r="C47" s="501" t="s">
        <v>96</v>
      </c>
      <c r="D47" s="502"/>
      <c r="E47" s="42">
        <v>35.119999999999997</v>
      </c>
      <c r="F47" s="138">
        <v>4326</v>
      </c>
      <c r="G47" s="126">
        <f t="shared" si="31"/>
        <v>151929.12</v>
      </c>
      <c r="H47" s="125" t="s">
        <v>79</v>
      </c>
      <c r="I47" s="136">
        <v>10</v>
      </c>
      <c r="J47" s="37">
        <v>3000</v>
      </c>
      <c r="K47" s="17">
        <f t="shared" si="1"/>
        <v>300</v>
      </c>
      <c r="L47" s="136">
        <v>10</v>
      </c>
      <c r="M47" s="18">
        <f t="shared" si="32"/>
        <v>2884</v>
      </c>
      <c r="N47" s="18">
        <f t="shared" si="3"/>
        <v>288.39999999999998</v>
      </c>
      <c r="O47" s="19">
        <f t="shared" si="4"/>
        <v>0</v>
      </c>
      <c r="P47" s="20">
        <f t="shared" si="5"/>
        <v>-11.600000000000023</v>
      </c>
      <c r="Q47" s="129">
        <f t="shared" si="6"/>
        <v>0.96133333333333326</v>
      </c>
      <c r="R47" s="510"/>
      <c r="S47" s="40">
        <v>0.25694444444444442</v>
      </c>
      <c r="T47" s="40">
        <v>0.31944444444444442</v>
      </c>
      <c r="U47" s="126">
        <f t="shared" si="34"/>
        <v>7.9999999999999716</v>
      </c>
      <c r="V47" s="137">
        <f t="shared" si="33"/>
        <v>90</v>
      </c>
      <c r="W47" s="23"/>
      <c r="X47" s="23"/>
      <c r="Y47" s="26"/>
      <c r="Z47" s="26"/>
      <c r="AA47" s="503"/>
      <c r="AB47" s="504"/>
      <c r="AC47" s="25" t="s">
        <v>79</v>
      </c>
      <c r="AD47" s="25"/>
      <c r="AE47" s="19">
        <f t="shared" si="8"/>
        <v>-116</v>
      </c>
      <c r="AF47" s="129">
        <f t="shared" si="9"/>
        <v>0.96133333333333337</v>
      </c>
      <c r="AG47" s="510"/>
    </row>
    <row r="48" spans="1:33" ht="15.75" customHeight="1">
      <c r="A48" s="513" t="s">
        <v>417</v>
      </c>
      <c r="B48" s="42" t="s">
        <v>93</v>
      </c>
      <c r="C48" s="501" t="s">
        <v>97</v>
      </c>
      <c r="D48" s="502"/>
      <c r="E48" s="42">
        <v>31</v>
      </c>
      <c r="F48" s="138">
        <v>1324</v>
      </c>
      <c r="G48" s="126">
        <f t="shared" si="31"/>
        <v>41044</v>
      </c>
      <c r="H48" s="125" t="s">
        <v>79</v>
      </c>
      <c r="I48" s="136">
        <v>13</v>
      </c>
      <c r="J48" s="37">
        <v>2000</v>
      </c>
      <c r="K48" s="17">
        <f t="shared" si="1"/>
        <v>153.84615384615384</v>
      </c>
      <c r="L48" s="136">
        <v>13</v>
      </c>
      <c r="M48" s="18">
        <f t="shared" si="32"/>
        <v>1937.5609756097556</v>
      </c>
      <c r="N48" s="18">
        <f t="shared" si="3"/>
        <v>149.04315196998121</v>
      </c>
      <c r="O48" s="19">
        <f t="shared" si="4"/>
        <v>0</v>
      </c>
      <c r="P48" s="20">
        <f t="shared" si="5"/>
        <v>-4.8030018761726296</v>
      </c>
      <c r="Q48" s="129">
        <f t="shared" si="6"/>
        <v>0.96878048780487791</v>
      </c>
      <c r="R48" s="510"/>
      <c r="S48" s="40">
        <v>0.32499999999999996</v>
      </c>
      <c r="T48" s="40">
        <v>0.35347222222222219</v>
      </c>
      <c r="U48" s="126">
        <f t="shared" si="34"/>
        <v>7.9999999999999716</v>
      </c>
      <c r="V48" s="137">
        <f t="shared" si="33"/>
        <v>41.000000000000014</v>
      </c>
      <c r="W48" s="23"/>
      <c r="X48" s="23"/>
      <c r="Y48" s="26"/>
      <c r="Z48" s="26"/>
      <c r="AA48" s="503"/>
      <c r="AB48" s="504"/>
      <c r="AC48" s="25" t="s">
        <v>79</v>
      </c>
      <c r="AD48" s="25"/>
      <c r="AE48" s="19">
        <f t="shared" si="8"/>
        <v>-62.439024390244413</v>
      </c>
      <c r="AF48" s="129">
        <f t="shared" si="9"/>
        <v>0.9687804878048778</v>
      </c>
      <c r="AG48" s="510"/>
    </row>
    <row r="49" spans="1:33" ht="15.75" customHeight="1">
      <c r="A49" s="513" t="s">
        <v>417</v>
      </c>
      <c r="B49" s="42" t="s">
        <v>93</v>
      </c>
      <c r="C49" s="501" t="s">
        <v>98</v>
      </c>
      <c r="D49" s="502"/>
      <c r="E49" s="42">
        <v>37.880000000000003</v>
      </c>
      <c r="F49" s="138">
        <v>1815</v>
      </c>
      <c r="G49" s="126">
        <f t="shared" si="31"/>
        <v>68752.200000000012</v>
      </c>
      <c r="H49" s="125" t="s">
        <v>79</v>
      </c>
      <c r="I49" s="136">
        <v>14</v>
      </c>
      <c r="J49" s="37">
        <v>2000</v>
      </c>
      <c r="K49" s="17">
        <f t="shared" si="1"/>
        <v>142.85714285714286</v>
      </c>
      <c r="L49" s="136">
        <v>14</v>
      </c>
      <c r="M49" s="18">
        <f t="shared" si="32"/>
        <v>1910.5263157894751</v>
      </c>
      <c r="N49" s="18">
        <f t="shared" si="3"/>
        <v>136.46616541353393</v>
      </c>
      <c r="O49" s="19">
        <f t="shared" si="4"/>
        <v>0</v>
      </c>
      <c r="P49" s="20">
        <f t="shared" si="5"/>
        <v>-6.3909774436089322</v>
      </c>
      <c r="Q49" s="129">
        <f t="shared" si="6"/>
        <v>0.95526315789473748</v>
      </c>
      <c r="R49" s="510"/>
      <c r="S49" s="40">
        <v>0.35902777777777772</v>
      </c>
      <c r="T49" s="40">
        <v>0.39861111111111103</v>
      </c>
      <c r="U49" s="126">
        <f t="shared" si="34"/>
        <v>7.9999999999999716</v>
      </c>
      <c r="V49" s="137">
        <f t="shared" si="33"/>
        <v>56.999999999999957</v>
      </c>
      <c r="W49" s="23"/>
      <c r="X49" s="23"/>
      <c r="Y49" s="26"/>
      <c r="Z49" s="26"/>
      <c r="AA49" s="503"/>
      <c r="AB49" s="504"/>
      <c r="AC49" s="25" t="s">
        <v>79</v>
      </c>
      <c r="AD49" s="25"/>
      <c r="AE49" s="19">
        <f t="shared" si="8"/>
        <v>-89.47368421052488</v>
      </c>
      <c r="AF49" s="129">
        <f t="shared" si="9"/>
        <v>0.95526315789473759</v>
      </c>
      <c r="AG49" s="510"/>
    </row>
    <row r="50" spans="1:33" ht="15.75" customHeight="1">
      <c r="A50" s="513" t="s">
        <v>417</v>
      </c>
      <c r="B50" s="42" t="s">
        <v>93</v>
      </c>
      <c r="C50" s="501" t="s">
        <v>99</v>
      </c>
      <c r="D50" s="502"/>
      <c r="E50" s="42">
        <v>32.020000000000003</v>
      </c>
      <c r="F50" s="138">
        <v>3055</v>
      </c>
      <c r="G50" s="126">
        <f t="shared" si="31"/>
        <v>97821.1</v>
      </c>
      <c r="H50" s="125" t="s">
        <v>79</v>
      </c>
      <c r="I50" s="136">
        <v>11</v>
      </c>
      <c r="J50" s="37">
        <v>3000</v>
      </c>
      <c r="K50" s="17">
        <f t="shared" si="1"/>
        <v>272.72727272727275</v>
      </c>
      <c r="L50" s="136">
        <v>11</v>
      </c>
      <c r="M50" s="18">
        <f t="shared" si="32"/>
        <v>2864.0624999999995</v>
      </c>
      <c r="N50" s="18">
        <f t="shared" si="3"/>
        <v>260.36931818181813</v>
      </c>
      <c r="O50" s="19">
        <f t="shared" si="4"/>
        <v>0</v>
      </c>
      <c r="P50" s="20">
        <f t="shared" si="5"/>
        <v>-12.357954545454618</v>
      </c>
      <c r="Q50" s="129">
        <f t="shared" si="6"/>
        <v>0.95468749999999969</v>
      </c>
      <c r="R50" s="510"/>
      <c r="S50" s="40">
        <v>0.40347222222222212</v>
      </c>
      <c r="T50" s="40">
        <v>0.44791666666666657</v>
      </c>
      <c r="U50" s="126">
        <f t="shared" si="34"/>
        <v>6.9999999999999751</v>
      </c>
      <c r="V50" s="137">
        <f t="shared" si="33"/>
        <v>64.000000000000014</v>
      </c>
      <c r="W50" s="23"/>
      <c r="X50" s="23"/>
      <c r="Y50" s="26"/>
      <c r="Z50" s="26"/>
      <c r="AA50" s="503"/>
      <c r="AB50" s="504"/>
      <c r="AC50" s="25" t="s">
        <v>79</v>
      </c>
      <c r="AD50" s="25"/>
      <c r="AE50" s="19">
        <f t="shared" si="8"/>
        <v>-135.93750000000045</v>
      </c>
      <c r="AF50" s="129">
        <f t="shared" si="9"/>
        <v>0.9546874999999998</v>
      </c>
      <c r="AG50" s="510"/>
    </row>
    <row r="51" spans="1:33" ht="15.75" customHeight="1">
      <c r="A51" s="514" t="s">
        <v>417</v>
      </c>
      <c r="B51" s="42" t="s">
        <v>413</v>
      </c>
      <c r="C51" s="492"/>
      <c r="D51" s="493"/>
      <c r="E51" s="127"/>
      <c r="F51" s="138"/>
      <c r="G51" s="126"/>
      <c r="H51" s="138"/>
      <c r="I51" s="30">
        <v>11.333333333333334</v>
      </c>
      <c r="J51" s="37">
        <v>2666.6666666666665</v>
      </c>
      <c r="K51" s="17">
        <f t="shared" si="1"/>
        <v>235.29411764705881</v>
      </c>
      <c r="L51" s="30">
        <v>11.333333333333334</v>
      </c>
      <c r="M51" s="18">
        <f>AVERAGE(M45:M50)</f>
        <v>2555.3327053913849</v>
      </c>
      <c r="N51" s="17">
        <f t="shared" si="3"/>
        <v>225.47053282865161</v>
      </c>
      <c r="O51" s="19">
        <f t="shared" si="4"/>
        <v>0</v>
      </c>
      <c r="P51" s="20">
        <f t="shared" si="5"/>
        <v>-9.8235848184071983</v>
      </c>
      <c r="Q51" s="129">
        <f t="shared" si="6"/>
        <v>0.95824976452176935</v>
      </c>
      <c r="R51" s="511"/>
      <c r="S51" s="40"/>
      <c r="T51" s="40"/>
      <c r="U51" s="126"/>
      <c r="V51" s="137"/>
      <c r="W51" s="23"/>
      <c r="X51" s="23"/>
      <c r="Y51" s="31">
        <f>SUM(Y45:Y50)</f>
        <v>0</v>
      </c>
      <c r="Z51" s="31">
        <f>SUM(Z45:Z50)</f>
        <v>0</v>
      </c>
      <c r="AA51" s="505"/>
      <c r="AB51" s="506"/>
      <c r="AC51" s="31">
        <f>SUM(AC45:AC50)</f>
        <v>1</v>
      </c>
      <c r="AD51" s="31">
        <f>SUM(AD45:AD50)</f>
        <v>0</v>
      </c>
      <c r="AE51" s="19">
        <f t="shared" si="8"/>
        <v>-111.33396127528158</v>
      </c>
      <c r="AF51" s="129">
        <f t="shared" si="9"/>
        <v>0.95824976452176935</v>
      </c>
      <c r="AG51" s="511"/>
    </row>
    <row r="52" spans="1:33" ht="15.75" customHeight="1">
      <c r="A52" s="507" t="s">
        <v>418</v>
      </c>
      <c r="B52" s="42" t="s">
        <v>100</v>
      </c>
      <c r="C52" s="490" t="s">
        <v>101</v>
      </c>
      <c r="D52" s="490"/>
      <c r="E52" s="42">
        <v>46</v>
      </c>
      <c r="F52" s="46">
        <v>1360</v>
      </c>
      <c r="G52" s="126">
        <f t="shared" ref="G52:G58" si="35">E52*F52</f>
        <v>62560</v>
      </c>
      <c r="H52" s="125" t="s">
        <v>79</v>
      </c>
      <c r="I52" s="136">
        <v>17</v>
      </c>
      <c r="J52" s="37">
        <v>2000</v>
      </c>
      <c r="K52" s="17">
        <f t="shared" si="1"/>
        <v>117.64705882352941</v>
      </c>
      <c r="L52" s="136">
        <v>17</v>
      </c>
      <c r="M52" s="18">
        <f t="shared" ref="M52:M58" si="36">F52/V52*60</f>
        <v>1942.8571428571424</v>
      </c>
      <c r="N52" s="18">
        <f t="shared" si="3"/>
        <v>114.28571428571426</v>
      </c>
      <c r="O52" s="19">
        <f t="shared" si="4"/>
        <v>0</v>
      </c>
      <c r="P52" s="20">
        <f t="shared" si="5"/>
        <v>-3.3613445378151425</v>
      </c>
      <c r="Q52" s="129">
        <f t="shared" si="6"/>
        <v>0.97142857142857131</v>
      </c>
      <c r="R52" s="489">
        <f>Q59</f>
        <v>0.88119516695855904</v>
      </c>
      <c r="S52" s="40">
        <v>0.20833333333333334</v>
      </c>
      <c r="T52" s="40">
        <v>0.23750000000000002</v>
      </c>
      <c r="U52" s="28"/>
      <c r="V52" s="137">
        <f t="shared" ref="V52:V58" si="37">(T52-S52)*24*60</f>
        <v>42.000000000000014</v>
      </c>
      <c r="W52" s="28"/>
      <c r="X52" s="28"/>
      <c r="Y52" s="28"/>
      <c r="Z52" s="28"/>
      <c r="AA52" s="491"/>
      <c r="AB52" s="491"/>
      <c r="AC52" s="25">
        <v>3</v>
      </c>
      <c r="AD52" s="25"/>
      <c r="AE52" s="19">
        <f t="shared" si="8"/>
        <v>-57.142857142857565</v>
      </c>
      <c r="AF52" s="129">
        <f t="shared" si="9"/>
        <v>0.9714285714285712</v>
      </c>
      <c r="AG52" s="489">
        <f>AF59</f>
        <v>0.88119516695855904</v>
      </c>
    </row>
    <row r="53" spans="1:33" ht="15.75" customHeight="1">
      <c r="A53" s="507" t="s">
        <v>418</v>
      </c>
      <c r="B53" s="42" t="s">
        <v>100</v>
      </c>
      <c r="C53" s="490" t="s">
        <v>102</v>
      </c>
      <c r="D53" s="490"/>
      <c r="E53" s="42">
        <v>46</v>
      </c>
      <c r="F53" s="46">
        <v>1490</v>
      </c>
      <c r="G53" s="126">
        <f t="shared" si="35"/>
        <v>68540</v>
      </c>
      <c r="H53" s="125" t="s">
        <v>79</v>
      </c>
      <c r="I53" s="136">
        <v>17</v>
      </c>
      <c r="J53" s="37">
        <v>2000</v>
      </c>
      <c r="K53" s="17">
        <f t="shared" si="1"/>
        <v>117.64705882352941</v>
      </c>
      <c r="L53" s="136">
        <v>17</v>
      </c>
      <c r="M53" s="18">
        <f t="shared" si="36"/>
        <v>1902.1276595744666</v>
      </c>
      <c r="N53" s="18">
        <f t="shared" si="3"/>
        <v>111.8898623279098</v>
      </c>
      <c r="O53" s="19">
        <f t="shared" si="4"/>
        <v>0</v>
      </c>
      <c r="P53" s="20">
        <f t="shared" si="5"/>
        <v>-5.7571964956196098</v>
      </c>
      <c r="Q53" s="129">
        <f t="shared" si="6"/>
        <v>0.95106382978723336</v>
      </c>
      <c r="R53" s="489"/>
      <c r="S53" s="40">
        <v>0.24097222222222223</v>
      </c>
      <c r="T53" s="40">
        <v>0.27361111111111114</v>
      </c>
      <c r="U53" s="126">
        <f t="shared" ref="U53:U58" si="38">IF(S53=TIME(17,0,0),"",(S53-T52)*24*60)</f>
        <v>4.9999999999999822</v>
      </c>
      <c r="V53" s="137">
        <f t="shared" si="37"/>
        <v>47.000000000000036</v>
      </c>
      <c r="W53" s="23"/>
      <c r="X53" s="23"/>
      <c r="Y53" s="23"/>
      <c r="Z53" s="23"/>
      <c r="AA53" s="491"/>
      <c r="AB53" s="491"/>
      <c r="AC53" s="25"/>
      <c r="AD53" s="25"/>
      <c r="AE53" s="19">
        <f t="shared" si="8"/>
        <v>-97.872340425533366</v>
      </c>
      <c r="AF53" s="129">
        <f t="shared" si="9"/>
        <v>0.95106382978723336</v>
      </c>
      <c r="AG53" s="489"/>
    </row>
    <row r="54" spans="1:33" ht="15.75" customHeight="1">
      <c r="A54" s="507" t="s">
        <v>418</v>
      </c>
      <c r="B54" s="42" t="s">
        <v>103</v>
      </c>
      <c r="C54" s="501" t="s">
        <v>104</v>
      </c>
      <c r="D54" s="502"/>
      <c r="E54" s="42">
        <v>51.86</v>
      </c>
      <c r="F54" s="46">
        <v>1092</v>
      </c>
      <c r="G54" s="126">
        <f t="shared" si="35"/>
        <v>56631.12</v>
      </c>
      <c r="H54" s="125" t="s">
        <v>79</v>
      </c>
      <c r="I54" s="136">
        <v>25</v>
      </c>
      <c r="J54" s="37">
        <v>2000</v>
      </c>
      <c r="K54" s="17">
        <f t="shared" si="1"/>
        <v>80</v>
      </c>
      <c r="L54" s="136">
        <v>25</v>
      </c>
      <c r="M54" s="18">
        <f t="shared" si="36"/>
        <v>1284.7058823529417</v>
      </c>
      <c r="N54" s="18">
        <f t="shared" si="3"/>
        <v>51.388235294117663</v>
      </c>
      <c r="O54" s="19">
        <f t="shared" si="4"/>
        <v>0</v>
      </c>
      <c r="P54" s="20">
        <f t="shared" si="5"/>
        <v>-28.611764705882337</v>
      </c>
      <c r="Q54" s="129">
        <f t="shared" si="6"/>
        <v>0.64235294117647079</v>
      </c>
      <c r="R54" s="489"/>
      <c r="S54" s="40">
        <v>0.27708333333333335</v>
      </c>
      <c r="T54" s="40">
        <v>0.3125</v>
      </c>
      <c r="U54" s="126">
        <f t="shared" si="38"/>
        <v>4.9999999999999822</v>
      </c>
      <c r="V54" s="137">
        <f t="shared" si="37"/>
        <v>50.999999999999979</v>
      </c>
      <c r="W54" s="23"/>
      <c r="X54" s="23"/>
      <c r="Y54" s="26"/>
      <c r="Z54" s="26"/>
      <c r="AA54" s="491"/>
      <c r="AB54" s="491"/>
      <c r="AC54" s="25"/>
      <c r="AD54" s="25"/>
      <c r="AE54" s="19">
        <f t="shared" si="8"/>
        <v>-715.29411764705833</v>
      </c>
      <c r="AF54" s="129">
        <f t="shared" si="9"/>
        <v>0.64235294117647079</v>
      </c>
      <c r="AG54" s="489"/>
    </row>
    <row r="55" spans="1:33" ht="15.75" customHeight="1">
      <c r="A55" s="507" t="s">
        <v>418</v>
      </c>
      <c r="B55" s="42" t="s">
        <v>103</v>
      </c>
      <c r="C55" s="130" t="s">
        <v>105</v>
      </c>
      <c r="D55" s="131"/>
      <c r="E55" s="42">
        <v>56.43</v>
      </c>
      <c r="F55" s="46">
        <v>1932</v>
      </c>
      <c r="G55" s="126">
        <f t="shared" si="35"/>
        <v>109022.76</v>
      </c>
      <c r="H55" s="125" t="s">
        <v>79</v>
      </c>
      <c r="I55" s="136">
        <v>22</v>
      </c>
      <c r="J55" s="37">
        <v>2000</v>
      </c>
      <c r="K55" s="17">
        <f t="shared" si="1"/>
        <v>90.909090909090907</v>
      </c>
      <c r="L55" s="136">
        <v>22</v>
      </c>
      <c r="M55" s="18">
        <f t="shared" si="36"/>
        <v>1467.3417721518981</v>
      </c>
      <c r="N55" s="18">
        <f t="shared" si="3"/>
        <v>66.697353279631727</v>
      </c>
      <c r="O55" s="19">
        <f t="shared" si="4"/>
        <v>0</v>
      </c>
      <c r="P55" s="20">
        <f t="shared" si="5"/>
        <v>-24.211737629459179</v>
      </c>
      <c r="Q55" s="129">
        <f t="shared" si="6"/>
        <v>0.73367088607594899</v>
      </c>
      <c r="R55" s="489"/>
      <c r="S55" s="40">
        <v>0.31805555555555554</v>
      </c>
      <c r="T55" s="40">
        <v>0.37291666666666667</v>
      </c>
      <c r="U55" s="126">
        <f t="shared" si="38"/>
        <v>7.9999999999999716</v>
      </c>
      <c r="V55" s="137">
        <f t="shared" si="37"/>
        <v>79.000000000000043</v>
      </c>
      <c r="W55" s="23"/>
      <c r="X55" s="23"/>
      <c r="Y55" s="26"/>
      <c r="Z55" s="26"/>
      <c r="AA55" s="491"/>
      <c r="AB55" s="491"/>
      <c r="AC55" s="25"/>
      <c r="AD55" s="25"/>
      <c r="AE55" s="19">
        <f t="shared" si="8"/>
        <v>-532.65822784810189</v>
      </c>
      <c r="AF55" s="129">
        <f t="shared" si="9"/>
        <v>0.7336708860759491</v>
      </c>
      <c r="AG55" s="489"/>
    </row>
    <row r="56" spans="1:33" ht="15.75" customHeight="1">
      <c r="A56" s="507" t="s">
        <v>418</v>
      </c>
      <c r="B56" s="42" t="s">
        <v>103</v>
      </c>
      <c r="C56" s="130" t="s">
        <v>106</v>
      </c>
      <c r="D56" s="131"/>
      <c r="E56" s="42">
        <v>55.56</v>
      </c>
      <c r="F56" s="46">
        <v>1826</v>
      </c>
      <c r="G56" s="126">
        <f t="shared" si="35"/>
        <v>101452.56</v>
      </c>
      <c r="H56" s="125" t="s">
        <v>79</v>
      </c>
      <c r="I56" s="136">
        <v>17</v>
      </c>
      <c r="J56" s="37">
        <v>2000</v>
      </c>
      <c r="K56" s="17">
        <f t="shared" si="1"/>
        <v>117.64705882352941</v>
      </c>
      <c r="L56" s="136">
        <v>17</v>
      </c>
      <c r="M56" s="18">
        <f t="shared" si="36"/>
        <v>1922.1052631578962</v>
      </c>
      <c r="N56" s="18">
        <f t="shared" si="3"/>
        <v>113.06501547987625</v>
      </c>
      <c r="O56" s="19">
        <f t="shared" si="4"/>
        <v>0</v>
      </c>
      <c r="P56" s="20">
        <f t="shared" si="5"/>
        <v>-4.5820433436531545</v>
      </c>
      <c r="Q56" s="129">
        <f t="shared" si="6"/>
        <v>0.96105263157894816</v>
      </c>
      <c r="R56" s="489"/>
      <c r="S56" s="40">
        <v>0.70833333333333337</v>
      </c>
      <c r="T56" s="40">
        <v>0.74791666666666667</v>
      </c>
      <c r="U56" s="126" t="str">
        <f t="shared" si="38"/>
        <v/>
      </c>
      <c r="V56" s="137">
        <f t="shared" si="37"/>
        <v>56.999999999999957</v>
      </c>
      <c r="W56" s="23"/>
      <c r="X56" s="23"/>
      <c r="Y56" s="26"/>
      <c r="Z56" s="26"/>
      <c r="AA56" s="491"/>
      <c r="AB56" s="491"/>
      <c r="AC56" s="25"/>
      <c r="AD56" s="25"/>
      <c r="AE56" s="19">
        <f t="shared" si="8"/>
        <v>-77.894736842103839</v>
      </c>
      <c r="AF56" s="129">
        <f t="shared" si="9"/>
        <v>0.96105263157894805</v>
      </c>
      <c r="AG56" s="489"/>
    </row>
    <row r="57" spans="1:33" ht="15.75" customHeight="1">
      <c r="A57" s="507" t="s">
        <v>418</v>
      </c>
      <c r="B57" s="42" t="s">
        <v>103</v>
      </c>
      <c r="C57" s="501" t="s">
        <v>107</v>
      </c>
      <c r="D57" s="502"/>
      <c r="E57" s="42">
        <v>55.32</v>
      </c>
      <c r="F57" s="46">
        <v>1308</v>
      </c>
      <c r="G57" s="126">
        <f t="shared" si="35"/>
        <v>72358.559999999998</v>
      </c>
      <c r="H57" s="125" t="s">
        <v>79</v>
      </c>
      <c r="I57" s="136">
        <v>15</v>
      </c>
      <c r="J57" s="37">
        <v>2000</v>
      </c>
      <c r="K57" s="17">
        <f t="shared" si="1"/>
        <v>133.33333333333334</v>
      </c>
      <c r="L57" s="136">
        <v>15</v>
      </c>
      <c r="M57" s="18">
        <f t="shared" si="36"/>
        <v>1914.146341463414</v>
      </c>
      <c r="N57" s="18">
        <f t="shared" si="3"/>
        <v>127.60975609756093</v>
      </c>
      <c r="O57" s="19">
        <f t="shared" si="4"/>
        <v>0</v>
      </c>
      <c r="P57" s="20">
        <f t="shared" si="5"/>
        <v>-5.7235772357724102</v>
      </c>
      <c r="Q57" s="129">
        <f t="shared" si="6"/>
        <v>0.95707317073170695</v>
      </c>
      <c r="R57" s="489"/>
      <c r="S57" s="40">
        <v>0.75277777777777777</v>
      </c>
      <c r="T57" s="40">
        <v>0.78125</v>
      </c>
      <c r="U57" s="126">
        <f t="shared" si="38"/>
        <v>6.9999999999999751</v>
      </c>
      <c r="V57" s="137">
        <f t="shared" si="37"/>
        <v>41.000000000000014</v>
      </c>
      <c r="W57" s="23"/>
      <c r="X57" s="23"/>
      <c r="Y57" s="26"/>
      <c r="Z57" s="26"/>
      <c r="AA57" s="503"/>
      <c r="AB57" s="504"/>
      <c r="AC57" s="25"/>
      <c r="AD57" s="25"/>
      <c r="AE57" s="19">
        <f t="shared" si="8"/>
        <v>-85.853658536585954</v>
      </c>
      <c r="AF57" s="129">
        <f t="shared" si="9"/>
        <v>0.95707317073170706</v>
      </c>
      <c r="AG57" s="489"/>
    </row>
    <row r="58" spans="1:33" ht="15.75" customHeight="1">
      <c r="A58" s="507" t="s">
        <v>418</v>
      </c>
      <c r="B58" s="42" t="s">
        <v>103</v>
      </c>
      <c r="C58" s="501" t="s">
        <v>108</v>
      </c>
      <c r="D58" s="502"/>
      <c r="E58" s="42">
        <v>54.29</v>
      </c>
      <c r="F58" s="46">
        <v>2760</v>
      </c>
      <c r="G58" s="126">
        <f t="shared" si="35"/>
        <v>149840.4</v>
      </c>
      <c r="H58" s="125" t="s">
        <v>79</v>
      </c>
      <c r="I58" s="136">
        <v>20</v>
      </c>
      <c r="J58" s="37">
        <v>2000</v>
      </c>
      <c r="K58" s="17">
        <f t="shared" si="1"/>
        <v>100</v>
      </c>
      <c r="L58" s="136">
        <v>20</v>
      </c>
      <c r="M58" s="18">
        <f t="shared" si="36"/>
        <v>1903.4482758620686</v>
      </c>
      <c r="N58" s="18">
        <f t="shared" si="3"/>
        <v>95.172413793103431</v>
      </c>
      <c r="O58" s="19">
        <f t="shared" si="4"/>
        <v>0</v>
      </c>
      <c r="P58" s="20">
        <f t="shared" si="5"/>
        <v>-4.8275862068965694</v>
      </c>
      <c r="Q58" s="129">
        <f t="shared" si="6"/>
        <v>0.95172413793103428</v>
      </c>
      <c r="R58" s="489"/>
      <c r="S58" s="40">
        <v>0.78680555555555554</v>
      </c>
      <c r="T58" s="40">
        <v>0.84722222222222221</v>
      </c>
      <c r="U58" s="126">
        <f t="shared" si="38"/>
        <v>7.9999999999999716</v>
      </c>
      <c r="V58" s="137">
        <f t="shared" si="37"/>
        <v>87.000000000000014</v>
      </c>
      <c r="W58" s="23"/>
      <c r="X58" s="23"/>
      <c r="Y58" s="26"/>
      <c r="Z58" s="26"/>
      <c r="AA58" s="503"/>
      <c r="AB58" s="504"/>
      <c r="AC58" s="25"/>
      <c r="AD58" s="25"/>
      <c r="AE58" s="19">
        <f t="shared" si="8"/>
        <v>-96.551724137931387</v>
      </c>
      <c r="AF58" s="129">
        <f t="shared" si="9"/>
        <v>0.95172413793103428</v>
      </c>
      <c r="AG58" s="489"/>
    </row>
    <row r="59" spans="1:33">
      <c r="A59" s="508" t="s">
        <v>418</v>
      </c>
      <c r="B59" s="42" t="s">
        <v>413</v>
      </c>
      <c r="C59" s="494"/>
      <c r="D59" s="494"/>
      <c r="E59" s="133"/>
      <c r="F59" s="44"/>
      <c r="G59" s="17"/>
      <c r="H59" s="138"/>
      <c r="I59" s="30">
        <v>19</v>
      </c>
      <c r="J59" s="37">
        <v>2000</v>
      </c>
      <c r="K59" s="17">
        <f t="shared" si="1"/>
        <v>105.26315789473684</v>
      </c>
      <c r="L59" s="30">
        <v>19</v>
      </c>
      <c r="M59" s="18">
        <f>AVERAGE(M52:M58)</f>
        <v>1762.3903339171181</v>
      </c>
      <c r="N59" s="17">
        <f t="shared" si="3"/>
        <v>92.75738599563779</v>
      </c>
      <c r="O59" s="19">
        <f t="shared" si="4"/>
        <v>0</v>
      </c>
      <c r="P59" s="20">
        <f t="shared" si="5"/>
        <v>-12.505771899099045</v>
      </c>
      <c r="Q59" s="129">
        <f t="shared" si="6"/>
        <v>0.88119516695855904</v>
      </c>
      <c r="R59" s="489"/>
      <c r="S59" s="41"/>
      <c r="T59" s="40"/>
      <c r="U59" s="17"/>
      <c r="V59" s="137"/>
      <c r="W59" s="17"/>
      <c r="X59" s="17"/>
      <c r="Y59" s="31">
        <f>SUM(Y52:Y58)</f>
        <v>0</v>
      </c>
      <c r="Z59" s="31">
        <f>SUM(Z52:Z58)</f>
        <v>0</v>
      </c>
      <c r="AA59" s="495"/>
      <c r="AB59" s="495"/>
      <c r="AC59" s="31">
        <f>SUM(AC52:AC58)</f>
        <v>3</v>
      </c>
      <c r="AD59" s="31">
        <f>SUM(AD52:AD58)</f>
        <v>0</v>
      </c>
      <c r="AE59" s="19">
        <f t="shared" si="8"/>
        <v>-237.60966608288186</v>
      </c>
      <c r="AF59" s="129">
        <f t="shared" si="9"/>
        <v>0.88119516695855904</v>
      </c>
      <c r="AG59" s="489"/>
    </row>
    <row r="60" spans="1:33" ht="15.75" customHeight="1">
      <c r="A60" s="499" t="s">
        <v>419</v>
      </c>
      <c r="B60" s="138" t="s">
        <v>100</v>
      </c>
      <c r="C60" s="490" t="s">
        <v>109</v>
      </c>
      <c r="D60" s="490"/>
      <c r="E60" s="42">
        <v>26.97</v>
      </c>
      <c r="F60" s="46">
        <v>2225</v>
      </c>
      <c r="G60" s="126">
        <f t="shared" ref="G60:G65" si="39">E60*F60</f>
        <v>60008.25</v>
      </c>
      <c r="H60" s="125" t="s">
        <v>79</v>
      </c>
      <c r="I60" s="136">
        <v>8</v>
      </c>
      <c r="J60" s="37">
        <v>1500</v>
      </c>
      <c r="K60" s="17">
        <f t="shared" si="1"/>
        <v>187.5</v>
      </c>
      <c r="L60" s="136">
        <v>8</v>
      </c>
      <c r="M60" s="18">
        <f t="shared" ref="M60:M65" si="40">F60/V60*60</f>
        <v>1435.4838709677415</v>
      </c>
      <c r="N60" s="17">
        <f t="shared" si="3"/>
        <v>179.43548387096769</v>
      </c>
      <c r="O60" s="19">
        <f t="shared" si="4"/>
        <v>0</v>
      </c>
      <c r="P60" s="20">
        <f t="shared" si="5"/>
        <v>-8.0645161290323131</v>
      </c>
      <c r="Q60" s="129">
        <f t="shared" si="6"/>
        <v>0.95698924731182766</v>
      </c>
      <c r="R60" s="489">
        <f>Q66</f>
        <v>0.96108825354758831</v>
      </c>
      <c r="S60" s="40">
        <v>0.20833333333333334</v>
      </c>
      <c r="T60" s="40">
        <v>0.2729166666666667</v>
      </c>
      <c r="U60" s="126"/>
      <c r="V60" s="137">
        <f t="shared" ref="V60:V65" si="41">(T60-S60)*24*60</f>
        <v>93.000000000000028</v>
      </c>
      <c r="W60" s="28"/>
      <c r="X60" s="28"/>
      <c r="Y60" s="28"/>
      <c r="Z60" s="28"/>
      <c r="AA60" s="491"/>
      <c r="AB60" s="491"/>
      <c r="AC60" s="25" t="s">
        <v>79</v>
      </c>
      <c r="AD60" s="25"/>
      <c r="AE60" s="19">
        <f t="shared" si="8"/>
        <v>-64.516129032258505</v>
      </c>
      <c r="AF60" s="129">
        <f t="shared" si="9"/>
        <v>0.95698924731182766</v>
      </c>
      <c r="AG60" s="489">
        <f>AF66</f>
        <v>0.96108825354758809</v>
      </c>
    </row>
    <row r="61" spans="1:33" ht="15.75" customHeight="1">
      <c r="A61" s="499" t="s">
        <v>419</v>
      </c>
      <c r="B61" s="138" t="s">
        <v>93</v>
      </c>
      <c r="C61" s="490" t="s">
        <v>110</v>
      </c>
      <c r="D61" s="490"/>
      <c r="E61" s="42">
        <v>26.78</v>
      </c>
      <c r="F61" s="46">
        <v>2330</v>
      </c>
      <c r="G61" s="126">
        <f t="shared" si="39"/>
        <v>62397.4</v>
      </c>
      <c r="H61" s="125" t="s">
        <v>79</v>
      </c>
      <c r="I61" s="136">
        <v>10</v>
      </c>
      <c r="J61" s="37">
        <v>3000</v>
      </c>
      <c r="K61" s="17">
        <f t="shared" si="1"/>
        <v>300</v>
      </c>
      <c r="L61" s="136">
        <v>10</v>
      </c>
      <c r="M61" s="18">
        <f t="shared" si="40"/>
        <v>2853.061224489797</v>
      </c>
      <c r="N61" s="17">
        <f t="shared" si="3"/>
        <v>285.30612244897969</v>
      </c>
      <c r="O61" s="19">
        <f t="shared" si="4"/>
        <v>0</v>
      </c>
      <c r="P61" s="20">
        <f t="shared" si="5"/>
        <v>-14.693877551020307</v>
      </c>
      <c r="Q61" s="129">
        <f t="shared" si="6"/>
        <v>0.95102040816326561</v>
      </c>
      <c r="R61" s="489"/>
      <c r="S61" s="40">
        <v>0.27708333333333335</v>
      </c>
      <c r="T61" s="40">
        <v>0.31111111111111112</v>
      </c>
      <c r="U61" s="126">
        <f t="shared" ref="U61:U65" si="42">(S61-T60)*24*60</f>
        <v>5.9999999999999787</v>
      </c>
      <c r="V61" s="137">
        <f t="shared" si="41"/>
        <v>48.999999999999986</v>
      </c>
      <c r="W61" s="126"/>
      <c r="X61" s="126"/>
      <c r="Y61" s="126"/>
      <c r="Z61" s="126"/>
      <c r="AA61" s="491"/>
      <c r="AB61" s="491"/>
      <c r="AC61" s="25" t="s">
        <v>79</v>
      </c>
      <c r="AD61" s="25"/>
      <c r="AE61" s="19">
        <f t="shared" si="8"/>
        <v>-146.93877551020296</v>
      </c>
      <c r="AF61" s="129">
        <f t="shared" si="9"/>
        <v>0.95102040816326572</v>
      </c>
      <c r="AG61" s="489"/>
    </row>
    <row r="62" spans="1:33" ht="15.75" customHeight="1">
      <c r="A62" s="499" t="s">
        <v>419</v>
      </c>
      <c r="B62" s="138" t="s">
        <v>93</v>
      </c>
      <c r="C62" s="490" t="s">
        <v>111</v>
      </c>
      <c r="D62" s="490"/>
      <c r="E62" s="42">
        <v>37.880000000000003</v>
      </c>
      <c r="F62" s="46">
        <v>2293</v>
      </c>
      <c r="G62" s="126">
        <f t="shared" si="39"/>
        <v>86858.840000000011</v>
      </c>
      <c r="H62" s="125" t="s">
        <v>79</v>
      </c>
      <c r="I62" s="136">
        <v>10</v>
      </c>
      <c r="J62" s="37">
        <v>3000</v>
      </c>
      <c r="K62" s="17">
        <f t="shared" si="1"/>
        <v>300</v>
      </c>
      <c r="L62" s="136">
        <v>10</v>
      </c>
      <c r="M62" s="18">
        <f t="shared" si="40"/>
        <v>2866.2500000000009</v>
      </c>
      <c r="N62" s="17">
        <f t="shared" si="3"/>
        <v>286.62500000000011</v>
      </c>
      <c r="O62" s="19">
        <f t="shared" si="4"/>
        <v>0</v>
      </c>
      <c r="P62" s="20">
        <f t="shared" si="5"/>
        <v>-13.374999999999886</v>
      </c>
      <c r="Q62" s="129">
        <f t="shared" si="6"/>
        <v>0.95541666666666702</v>
      </c>
      <c r="R62" s="489"/>
      <c r="S62" s="40">
        <v>0.31597222222222221</v>
      </c>
      <c r="T62" s="40">
        <v>0.34930555555555554</v>
      </c>
      <c r="U62" s="126">
        <f t="shared" si="42"/>
        <v>6.9999999999999751</v>
      </c>
      <c r="V62" s="137">
        <f t="shared" si="41"/>
        <v>47.999999999999986</v>
      </c>
      <c r="W62" s="126"/>
      <c r="X62" s="126"/>
      <c r="Y62" s="126"/>
      <c r="Z62" s="126"/>
      <c r="AA62" s="491"/>
      <c r="AB62" s="491"/>
      <c r="AC62" s="25" t="s">
        <v>79</v>
      </c>
      <c r="AD62" s="25"/>
      <c r="AE62" s="19">
        <f t="shared" si="8"/>
        <v>-133.74999999999909</v>
      </c>
      <c r="AF62" s="129">
        <f t="shared" si="9"/>
        <v>0.95541666666666702</v>
      </c>
      <c r="AG62" s="489"/>
    </row>
    <row r="63" spans="1:33" ht="15.75" customHeight="1">
      <c r="A63" s="499" t="s">
        <v>419</v>
      </c>
      <c r="B63" s="138" t="s">
        <v>93</v>
      </c>
      <c r="C63" s="490" t="s">
        <v>112</v>
      </c>
      <c r="D63" s="490"/>
      <c r="E63" s="42">
        <v>35.869999999999997</v>
      </c>
      <c r="F63" s="46">
        <v>2805</v>
      </c>
      <c r="G63" s="126">
        <f t="shared" si="39"/>
        <v>100615.34999999999</v>
      </c>
      <c r="H63" s="125" t="s">
        <v>79</v>
      </c>
      <c r="I63" s="136">
        <v>9</v>
      </c>
      <c r="J63" s="37">
        <v>3000</v>
      </c>
      <c r="K63" s="17">
        <f t="shared" si="1"/>
        <v>333.33333333333331</v>
      </c>
      <c r="L63" s="136">
        <v>9</v>
      </c>
      <c r="M63" s="18">
        <f t="shared" si="40"/>
        <v>2901.7241379310326</v>
      </c>
      <c r="N63" s="17">
        <f t="shared" si="3"/>
        <v>322.41379310344809</v>
      </c>
      <c r="O63" s="19">
        <f t="shared" si="4"/>
        <v>0</v>
      </c>
      <c r="P63" s="20">
        <f t="shared" si="5"/>
        <v>-10.919540229885229</v>
      </c>
      <c r="Q63" s="129">
        <f t="shared" si="6"/>
        <v>0.96724137931034426</v>
      </c>
      <c r="R63" s="489"/>
      <c r="S63" s="40">
        <v>0.35416666666666663</v>
      </c>
      <c r="T63" s="40">
        <v>0.39444444444444443</v>
      </c>
      <c r="U63" s="126">
        <f t="shared" si="42"/>
        <v>6.9999999999999751</v>
      </c>
      <c r="V63" s="137">
        <f t="shared" si="41"/>
        <v>58.000000000000036</v>
      </c>
      <c r="W63" s="126"/>
      <c r="X63" s="126"/>
      <c r="Y63" s="126"/>
      <c r="Z63" s="126"/>
      <c r="AA63" s="491"/>
      <c r="AB63" s="491"/>
      <c r="AC63" s="25" t="s">
        <v>79</v>
      </c>
      <c r="AD63" s="25"/>
      <c r="AE63" s="19">
        <f t="shared" si="8"/>
        <v>-98.275862068967399</v>
      </c>
      <c r="AF63" s="129">
        <f t="shared" si="9"/>
        <v>0.96724137931034415</v>
      </c>
      <c r="AG63" s="489"/>
    </row>
    <row r="64" spans="1:33">
      <c r="A64" s="500" t="s">
        <v>419</v>
      </c>
      <c r="B64" s="138" t="s">
        <v>93</v>
      </c>
      <c r="C64" s="490" t="s">
        <v>113</v>
      </c>
      <c r="D64" s="490"/>
      <c r="E64" s="42">
        <v>34.36</v>
      </c>
      <c r="F64" s="46">
        <v>1477</v>
      </c>
      <c r="G64" s="126">
        <f t="shared" si="39"/>
        <v>50749.72</v>
      </c>
      <c r="H64" s="125" t="s">
        <v>79</v>
      </c>
      <c r="I64" s="136">
        <v>10</v>
      </c>
      <c r="J64" s="37">
        <v>3000</v>
      </c>
      <c r="K64" s="17">
        <f t="shared" si="1"/>
        <v>300</v>
      </c>
      <c r="L64" s="136">
        <v>10</v>
      </c>
      <c r="M64" s="18">
        <f t="shared" si="40"/>
        <v>2858.7096774193574</v>
      </c>
      <c r="N64" s="17">
        <f t="shared" si="3"/>
        <v>285.87096774193571</v>
      </c>
      <c r="O64" s="19">
        <f t="shared" si="4"/>
        <v>0</v>
      </c>
      <c r="P64" s="20">
        <f t="shared" si="5"/>
        <v>-14.129032258064285</v>
      </c>
      <c r="Q64" s="129">
        <f t="shared" si="6"/>
        <v>0.95290322580645237</v>
      </c>
      <c r="R64" s="489"/>
      <c r="S64" s="40">
        <v>0.39930555555555552</v>
      </c>
      <c r="T64" s="40">
        <v>0.42083333333333328</v>
      </c>
      <c r="U64" s="126">
        <f t="shared" si="42"/>
        <v>6.9999999999999751</v>
      </c>
      <c r="V64" s="137">
        <f t="shared" si="41"/>
        <v>30.999999999999972</v>
      </c>
      <c r="W64" s="23"/>
      <c r="X64" s="23"/>
      <c r="Y64" s="23"/>
      <c r="Z64" s="23"/>
      <c r="AA64" s="491"/>
      <c r="AB64" s="491"/>
      <c r="AC64" s="25" t="s">
        <v>79</v>
      </c>
      <c r="AD64" s="25"/>
      <c r="AE64" s="19">
        <f t="shared" si="8"/>
        <v>-141.29032258064262</v>
      </c>
      <c r="AF64" s="129">
        <f t="shared" si="9"/>
        <v>0.95290322580645248</v>
      </c>
      <c r="AG64" s="489"/>
    </row>
    <row r="65" spans="1:33" ht="15" customHeight="1">
      <c r="A65" s="500" t="s">
        <v>419</v>
      </c>
      <c r="B65" s="138" t="s">
        <v>93</v>
      </c>
      <c r="C65" s="501" t="s">
        <v>114</v>
      </c>
      <c r="D65" s="502"/>
      <c r="E65" s="42">
        <v>36.14</v>
      </c>
      <c r="F65" s="46">
        <v>1079</v>
      </c>
      <c r="G65" s="126">
        <f t="shared" si="39"/>
        <v>38995.06</v>
      </c>
      <c r="H65" s="125" t="s">
        <v>79</v>
      </c>
      <c r="I65" s="136">
        <v>9</v>
      </c>
      <c r="J65" s="37">
        <v>3000</v>
      </c>
      <c r="K65" s="17">
        <f t="shared" si="1"/>
        <v>333.33333333333331</v>
      </c>
      <c r="L65" s="136">
        <v>9</v>
      </c>
      <c r="M65" s="18">
        <f t="shared" si="40"/>
        <v>2942.727272727273</v>
      </c>
      <c r="N65" s="17">
        <f t="shared" si="3"/>
        <v>326.969696969697</v>
      </c>
      <c r="O65" s="19">
        <f t="shared" si="4"/>
        <v>0</v>
      </c>
      <c r="P65" s="20">
        <f t="shared" si="5"/>
        <v>-6.3636363636363171</v>
      </c>
      <c r="Q65" s="129">
        <f t="shared" si="6"/>
        <v>0.98090909090909106</v>
      </c>
      <c r="R65" s="489"/>
      <c r="S65" s="40">
        <v>0.42430555555555549</v>
      </c>
      <c r="T65" s="40">
        <v>0.43958333333333327</v>
      </c>
      <c r="U65" s="126">
        <f t="shared" si="42"/>
        <v>4.9999999999999822</v>
      </c>
      <c r="V65" s="137">
        <f t="shared" si="41"/>
        <v>22</v>
      </c>
      <c r="W65" s="126"/>
      <c r="X65" s="126"/>
      <c r="Y65" s="132"/>
      <c r="Z65" s="132"/>
      <c r="AA65" s="503"/>
      <c r="AB65" s="504"/>
      <c r="AC65" s="25" t="s">
        <v>79</v>
      </c>
      <c r="AD65" s="25"/>
      <c r="AE65" s="19">
        <f t="shared" si="8"/>
        <v>-57.272727272727025</v>
      </c>
      <c r="AF65" s="129">
        <f t="shared" si="9"/>
        <v>0.98090909090909095</v>
      </c>
      <c r="AG65" s="489"/>
    </row>
    <row r="66" spans="1:33">
      <c r="A66" s="500" t="s">
        <v>419</v>
      </c>
      <c r="B66" s="42" t="s">
        <v>413</v>
      </c>
      <c r="C66" s="494"/>
      <c r="D66" s="494"/>
      <c r="E66" s="133"/>
      <c r="F66" s="44"/>
      <c r="G66" s="17"/>
      <c r="H66" s="138"/>
      <c r="I66" s="30">
        <v>9.3333333333333339</v>
      </c>
      <c r="J66" s="37">
        <v>2750</v>
      </c>
      <c r="K66" s="17">
        <f t="shared" si="1"/>
        <v>294.64285714285711</v>
      </c>
      <c r="L66" s="30">
        <v>9.3333333333333339</v>
      </c>
      <c r="M66" s="18">
        <f>AVERAGE(M60:M65)</f>
        <v>2642.9926972558674</v>
      </c>
      <c r="N66" s="17">
        <f t="shared" si="3"/>
        <v>283.17778899170008</v>
      </c>
      <c r="O66" s="19">
        <f t="shared" si="4"/>
        <v>0</v>
      </c>
      <c r="P66" s="20">
        <f t="shared" si="5"/>
        <v>-11.465068151157027</v>
      </c>
      <c r="Q66" s="129">
        <f t="shared" si="6"/>
        <v>0.96108825354758831</v>
      </c>
      <c r="R66" s="489"/>
      <c r="S66" s="40"/>
      <c r="T66" s="40"/>
      <c r="U66" s="17"/>
      <c r="V66" s="137"/>
      <c r="W66" s="17"/>
      <c r="X66" s="17"/>
      <c r="Y66" s="31">
        <f>SUM(Y60:Y65)</f>
        <v>0</v>
      </c>
      <c r="Z66" s="31">
        <f>SUM(Z60:Z65)</f>
        <v>0</v>
      </c>
      <c r="AA66" s="495"/>
      <c r="AB66" s="495"/>
      <c r="AC66" s="31">
        <f>SUM(AC60:AC65)</f>
        <v>0</v>
      </c>
      <c r="AD66" s="31">
        <f>SUM(AD60:AD65)</f>
        <v>0</v>
      </c>
      <c r="AE66" s="19">
        <f t="shared" si="8"/>
        <v>-107.00730274413263</v>
      </c>
      <c r="AF66" s="129">
        <f t="shared" si="9"/>
        <v>0.96108825354758809</v>
      </c>
      <c r="AG66" s="489"/>
    </row>
    <row r="67" spans="1:33" ht="15.75" customHeight="1">
      <c r="A67" s="496" t="s">
        <v>420</v>
      </c>
      <c r="B67" s="138" t="s">
        <v>80</v>
      </c>
      <c r="C67" s="490" t="s">
        <v>115</v>
      </c>
      <c r="D67" s="490"/>
      <c r="E67" s="42">
        <v>20.2</v>
      </c>
      <c r="F67" s="138">
        <v>1497</v>
      </c>
      <c r="G67" s="126">
        <f t="shared" ref="G67:G71" si="43">E67*F67</f>
        <v>30239.399999999998</v>
      </c>
      <c r="H67" s="125" t="s">
        <v>79</v>
      </c>
      <c r="I67" s="136">
        <v>19</v>
      </c>
      <c r="J67" s="37">
        <v>2400</v>
      </c>
      <c r="K67" s="17">
        <f t="shared" si="1"/>
        <v>126.31578947368421</v>
      </c>
      <c r="L67" s="136">
        <v>19</v>
      </c>
      <c r="M67" s="18">
        <f t="shared" ref="M67:M71" si="44">F67/V67*60</f>
        <v>2303.0769230769233</v>
      </c>
      <c r="N67" s="17">
        <f t="shared" si="3"/>
        <v>121.21457489878544</v>
      </c>
      <c r="O67" s="19">
        <f t="shared" si="4"/>
        <v>0</v>
      </c>
      <c r="P67" s="20">
        <f t="shared" si="5"/>
        <v>-5.1012145748987621</v>
      </c>
      <c r="Q67" s="129">
        <f t="shared" si="6"/>
        <v>0.95961538461538476</v>
      </c>
      <c r="R67" s="489">
        <f>Q72</f>
        <v>0.95581166673545759</v>
      </c>
      <c r="S67" s="40">
        <v>8.3333333333333329E-2</v>
      </c>
      <c r="T67" s="40">
        <v>0.11041666666666666</v>
      </c>
      <c r="U67" s="28"/>
      <c r="V67" s="137">
        <f t="shared" ref="V67:V71" si="45">(T67-S67)*24*60</f>
        <v>39</v>
      </c>
      <c r="W67" s="23">
        <f>T67</f>
        <v>0.11041666666666666</v>
      </c>
      <c r="X67" s="23">
        <f>S68</f>
        <v>0.12986111111111112</v>
      </c>
      <c r="Y67" s="23"/>
      <c r="Z67" s="23"/>
      <c r="AA67" s="491"/>
      <c r="AB67" s="491"/>
      <c r="AC67" s="25">
        <v>6</v>
      </c>
      <c r="AD67" s="25"/>
      <c r="AE67" s="19">
        <f t="shared" si="8"/>
        <v>-96.923076923076678</v>
      </c>
      <c r="AF67" s="129">
        <f t="shared" si="9"/>
        <v>0.95961538461538476</v>
      </c>
      <c r="AG67" s="489">
        <f>AF72</f>
        <v>0.95581166673545759</v>
      </c>
    </row>
    <row r="68" spans="1:33" ht="15.75" customHeight="1">
      <c r="A68" s="497" t="s">
        <v>420</v>
      </c>
      <c r="B68" s="138" t="s">
        <v>80</v>
      </c>
      <c r="C68" s="490" t="s">
        <v>116</v>
      </c>
      <c r="D68" s="490"/>
      <c r="E68" s="42">
        <v>20.52</v>
      </c>
      <c r="F68" s="138">
        <v>2486</v>
      </c>
      <c r="G68" s="126">
        <f t="shared" si="43"/>
        <v>51012.72</v>
      </c>
      <c r="H68" s="125" t="s">
        <v>79</v>
      </c>
      <c r="I68" s="136">
        <v>18</v>
      </c>
      <c r="J68" s="37">
        <v>2400</v>
      </c>
      <c r="K68" s="17">
        <f t="shared" si="1"/>
        <v>133.33333333333334</v>
      </c>
      <c r="L68" s="136">
        <v>18</v>
      </c>
      <c r="M68" s="18">
        <f t="shared" si="44"/>
        <v>2294.7692307692305</v>
      </c>
      <c r="N68" s="17">
        <f t="shared" si="3"/>
        <v>127.48717948717947</v>
      </c>
      <c r="O68" s="19">
        <f t="shared" si="4"/>
        <v>0</v>
      </c>
      <c r="P68" s="20">
        <f t="shared" si="5"/>
        <v>-5.846153846153868</v>
      </c>
      <c r="Q68" s="129">
        <f t="shared" si="6"/>
        <v>0.95615384615384602</v>
      </c>
      <c r="R68" s="489"/>
      <c r="S68" s="40">
        <v>0.12986111111111112</v>
      </c>
      <c r="T68" s="40">
        <v>0.17500000000000002</v>
      </c>
      <c r="U68" s="126">
        <f t="shared" ref="U68:U71" si="46">(S68-T67)*24*60</f>
        <v>28.000000000000021</v>
      </c>
      <c r="V68" s="137">
        <f t="shared" si="45"/>
        <v>65.000000000000014</v>
      </c>
      <c r="W68" s="23"/>
      <c r="X68" s="23"/>
      <c r="Y68" s="23"/>
      <c r="Z68" s="23"/>
      <c r="AA68" s="491"/>
      <c r="AB68" s="491"/>
      <c r="AC68" s="25"/>
      <c r="AD68" s="25"/>
      <c r="AE68" s="19">
        <f t="shared" si="8"/>
        <v>-105.23076923076951</v>
      </c>
      <c r="AF68" s="129">
        <f t="shared" si="9"/>
        <v>0.95615384615384602</v>
      </c>
      <c r="AG68" s="489"/>
    </row>
    <row r="69" spans="1:33" ht="15.75" customHeight="1">
      <c r="A69" s="497" t="s">
        <v>420</v>
      </c>
      <c r="B69" s="138" t="s">
        <v>80</v>
      </c>
      <c r="C69" s="490" t="s">
        <v>117</v>
      </c>
      <c r="D69" s="490"/>
      <c r="E69" s="42">
        <v>24.43</v>
      </c>
      <c r="F69" s="138">
        <v>5531</v>
      </c>
      <c r="G69" s="126">
        <f t="shared" si="43"/>
        <v>135122.32999999999</v>
      </c>
      <c r="H69" s="125" t="s">
        <v>79</v>
      </c>
      <c r="I69" s="136">
        <v>14</v>
      </c>
      <c r="J69" s="37">
        <v>2400</v>
      </c>
      <c r="K69" s="17">
        <f t="shared" ref="K69:K72" si="47">J69/I69</f>
        <v>171.42857142857142</v>
      </c>
      <c r="L69" s="136">
        <v>14</v>
      </c>
      <c r="M69" s="18">
        <f t="shared" si="44"/>
        <v>2288.6896551724139</v>
      </c>
      <c r="N69" s="17">
        <f t="shared" ref="N69:N72" si="48">M69/L69</f>
        <v>163.47783251231527</v>
      </c>
      <c r="O69" s="19">
        <f t="shared" ref="O69:O72" si="49">L69-I69</f>
        <v>0</v>
      </c>
      <c r="P69" s="20">
        <f t="shared" ref="P69:P72" si="50">N69-K69</f>
        <v>-7.9507389162561424</v>
      </c>
      <c r="Q69" s="129">
        <f t="shared" ref="Q69:Q72" si="51">N69/K69</f>
        <v>0.95362068965517255</v>
      </c>
      <c r="R69" s="489"/>
      <c r="S69" s="40">
        <v>0.1791666666666667</v>
      </c>
      <c r="T69" s="40">
        <v>0.27986111111111112</v>
      </c>
      <c r="U69" s="126">
        <f t="shared" si="46"/>
        <v>6.0000000000000187</v>
      </c>
      <c r="V69" s="137">
        <f t="shared" si="45"/>
        <v>144.99999999999997</v>
      </c>
      <c r="W69" s="23"/>
      <c r="X69" s="23"/>
      <c r="Y69" s="23"/>
      <c r="Z69" s="23"/>
      <c r="AA69" s="491"/>
      <c r="AB69" s="491"/>
      <c r="AC69" s="25"/>
      <c r="AD69" s="25"/>
      <c r="AE69" s="19">
        <f t="shared" ref="AE69:AE72" si="52">M69-J69</f>
        <v>-111.31034482758605</v>
      </c>
      <c r="AF69" s="129">
        <f t="shared" ref="AF69:AF72" si="53">M69/J69</f>
        <v>0.95362068965517244</v>
      </c>
      <c r="AG69" s="489"/>
    </row>
    <row r="70" spans="1:33" ht="15.75" customHeight="1">
      <c r="A70" s="497" t="s">
        <v>421</v>
      </c>
      <c r="B70" s="138" t="s">
        <v>80</v>
      </c>
      <c r="C70" s="490" t="s">
        <v>118</v>
      </c>
      <c r="D70" s="490"/>
      <c r="E70" s="42">
        <v>20.21</v>
      </c>
      <c r="F70" s="138">
        <v>3599</v>
      </c>
      <c r="G70" s="126">
        <f t="shared" si="43"/>
        <v>72735.790000000008</v>
      </c>
      <c r="H70" s="125" t="s">
        <v>79</v>
      </c>
      <c r="I70" s="136">
        <v>16</v>
      </c>
      <c r="J70" s="37">
        <v>2400</v>
      </c>
      <c r="K70" s="17">
        <f t="shared" si="47"/>
        <v>150</v>
      </c>
      <c r="L70" s="136">
        <v>16</v>
      </c>
      <c r="M70" s="18">
        <f t="shared" si="44"/>
        <v>2297.2340425531916</v>
      </c>
      <c r="N70" s="17">
        <f t="shared" si="48"/>
        <v>143.57712765957447</v>
      </c>
      <c r="O70" s="19">
        <f t="shared" si="49"/>
        <v>0</v>
      </c>
      <c r="P70" s="20">
        <f t="shared" si="50"/>
        <v>-6.4228723404255277</v>
      </c>
      <c r="Q70" s="129">
        <f t="shared" si="51"/>
        <v>0.95718085106382977</v>
      </c>
      <c r="R70" s="489"/>
      <c r="S70" s="40">
        <v>0.28402777777777777</v>
      </c>
      <c r="T70" s="40">
        <v>0.34930555555555554</v>
      </c>
      <c r="U70" s="126">
        <f t="shared" si="46"/>
        <v>5.9999999999999787</v>
      </c>
      <c r="V70" s="137">
        <f t="shared" si="45"/>
        <v>93.999999999999986</v>
      </c>
      <c r="W70" s="23"/>
      <c r="X70" s="23"/>
      <c r="Y70" s="23"/>
      <c r="Z70" s="23"/>
      <c r="AA70" s="491"/>
      <c r="AB70" s="491"/>
      <c r="AC70" s="25"/>
      <c r="AD70" s="25"/>
      <c r="AE70" s="19">
        <f t="shared" si="52"/>
        <v>-102.76595744680844</v>
      </c>
      <c r="AF70" s="129">
        <f t="shared" si="53"/>
        <v>0.95718085106382977</v>
      </c>
      <c r="AG70" s="489"/>
    </row>
    <row r="71" spans="1:33" ht="15.75" customHeight="1">
      <c r="A71" s="497" t="s">
        <v>421</v>
      </c>
      <c r="B71" s="138" t="s">
        <v>80</v>
      </c>
      <c r="C71" s="490" t="s">
        <v>119</v>
      </c>
      <c r="D71" s="490"/>
      <c r="E71" s="42">
        <v>19.02</v>
      </c>
      <c r="F71" s="138">
        <v>7658</v>
      </c>
      <c r="G71" s="126">
        <f t="shared" si="43"/>
        <v>145655.16</v>
      </c>
      <c r="H71" s="125" t="s">
        <v>79</v>
      </c>
      <c r="I71" s="136">
        <v>15</v>
      </c>
      <c r="J71" s="37">
        <v>2400</v>
      </c>
      <c r="K71" s="17">
        <f t="shared" si="47"/>
        <v>160</v>
      </c>
      <c r="L71" s="136">
        <v>15</v>
      </c>
      <c r="M71" s="18">
        <f t="shared" si="44"/>
        <v>2285.9701492537315</v>
      </c>
      <c r="N71" s="17">
        <f t="shared" si="48"/>
        <v>152.39800995024876</v>
      </c>
      <c r="O71" s="19">
        <f t="shared" si="49"/>
        <v>0</v>
      </c>
      <c r="P71" s="20">
        <f t="shared" si="50"/>
        <v>-7.6019900497512367</v>
      </c>
      <c r="Q71" s="129">
        <f t="shared" si="51"/>
        <v>0.95248756218905473</v>
      </c>
      <c r="R71" s="489"/>
      <c r="S71" s="40">
        <v>0.35486111111111107</v>
      </c>
      <c r="T71" s="40">
        <v>0.49444444444444441</v>
      </c>
      <c r="U71" s="126">
        <f t="shared" si="46"/>
        <v>7.9999999999999716</v>
      </c>
      <c r="V71" s="137">
        <f t="shared" si="45"/>
        <v>201</v>
      </c>
      <c r="W71" s="23"/>
      <c r="X71" s="23"/>
      <c r="Y71" s="23"/>
      <c r="Z71" s="23"/>
      <c r="AA71" s="491"/>
      <c r="AB71" s="491"/>
      <c r="AC71" s="25"/>
      <c r="AD71" s="25"/>
      <c r="AE71" s="19">
        <f t="shared" si="52"/>
        <v>-114.02985074626849</v>
      </c>
      <c r="AF71" s="129">
        <f t="shared" si="53"/>
        <v>0.95248756218905484</v>
      </c>
      <c r="AG71" s="489"/>
    </row>
    <row r="72" spans="1:33" ht="16.5" customHeight="1">
      <c r="A72" s="498" t="s">
        <v>421</v>
      </c>
      <c r="B72" s="42" t="s">
        <v>408</v>
      </c>
      <c r="C72" s="492"/>
      <c r="D72" s="493"/>
      <c r="E72" s="133"/>
      <c r="F72" s="44"/>
      <c r="G72" s="17"/>
      <c r="H72" s="138"/>
      <c r="I72" s="30">
        <v>16.399999999999999</v>
      </c>
      <c r="J72" s="37">
        <v>2400</v>
      </c>
      <c r="K72" s="17">
        <f t="shared" si="47"/>
        <v>146.34146341463415</v>
      </c>
      <c r="L72" s="30">
        <v>16.399999999999999</v>
      </c>
      <c r="M72" s="18">
        <f>AVERAGE(M67:M71)</f>
        <v>2293.9480001650982</v>
      </c>
      <c r="N72" s="17">
        <f t="shared" si="48"/>
        <v>139.87487805884746</v>
      </c>
      <c r="O72" s="19">
        <f t="shared" si="49"/>
        <v>0</v>
      </c>
      <c r="P72" s="20">
        <f t="shared" si="50"/>
        <v>-6.466585355786691</v>
      </c>
      <c r="Q72" s="129">
        <f t="shared" si="51"/>
        <v>0.95581166673545759</v>
      </c>
      <c r="R72" s="489"/>
      <c r="S72" s="40"/>
      <c r="T72" s="40"/>
      <c r="U72" s="17"/>
      <c r="V72" s="137"/>
      <c r="W72" s="17"/>
      <c r="X72" s="17"/>
      <c r="Y72" s="31">
        <f>SUM(Y67:Y71)</f>
        <v>0</v>
      </c>
      <c r="Z72" s="31">
        <f>SUM(Z67:Z71)</f>
        <v>0</v>
      </c>
      <c r="AA72" s="495"/>
      <c r="AB72" s="495"/>
      <c r="AC72" s="31">
        <f>SUM(AC67:AC71)</f>
        <v>6</v>
      </c>
      <c r="AD72" s="31">
        <f>SUM(AD67:AD71)</f>
        <v>0</v>
      </c>
      <c r="AE72" s="19">
        <f t="shared" si="52"/>
        <v>-106.05199983490184</v>
      </c>
      <c r="AF72" s="129">
        <f t="shared" si="53"/>
        <v>0.95581166673545759</v>
      </c>
      <c r="AG72" s="489"/>
    </row>
    <row r="73" spans="1:33">
      <c r="D73" s="33"/>
      <c r="E73" s="33"/>
    </row>
  </sheetData>
  <mergeCells count="195">
    <mergeCell ref="AA70:AB70"/>
    <mergeCell ref="C71:D71"/>
    <mergeCell ref="AA71:AB71"/>
    <mergeCell ref="A67:A72"/>
    <mergeCell ref="C67:D67"/>
    <mergeCell ref="R67:R72"/>
    <mergeCell ref="AA67:AB67"/>
    <mergeCell ref="AG67:AG72"/>
    <mergeCell ref="C68:D68"/>
    <mergeCell ref="AA68:AB68"/>
    <mergeCell ref="C69:D69"/>
    <mergeCell ref="AA69:AB69"/>
    <mergeCell ref="C70:D70"/>
    <mergeCell ref="C72:D72"/>
    <mergeCell ref="AA72:AB72"/>
    <mergeCell ref="A60:A66"/>
    <mergeCell ref="C60:D60"/>
    <mergeCell ref="R60:R66"/>
    <mergeCell ref="AA60:AB60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57:D57"/>
    <mergeCell ref="AA57:AB57"/>
    <mergeCell ref="C58:D58"/>
    <mergeCell ref="AA58:AB58"/>
    <mergeCell ref="C59:D59"/>
    <mergeCell ref="AA59:AB59"/>
    <mergeCell ref="A52:A59"/>
    <mergeCell ref="C52:D52"/>
    <mergeCell ref="R52:R59"/>
    <mergeCell ref="AA52:AB52"/>
    <mergeCell ref="A45:A51"/>
    <mergeCell ref="C45:D45"/>
    <mergeCell ref="R45:R51"/>
    <mergeCell ref="AA45:AB45"/>
    <mergeCell ref="AA50:AB50"/>
    <mergeCell ref="C51:D51"/>
    <mergeCell ref="AA51:AB51"/>
    <mergeCell ref="AG52:AG59"/>
    <mergeCell ref="C53:D53"/>
    <mergeCell ref="AA53:AB53"/>
    <mergeCell ref="C54:D54"/>
    <mergeCell ref="AA54:AB54"/>
    <mergeCell ref="AA55:AB55"/>
    <mergeCell ref="AG45:AG51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0:D50"/>
    <mergeCell ref="AA56:AB56"/>
    <mergeCell ref="C42:D42"/>
    <mergeCell ref="AA42:AB42"/>
    <mergeCell ref="C43:D43"/>
    <mergeCell ref="AA43:AB43"/>
    <mergeCell ref="A37:A44"/>
    <mergeCell ref="C37:D37"/>
    <mergeCell ref="R37:R44"/>
    <mergeCell ref="AA37:AB37"/>
    <mergeCell ref="C44:D44"/>
    <mergeCell ref="AA44:AB44"/>
    <mergeCell ref="A31:A36"/>
    <mergeCell ref="C31:D31"/>
    <mergeCell ref="R31:R36"/>
    <mergeCell ref="AA31:AB31"/>
    <mergeCell ref="AA36:AB36"/>
    <mergeCell ref="AG37:AG44"/>
    <mergeCell ref="C38:D38"/>
    <mergeCell ref="AA38:AB38"/>
    <mergeCell ref="C39:D39"/>
    <mergeCell ref="AA39:AB39"/>
    <mergeCell ref="C40:D40"/>
    <mergeCell ref="AG31:AG36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40:AB40"/>
    <mergeCell ref="C41:D41"/>
    <mergeCell ref="AA41:AB41"/>
    <mergeCell ref="C21:D21"/>
    <mergeCell ref="AA21:AB21"/>
    <mergeCell ref="A22:A30"/>
    <mergeCell ref="C22:D22"/>
    <mergeCell ref="R22:R30"/>
    <mergeCell ref="AA22:AB22"/>
    <mergeCell ref="AA27:AB27"/>
    <mergeCell ref="C28:D28"/>
    <mergeCell ref="AG22:AG30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A28:AB28"/>
    <mergeCell ref="C29:D29"/>
    <mergeCell ref="AA29:AB29"/>
    <mergeCell ref="C30:D30"/>
    <mergeCell ref="AA30:AB30"/>
    <mergeCell ref="AG9:AG11"/>
    <mergeCell ref="C10:D10"/>
    <mergeCell ref="AA10:AB10"/>
    <mergeCell ref="C11:D11"/>
    <mergeCell ref="AA11:AB11"/>
    <mergeCell ref="A12:A21"/>
    <mergeCell ref="C12:D12"/>
    <mergeCell ref="R12:R21"/>
    <mergeCell ref="AA12:AB12"/>
    <mergeCell ref="AG12:AG21"/>
    <mergeCell ref="C16:D16"/>
    <mergeCell ref="AA16:AB16"/>
    <mergeCell ref="C17:D17"/>
    <mergeCell ref="AA17:AB17"/>
    <mergeCell ref="AA18:AB18"/>
    <mergeCell ref="AA19:AB19"/>
    <mergeCell ref="C13:D13"/>
    <mergeCell ref="AA13:AB13"/>
    <mergeCell ref="C14:D14"/>
    <mergeCell ref="AA14:AB14"/>
    <mergeCell ref="C15:D15"/>
    <mergeCell ref="AA15:AB15"/>
    <mergeCell ref="C20:D20"/>
    <mergeCell ref="AA20:AB20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0 O63:O72 O5:O9 O11:O13 O21:O57">
    <cfRule type="cellIs" dxfId="269" priority="55" operator="greaterThan">
      <formula>0</formula>
    </cfRule>
  </conditionalFormatting>
  <conditionalFormatting sqref="P5:P7 P63:P65 AE63:AE65 P67:P71 P31:P35 P60 P9 P11:P13 P22:P29 P52:P57 P37:P50 AE5:AE60 AE67:AE72">
    <cfRule type="cellIs" dxfId="268" priority="59" operator="lessThan">
      <formula>0</formula>
    </cfRule>
  </conditionalFormatting>
  <conditionalFormatting sqref="AF63:AF65 Q59:Q60 Q63:Q72 Q5:Q9 Q11:Q13 Q21:Q57 AF5:AF60 AF67:AF72">
    <cfRule type="cellIs" dxfId="267" priority="56" operator="greaterThan">
      <formula>1</formula>
    </cfRule>
    <cfRule type="cellIs" dxfId="266" priority="57" operator="lessThan">
      <formula>0.8</formula>
    </cfRule>
  </conditionalFormatting>
  <conditionalFormatting sqref="AG12:AG13 R12:R13 AG63 R21:R27 AG21:AG27 AG59:AG60 R59:R60 R63:R72 AG5:AG9 R5:R9 AG30:AG57 R30:R57">
    <cfRule type="cellIs" dxfId="265" priority="61" operator="lessThan">
      <formula>0.8</formula>
    </cfRule>
  </conditionalFormatting>
  <conditionalFormatting sqref="AG45">
    <cfRule type="cellIs" dxfId="264" priority="63" operator="lessThan">
      <formula>0.8</formula>
    </cfRule>
  </conditionalFormatting>
  <conditionalFormatting sqref="AG22:AG27">
    <cfRule type="cellIs" dxfId="263" priority="60" operator="lessThan">
      <formula>0.8</formula>
    </cfRule>
  </conditionalFormatting>
  <conditionalFormatting sqref="AG31">
    <cfRule type="cellIs" dxfId="262" priority="62" operator="lessThan">
      <formula>0.8</formula>
    </cfRule>
  </conditionalFormatting>
  <conditionalFormatting sqref="AG37:AG43">
    <cfRule type="cellIs" dxfId="261" priority="58" operator="lessThan">
      <formula>0.8</formula>
    </cfRule>
  </conditionalFormatting>
  <conditionalFormatting sqref="AE66">
    <cfRule type="cellIs" dxfId="260" priority="54" operator="lessThan">
      <formula>0</formula>
    </cfRule>
  </conditionalFormatting>
  <conditionalFormatting sqref="AF66">
    <cfRule type="cellIs" dxfId="259" priority="52" operator="greaterThan">
      <formula>1</formula>
    </cfRule>
    <cfRule type="cellIs" dxfId="258" priority="53" operator="lessThan">
      <formula>0.8</formula>
    </cfRule>
  </conditionalFormatting>
  <conditionalFormatting sqref="O14:O15">
    <cfRule type="cellIs" dxfId="257" priority="47" operator="greaterThan">
      <formula>0</formula>
    </cfRule>
  </conditionalFormatting>
  <conditionalFormatting sqref="P14:P15">
    <cfRule type="cellIs" dxfId="256" priority="50" operator="lessThan">
      <formula>0</formula>
    </cfRule>
  </conditionalFormatting>
  <conditionalFormatting sqref="Q14:Q15">
    <cfRule type="cellIs" dxfId="255" priority="48" operator="greaterThan">
      <formula>1</formula>
    </cfRule>
    <cfRule type="cellIs" dxfId="254" priority="49" operator="lessThan">
      <formula>0.8</formula>
    </cfRule>
  </conditionalFormatting>
  <conditionalFormatting sqref="R14:R15 AG14:AG15">
    <cfRule type="cellIs" dxfId="253" priority="51" operator="lessThan">
      <formula>0.8</formula>
    </cfRule>
  </conditionalFormatting>
  <conditionalFormatting sqref="O10">
    <cfRule type="cellIs" dxfId="252" priority="43" operator="greaterThan">
      <formula>0</formula>
    </cfRule>
  </conditionalFormatting>
  <conditionalFormatting sqref="P10">
    <cfRule type="cellIs" dxfId="251" priority="46" operator="lessThan">
      <formula>0</formula>
    </cfRule>
  </conditionalFormatting>
  <conditionalFormatting sqref="Q10">
    <cfRule type="cellIs" dxfId="250" priority="44" operator="greaterThan">
      <formula>1</formula>
    </cfRule>
    <cfRule type="cellIs" dxfId="249" priority="45" operator="lessThan">
      <formula>0.8</formula>
    </cfRule>
  </conditionalFormatting>
  <conditionalFormatting sqref="O58">
    <cfRule type="cellIs" dxfId="248" priority="38" operator="greaterThan">
      <formula>0</formula>
    </cfRule>
  </conditionalFormatting>
  <conditionalFormatting sqref="P58">
    <cfRule type="cellIs" dxfId="247" priority="41" operator="lessThan">
      <formula>0</formula>
    </cfRule>
  </conditionalFormatting>
  <conditionalFormatting sqref="Q58">
    <cfRule type="cellIs" dxfId="246" priority="39" operator="greaterThan">
      <formula>1</formula>
    </cfRule>
    <cfRule type="cellIs" dxfId="245" priority="40" operator="lessThan">
      <formula>0.8</formula>
    </cfRule>
  </conditionalFormatting>
  <conditionalFormatting sqref="R58 AG58">
    <cfRule type="cellIs" dxfId="244" priority="42" operator="lessThan">
      <formula>0.8</formula>
    </cfRule>
  </conditionalFormatting>
  <conditionalFormatting sqref="AG29 R29">
    <cfRule type="cellIs" dxfId="243" priority="37" operator="lessThan">
      <formula>0.8</formula>
    </cfRule>
  </conditionalFormatting>
  <conditionalFormatting sqref="O62">
    <cfRule type="cellIs" dxfId="242" priority="32" operator="greaterThan">
      <formula>0</formula>
    </cfRule>
  </conditionalFormatting>
  <conditionalFormatting sqref="P62 AE62">
    <cfRule type="cellIs" dxfId="241" priority="35" operator="lessThan">
      <formula>0</formula>
    </cfRule>
  </conditionalFormatting>
  <conditionalFormatting sqref="Q62 AF62">
    <cfRule type="cellIs" dxfId="240" priority="33" operator="greaterThan">
      <formula>1</formula>
    </cfRule>
    <cfRule type="cellIs" dxfId="239" priority="34" operator="lessThan">
      <formula>0.8</formula>
    </cfRule>
  </conditionalFormatting>
  <conditionalFormatting sqref="R62 AG62">
    <cfRule type="cellIs" dxfId="238" priority="36" operator="lessThan">
      <formula>0.8</formula>
    </cfRule>
  </conditionalFormatting>
  <conditionalFormatting sqref="O16:O17">
    <cfRule type="cellIs" dxfId="237" priority="27" operator="greaterThan">
      <formula>0</formula>
    </cfRule>
  </conditionalFormatting>
  <conditionalFormatting sqref="P16:P17">
    <cfRule type="cellIs" dxfId="236" priority="30" operator="lessThan">
      <formula>0</formula>
    </cfRule>
  </conditionalFormatting>
  <conditionalFormatting sqref="Q16:Q17">
    <cfRule type="cellIs" dxfId="235" priority="28" operator="greaterThan">
      <formula>1</formula>
    </cfRule>
    <cfRule type="cellIs" dxfId="234" priority="29" operator="lessThan">
      <formula>0.8</formula>
    </cfRule>
  </conditionalFormatting>
  <conditionalFormatting sqref="R16:R17 AG16:AG17">
    <cfRule type="cellIs" dxfId="233" priority="31" operator="lessThan">
      <formula>0.8</formula>
    </cfRule>
  </conditionalFormatting>
  <conditionalFormatting sqref="R28 AG28">
    <cfRule type="cellIs" dxfId="232" priority="26" operator="lessThan">
      <formula>0.8</formula>
    </cfRule>
  </conditionalFormatting>
  <conditionalFormatting sqref="AG28">
    <cfRule type="cellIs" dxfId="231" priority="25" operator="lessThan">
      <formula>0.8</formula>
    </cfRule>
  </conditionalFormatting>
  <conditionalFormatting sqref="O61">
    <cfRule type="cellIs" dxfId="230" priority="20" operator="greaterThan">
      <formula>0</formula>
    </cfRule>
  </conditionalFormatting>
  <conditionalFormatting sqref="P61 AE61">
    <cfRule type="cellIs" dxfId="229" priority="23" operator="lessThan">
      <formula>0</formula>
    </cfRule>
  </conditionalFormatting>
  <conditionalFormatting sqref="Q61 AF61">
    <cfRule type="cellIs" dxfId="228" priority="21" operator="greaterThan">
      <formula>1</formula>
    </cfRule>
    <cfRule type="cellIs" dxfId="227" priority="22" operator="lessThan">
      <formula>0.8</formula>
    </cfRule>
  </conditionalFormatting>
  <conditionalFormatting sqref="R61 AG61">
    <cfRule type="cellIs" dxfId="226" priority="24" operator="lessThan">
      <formula>0.8</formula>
    </cfRule>
  </conditionalFormatting>
  <conditionalFormatting sqref="O18">
    <cfRule type="cellIs" dxfId="225" priority="15" operator="greaterThan">
      <formula>0</formula>
    </cfRule>
  </conditionalFormatting>
  <conditionalFormatting sqref="P18">
    <cfRule type="cellIs" dxfId="224" priority="18" operator="lessThan">
      <formula>0</formula>
    </cfRule>
  </conditionalFormatting>
  <conditionalFormatting sqref="Q18">
    <cfRule type="cellIs" dxfId="223" priority="16" operator="greaterThan">
      <formula>1</formula>
    </cfRule>
    <cfRule type="cellIs" dxfId="222" priority="17" operator="lessThan">
      <formula>0.8</formula>
    </cfRule>
  </conditionalFormatting>
  <conditionalFormatting sqref="AG18 R18">
    <cfRule type="cellIs" dxfId="221" priority="19" operator="lessThan">
      <formula>0.8</formula>
    </cfRule>
  </conditionalFormatting>
  <conditionalFormatting sqref="O19:O20">
    <cfRule type="cellIs" dxfId="220" priority="10" operator="greaterThan">
      <formula>0</formula>
    </cfRule>
  </conditionalFormatting>
  <conditionalFormatting sqref="P19:P20">
    <cfRule type="cellIs" dxfId="219" priority="13" operator="lessThan">
      <formula>0</formula>
    </cfRule>
  </conditionalFormatting>
  <conditionalFormatting sqref="Q19:Q20">
    <cfRule type="cellIs" dxfId="218" priority="11" operator="greaterThan">
      <formula>1</formula>
    </cfRule>
    <cfRule type="cellIs" dxfId="217" priority="12" operator="lessThan">
      <formula>0.8</formula>
    </cfRule>
  </conditionalFormatting>
  <conditionalFormatting sqref="AG19 R19">
    <cfRule type="cellIs" dxfId="216" priority="14" operator="lessThan">
      <formula>0.8</formula>
    </cfRule>
  </conditionalFormatting>
  <conditionalFormatting sqref="P8">
    <cfRule type="cellIs" dxfId="215" priority="9" operator="lessThan">
      <formula>0</formula>
    </cfRule>
  </conditionalFormatting>
  <conditionalFormatting sqref="P21">
    <cfRule type="cellIs" dxfId="214" priority="8" operator="lessThan">
      <formula>0</formula>
    </cfRule>
  </conditionalFormatting>
  <conditionalFormatting sqref="P30">
    <cfRule type="cellIs" dxfId="213" priority="7" operator="lessThan">
      <formula>0</formula>
    </cfRule>
  </conditionalFormatting>
  <conditionalFormatting sqref="P36">
    <cfRule type="cellIs" dxfId="212" priority="6" operator="lessThan">
      <formula>0</formula>
    </cfRule>
  </conditionalFormatting>
  <conditionalFormatting sqref="P51">
    <cfRule type="cellIs" dxfId="211" priority="5" operator="lessThan">
      <formula>0</formula>
    </cfRule>
  </conditionalFormatting>
  <conditionalFormatting sqref="P59">
    <cfRule type="cellIs" dxfId="210" priority="4" operator="lessThan">
      <formula>0</formula>
    </cfRule>
  </conditionalFormatting>
  <conditionalFormatting sqref="P66">
    <cfRule type="cellIs" dxfId="209" priority="3" operator="lessThan">
      <formula>0</formula>
    </cfRule>
  </conditionalFormatting>
  <conditionalFormatting sqref="P72">
    <cfRule type="cellIs" dxfId="208" priority="2" operator="lessThan">
      <formula>0</formula>
    </cfRule>
  </conditionalFormatting>
  <conditionalFormatting sqref="AG20 R20">
    <cfRule type="cellIs" dxfId="207" priority="1" operator="lessThan">
      <formula>0.8</formula>
    </cfRule>
  </conditionalFormatting>
  <dataValidations count="1">
    <dataValidation type="list" allowBlank="1" showInputMessage="1" showErrorMessage="1" sqref="AB8 AA5:AB7 AB64:AB65 AA8:AA65 AB10:AB60 AA66:AB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N6" sqref="N6:N8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207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208</v>
      </c>
      <c r="C3" s="478" t="str">
        <f>TEXT('0102 4度C'!A2,"yyyy.mm.ddaaaa")</f>
        <v>2026.01.02星期五</v>
      </c>
      <c r="D3" s="479"/>
      <c r="E3" s="56" t="s">
        <v>209</v>
      </c>
      <c r="F3" s="480">
        <f>'0102 4度C'!D1</f>
        <v>124779</v>
      </c>
      <c r="G3" s="481"/>
      <c r="H3" s="56" t="s">
        <v>210</v>
      </c>
      <c r="I3" s="482">
        <f>'0102 4度C'!F1</f>
        <v>4354862.76</v>
      </c>
      <c r="J3" s="483"/>
      <c r="K3" s="57"/>
      <c r="L3" s="58"/>
      <c r="M3" s="59"/>
      <c r="N3" s="59"/>
    </row>
    <row r="4" spans="2:17" ht="28.5" customHeight="1">
      <c r="B4" s="484" t="s">
        <v>211</v>
      </c>
      <c r="C4" s="470" t="s">
        <v>212</v>
      </c>
      <c r="D4" s="471"/>
      <c r="E4" s="487" t="s">
        <v>213</v>
      </c>
      <c r="F4" s="488"/>
      <c r="G4" s="487" t="s">
        <v>214</v>
      </c>
      <c r="H4" s="488"/>
      <c r="I4" s="487" t="s">
        <v>215</v>
      </c>
      <c r="J4" s="488"/>
      <c r="K4" s="468" t="s">
        <v>216</v>
      </c>
      <c r="L4" s="469"/>
      <c r="M4" s="469" t="s">
        <v>217</v>
      </c>
      <c r="N4" s="469"/>
    </row>
    <row r="5" spans="2:17" ht="28.5" customHeight="1">
      <c r="B5" s="485"/>
      <c r="C5" s="470" t="s">
        <v>218</v>
      </c>
      <c r="D5" s="471"/>
      <c r="E5" s="470" t="s">
        <v>219</v>
      </c>
      <c r="F5" s="471"/>
      <c r="G5" s="472" t="s">
        <v>220</v>
      </c>
      <c r="H5" s="473"/>
      <c r="I5" s="474" t="s">
        <v>221</v>
      </c>
      <c r="J5" s="475"/>
      <c r="K5" s="60" t="s">
        <v>222</v>
      </c>
      <c r="L5" s="61" t="s">
        <v>223</v>
      </c>
      <c r="M5" s="60" t="s">
        <v>224</v>
      </c>
      <c r="N5" s="61" t="s">
        <v>225</v>
      </c>
    </row>
    <row r="6" spans="2:17" ht="28.5" customHeight="1">
      <c r="B6" s="485"/>
      <c r="C6" s="470" t="s">
        <v>144</v>
      </c>
      <c r="D6" s="471"/>
      <c r="E6" s="462">
        <f>AVERAGE(D13:M13)</f>
        <v>147.43245549637913</v>
      </c>
      <c r="F6" s="463">
        <f>AVERAGE(D31:O31,D13:J13)</f>
        <v>151.20143452117691</v>
      </c>
      <c r="G6" s="464">
        <f>AVERAGE(D13:J13)</f>
        <v>151.20143452117691</v>
      </c>
      <c r="H6" s="465"/>
      <c r="I6" s="464">
        <f>AVERAGE(K13:M13)</f>
        <v>138.63817110518434</v>
      </c>
      <c r="J6" s="465"/>
      <c r="K6" s="466">
        <f>'0102 4度C'!Y2</f>
        <v>0</v>
      </c>
      <c r="L6" s="451">
        <f>'0102 4度C'!Z2</f>
        <v>0</v>
      </c>
      <c r="M6" s="467">
        <f>'0102 4度C'!AC2</f>
        <v>28</v>
      </c>
      <c r="N6" s="451">
        <f>'0102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140.67038074817896</v>
      </c>
      <c r="F7" s="455">
        <f>AVERAGE(D32:O32,D14:J14)</f>
        <v>144.07474005194999</v>
      </c>
      <c r="G7" s="456">
        <f>AVERAGE(D14:J14)</f>
        <v>144.07474005194999</v>
      </c>
      <c r="H7" s="457"/>
      <c r="I7" s="456">
        <f>AVERAGE(K14:M14)</f>
        <v>132.7268757060466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0.9515421036405769</v>
      </c>
      <c r="F8" s="459">
        <f>AVERAGE(D15:J15,D33:O33)</f>
        <v>0.94908747398724835</v>
      </c>
      <c r="G8" s="460">
        <f>AVERAGE(D15:J15)</f>
        <v>0.94908747398724835</v>
      </c>
      <c r="H8" s="461"/>
      <c r="I8" s="460">
        <f>AVERAGE(K15:M15)</f>
        <v>0.95726957283167657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226</v>
      </c>
      <c r="N9" s="59"/>
      <c r="O9" s="59"/>
      <c r="P9" s="59"/>
      <c r="Q9" s="59"/>
    </row>
    <row r="10" spans="2:17" ht="30" customHeight="1">
      <c r="B10" s="434" t="s">
        <v>227</v>
      </c>
      <c r="C10" s="435"/>
      <c r="D10" s="436" t="s">
        <v>228</v>
      </c>
      <c r="E10" s="437"/>
      <c r="F10" s="437"/>
      <c r="G10" s="437"/>
      <c r="H10" s="437"/>
      <c r="I10" s="437"/>
      <c r="J10" s="438"/>
      <c r="K10" s="439" t="s">
        <v>229</v>
      </c>
      <c r="L10" s="440"/>
      <c r="M10" s="441"/>
      <c r="P10" s="65"/>
      <c r="Q10" s="65"/>
    </row>
    <row r="11" spans="2:17" ht="17.25" customHeight="1">
      <c r="B11" s="442" t="s">
        <v>230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231</v>
      </c>
      <c r="C13" s="72" t="s">
        <v>232</v>
      </c>
      <c r="D13" s="73">
        <f>SUMIFS('0102 4度C'!$K:$K,'0102 4度C'!$A:$A,"新豐6線",'0102 4度C'!$B:$B,"平均")</f>
        <v>117.64705882352941</v>
      </c>
      <c r="E13" s="74">
        <f>SUMIFS('0102 4度C'!$K:$K,'0102 4度C'!$A:$A,"新豐2線",'0102 4度C'!$B:$B,"平均")</f>
        <v>83.333333333333329</v>
      </c>
      <c r="F13" s="75">
        <f>SUMIFS('0102 4度C'!$K:$K,'0102 4度C'!$A:$A,"新豐5線",'0102 4度C'!$B:$B,"平均")</f>
        <v>105.0420168067227</v>
      </c>
      <c r="G13" s="75">
        <f>SUMIFS('0102 4度C'!$K:$K,'0102 4度C'!$A:$A,"新豐7線",'0102 4度C'!$B:$B,"平均")</f>
        <v>117.1875</v>
      </c>
      <c r="H13" s="75">
        <f>SUMIFS('0102 4度C'!$K:$K,'0102 4度C'!$A:$A,"新豐3線",'0102 4度C'!$B:$B,"平均")</f>
        <v>235.29411764705881</v>
      </c>
      <c r="I13" s="75">
        <f>SUMIFS('0102 4度C'!$K:$K,'0102 4度C'!$A:$A,"新豐1線",'0102 4度C'!$B:$B,"平均")</f>
        <v>105.26315789473684</v>
      </c>
      <c r="J13" s="76">
        <f>SUMIFS('0102 4度C'!$K:$K,'0102 4度C'!$A:$A,"新豐10線",'0102 4度C'!$B:$B,"平均")</f>
        <v>294.64285714285711</v>
      </c>
      <c r="K13" s="77">
        <f>SUMIFS('0102 4度C'!$K:$K,'0102 4度C'!$A:$A,"新豐8線",'0102 4度C'!$B:$B,"平均")</f>
        <v>131.86813186813188</v>
      </c>
      <c r="L13" s="78">
        <f>SUMIFS('0102 4度C'!$K:$K,'0102 4度C'!$A:$A,"新豐9線",'0102 4度C'!$B:$B,"平均")</f>
        <v>137.70491803278691</v>
      </c>
      <c r="M13" s="76">
        <f>SUMIFS('0102 4度C'!$K:$K,'0102 4度C'!$A:$A,"新豐4線",'0102 4度C'!$B:$B,"平均")</f>
        <v>146.34146341463415</v>
      </c>
    </row>
    <row r="14" spans="2:17" ht="39.6" customHeight="1">
      <c r="B14" s="447"/>
      <c r="C14" s="79" t="s">
        <v>233</v>
      </c>
      <c r="D14" s="80">
        <f>SUMIFS('0102 4度C'!$N:$N,'0102 4度C'!$A:$A,"新豐6線",'0102 4度C'!$B:$B,"平均")</f>
        <v>112.77124597067208</v>
      </c>
      <c r="E14" s="81">
        <f>SUMIFS('0102 4度C'!$N:$N,'0102 4度C'!$A:$A,"新豐2線",'0102 4度C'!$B:$B,"平均")</f>
        <v>79.731714628297354</v>
      </c>
      <c r="F14" s="81">
        <f>SUMIFS('0102 4度C'!$N:$N,'0102 4度C'!$A:$A,"新豐5線",'0102 4度C'!$B:$B,"平均")</f>
        <v>101.376250615911</v>
      </c>
      <c r="G14" s="81">
        <f>SUMIFS('0102 4度C'!$N:$N,'0102 4度C'!$A:$A,"新豐7線",'0102 4度C'!$B:$B,"平均")</f>
        <v>112.98761090396575</v>
      </c>
      <c r="H14" s="81">
        <f>SUMIFS('0102 4度C'!$N:$N,'0102 4度C'!$A:$A,"新豐3線",'0102 4度C'!$B:$B,"平均")</f>
        <v>224.81005361887713</v>
      </c>
      <c r="I14" s="81">
        <f>SUMIFS('0102 4度C'!$N:$N,'0102 4度C'!$A:$A,"新豐1線",'0102 4度C'!$B:$B,"平均")</f>
        <v>92.461750577034451</v>
      </c>
      <c r="J14" s="82">
        <f>SUMIFS('0102 4度C'!$N:$N,'0102 4度C'!$A:$A,"新豐10線",'0102 4度C'!$B:$B,"平均")</f>
        <v>284.3845540488922</v>
      </c>
      <c r="K14" s="83">
        <f>SUMIFS('0102 4度C'!$N:$N,'0102 4度C'!$A:$A,"新豐8線",'0102 4度C'!$B:$B,"平均")</f>
        <v>125.99766903251236</v>
      </c>
      <c r="L14" s="84">
        <f>SUMIFS('0102 4度C'!$N:$N,'0102 4度C'!$A:$A,"新豐9線",'0102 4度C'!$B:$B,"平均")</f>
        <v>131.62220107561163</v>
      </c>
      <c r="M14" s="82">
        <f>SUMIFS('0102 4度C'!$N:$N,'0102 4度C'!$A:$A,"新豐4線",'0102 4度C'!$B:$B,"平均")</f>
        <v>140.56075701001581</v>
      </c>
    </row>
    <row r="15" spans="2:17" ht="40.15" customHeight="1">
      <c r="B15" s="448"/>
      <c r="C15" s="85" t="s">
        <v>234</v>
      </c>
      <c r="D15" s="86">
        <f t="shared" ref="D15:M15" si="0">D14/D13</f>
        <v>0.95855559075071273</v>
      </c>
      <c r="E15" s="87">
        <f t="shared" si="0"/>
        <v>0.9567805755395683</v>
      </c>
      <c r="F15" s="87">
        <f t="shared" si="0"/>
        <v>0.96510190586347266</v>
      </c>
      <c r="G15" s="87">
        <f t="shared" si="0"/>
        <v>0.96416094638050764</v>
      </c>
      <c r="H15" s="87">
        <f t="shared" si="0"/>
        <v>0.95544272788022788</v>
      </c>
      <c r="I15" s="87">
        <f t="shared" si="0"/>
        <v>0.8783866304818273</v>
      </c>
      <c r="J15" s="88">
        <f t="shared" si="0"/>
        <v>0.96518394101442206</v>
      </c>
      <c r="K15" s="86">
        <f t="shared" si="0"/>
        <v>0.95548232349655193</v>
      </c>
      <c r="L15" s="87">
        <f t="shared" si="0"/>
        <v>0.95582788876336999</v>
      </c>
      <c r="M15" s="88">
        <f t="shared" si="0"/>
        <v>0.96049850623510802</v>
      </c>
    </row>
    <row r="16" spans="2:17" ht="17.25" customHeight="1">
      <c r="B16" s="449" t="s">
        <v>235</v>
      </c>
      <c r="C16" s="89" t="s">
        <v>236</v>
      </c>
      <c r="D16" s="90">
        <f>VLOOKUP("新豐6線",'0102 4度C'!$A:$T,19,0)</f>
        <v>0.70833333333333337</v>
      </c>
      <c r="E16" s="91">
        <f>VLOOKUP("新豐2線",'0102 4度C'!$A:$T,19,0)</f>
        <v>0.16666666666666666</v>
      </c>
      <c r="F16" s="91">
        <f>VLOOKUP("新豐5線",'0102 4度C'!$A:$T,19,0)</f>
        <v>0.20833333333333334</v>
      </c>
      <c r="G16" s="91">
        <f>VLOOKUP("新豐7線",'0102 4度C'!$A:$T,19,0)</f>
        <v>0.20833333333333334</v>
      </c>
      <c r="H16" s="91">
        <f>VLOOKUP("新豐3線",'0102 4度C'!$A:$T,19,0)</f>
        <v>8.3333333333333329E-2</v>
      </c>
      <c r="I16" s="91">
        <f>VLOOKUP("新豐1線",'0102 4度C'!$A:$T,19,0)</f>
        <v>0.20833333333333334</v>
      </c>
      <c r="J16" s="92">
        <f>VLOOKUP("新豐10線",'0102 4度C'!$A:$T,19,0)</f>
        <v>0.20833333333333334</v>
      </c>
      <c r="K16" s="93">
        <f>VLOOKUP("新豐8線",'0102 4度C'!$A:$T,19,0)</f>
        <v>8.3333333333333329E-2</v>
      </c>
      <c r="L16" s="94">
        <f>VLOOKUP("新豐9線",'0102 4度C'!$A:$T,19,0)</f>
        <v>8.3333333333333329E-2</v>
      </c>
      <c r="M16" s="95">
        <f>VLOOKUP("新豐4線",'0102 4度C'!$A:$T,19,0)</f>
        <v>8.3333333333333329E-2</v>
      </c>
    </row>
    <row r="17" spans="2:13" ht="17.25" customHeight="1">
      <c r="B17" s="450"/>
      <c r="C17" s="89" t="s">
        <v>237</v>
      </c>
      <c r="D17" s="93">
        <f>LOOKUP(2,1/(('0102 4度C'!$A:$A="新豐6線")*('0102 4度C'!$T:$T&lt;&gt;"")),'0102 4度C'!$T:$T)</f>
        <v>0.84652777777777777</v>
      </c>
      <c r="E17" s="91">
        <f>LOOKUP(2,1/(('0102 4度C'!$A:$A="新豐2線")*('0102 4度C'!$T:$T&lt;&gt;"")),'0102 4度C'!$T:$T)</f>
        <v>0.34236111111111112</v>
      </c>
      <c r="F17" s="91">
        <f>LOOKUP(2,1/(('0102 4度C'!$A:$A="新豐5線")*('0102 4度C'!$T:$T&lt;&gt;"")),'0102 4度C'!$T:$T)</f>
        <v>0.85416666666666663</v>
      </c>
      <c r="G17" s="91">
        <f>LOOKUP(2,1/(('0102 4度C'!$A:$A="新豐7線")*('0102 4度C'!$T:$T&lt;&gt;"")),'0102 4度C'!$T:$T)</f>
        <v>0.84930555555555554</v>
      </c>
      <c r="H17" s="91">
        <f>LOOKUP(2,1/(('0102 4度C'!$A:$A="新豐3線")*('0102 4度C'!$T:$T&lt;&gt;"")),'0102 4度C'!$T:$T)</f>
        <v>0.42013888888888878</v>
      </c>
      <c r="I17" s="91">
        <f>LOOKUP(2,1/(('0102 4度C'!$A:$A="新豐1線")*('0102 4度C'!$T:$T&lt;&gt;"")),'0102 4度C'!$T:$T)</f>
        <v>0.84097222222222223</v>
      </c>
      <c r="J17" s="92">
        <f>LOOKUP(2,1/(('0102 4度C'!$A:$A="新豐10線")*('0102 4度C'!$T:$T&lt;&gt;"")),'0102 4度C'!$T:$T)</f>
        <v>0.3965277777777777</v>
      </c>
      <c r="K17" s="90">
        <f>LOOKUP(2,1/(('0102 4度C'!$A:$A="新豐8線")*('0102 4度C'!$T:$T&lt;&gt;"")),'0102 4度C'!$T:$T)</f>
        <v>0.45833333333333326</v>
      </c>
      <c r="L17" s="91">
        <f>LOOKUP(2,1/(('0102 4度C'!$A:$A="新豐9線")*('0102 4度C'!$T:$T&lt;&gt;"")),'0102 4度C'!$T:$T)</f>
        <v>0.4069444444444445</v>
      </c>
      <c r="M17" s="92">
        <f>LOOKUP(2,1/(('0102 4度C'!$A:$A="新豐4線")*('0102 4度C'!$T:$T&lt;&gt;"")),'0102 4度C'!$T:$T)</f>
        <v>0.45624999999999993</v>
      </c>
    </row>
    <row r="18" spans="2:13" ht="17.25" customHeight="1">
      <c r="B18" s="428" t="s">
        <v>238</v>
      </c>
      <c r="C18" s="96" t="s">
        <v>239</v>
      </c>
      <c r="D18" s="97">
        <f>SUMIFS('0102 4度C'!$Y:$Y,'0102 4度C'!$A:$A,"新豐6線",'0102 4度C'!$B:$B,"平均")</f>
        <v>0</v>
      </c>
      <c r="E18" s="98">
        <f>SUMIFS('0102 4度C'!$Y:$Y,'0102 4度C'!$A:$A,"新豐2線",'0102 4度C'!$B:$B,"平均")</f>
        <v>0</v>
      </c>
      <c r="F18" s="98">
        <f>SUMIFS('0102 4度C'!$Y:$Y,'0102 4度C'!$A:$A,"新豐5線",'0102 4度C'!$B:$B,"平均")</f>
        <v>0</v>
      </c>
      <c r="G18" s="98">
        <f>SUMIFS('0102 4度C'!$Y:$Y,'0102 4度C'!$A:$A,"新豐7線",'0102 4度C'!$B:$B,"平均")</f>
        <v>0</v>
      </c>
      <c r="H18" s="98">
        <f>SUMIFS('0102 4度C'!$Y:$Y,'0102 4度C'!$A:$A,"新豐3線",'0102 4度C'!$B:$B,"平均")</f>
        <v>0</v>
      </c>
      <c r="I18" s="98">
        <f>SUMIFS('0102 4度C'!$Y:$Y,'0102 4度C'!$A:$A,"新豐1線",'0102 4度C'!$B:$B,"平均")</f>
        <v>0</v>
      </c>
      <c r="J18" s="99">
        <f>SUMIFS('0102 4度C'!$Y:$Y,'0102 4度C'!$A:$A,"新豐10線",'0102 4度C'!$B:$B,"平均")</f>
        <v>0</v>
      </c>
      <c r="K18" s="100">
        <f>SUMIFS('0102 4度C'!$Y:$Y,'0102 4度C'!$A:$A,"新豐8線",'0102 4度C'!$B:$B,"平均")</f>
        <v>0</v>
      </c>
      <c r="L18" s="98">
        <f>SUMIFS('0102 4度C'!$Y:$Y,'0102 4度C'!$A:$A,"新豐9線",'0102 4度C'!$B:$B,"平均")</f>
        <v>0</v>
      </c>
      <c r="M18" s="99">
        <f>SUMIFS('0102 4度C'!$Y:$Y,'0102 4度C'!$A:$A,"新豐4線",'0102 4度C'!$B:$B,"平均")</f>
        <v>0</v>
      </c>
    </row>
    <row r="19" spans="2:13" ht="17.25" customHeight="1">
      <c r="B19" s="429"/>
      <c r="C19" s="96" t="s">
        <v>240</v>
      </c>
      <c r="D19" s="97">
        <f>SUMIFS('0102 4度C'!$Z:$Z,'0102 4度C'!$A:$A,"新豐6線",'0102 4度C'!$B:$B,"平均")</f>
        <v>0</v>
      </c>
      <c r="E19" s="98">
        <f>SUMIFS('0102 4度C'!$Z:$Z,'0102 4度C'!$A:$A,"新豐2線",'0102 4度C'!$B:$B,"平均")</f>
        <v>0</v>
      </c>
      <c r="F19" s="98">
        <f>SUMIFS('0102 4度C'!$Z:$Z,'0102 4度C'!$A:$A,"新豐5線",'0102 4度C'!$B:$B,"平均")</f>
        <v>0</v>
      </c>
      <c r="G19" s="98">
        <f>SUMIFS('0102 4度C'!$Z:$Z,'0102 4度C'!$A:$A,"新豐7線",'0102 4度C'!$B:$B,"平均")</f>
        <v>0</v>
      </c>
      <c r="H19" s="98">
        <f>SUMIFS('0102 4度C'!$Z:$Z,'0102 4度C'!$A:$A,"新豐3線",'0102 4度C'!$B:$B,"平均")</f>
        <v>0</v>
      </c>
      <c r="I19" s="98">
        <f>SUMIFS('0102 4度C'!$Z:$Z,'0102 4度C'!$A:$A,"新豐1線",'0102 4度C'!$B:$B,"平均")</f>
        <v>0</v>
      </c>
      <c r="J19" s="99">
        <f>SUMIFS('0102 4度C'!$Z:$Z,'0102 4度C'!$A:$A,"新豐10線",'0102 4度C'!$B:$B,"平均")</f>
        <v>0</v>
      </c>
      <c r="K19" s="100">
        <f>SUMIFS('0102 4度C'!$Z:$Z,'0102 4度C'!$A:$A,"新豐8線",'0102 4度C'!$B:$B,"平均")</f>
        <v>0</v>
      </c>
      <c r="L19" s="98">
        <f>SUMIFS('0102 4度C'!$Z:$Z,'0102 4度C'!$A:$A,"新豐9線",'0102 4度C'!$B:$B,"平均")</f>
        <v>0</v>
      </c>
      <c r="M19" s="99">
        <f>SUMIFS('0102 4度C'!$Z:$Z,'0102 4度C'!$A:$A,"新豐4線",'0102 4度C'!$B:$B,"平均")</f>
        <v>0</v>
      </c>
    </row>
    <row r="20" spans="2:13" ht="17.25" customHeight="1">
      <c r="B20" s="428" t="s">
        <v>241</v>
      </c>
      <c r="C20" s="96" t="s">
        <v>239</v>
      </c>
      <c r="D20" s="97">
        <f>SUMIFS('0102 4度C'!$AC:$AC,'0102 4度C'!$A:$A,"新豐6線",'0102 4度C'!$B:$B,"平均")</f>
        <v>1</v>
      </c>
      <c r="E20" s="98">
        <f>SUMIFS('0102 4度C'!$AC:$AC,'0102 4度C'!$A:$A,"新豐2線",'0102 4度C'!$B:$B,"平均")</f>
        <v>1</v>
      </c>
      <c r="F20" s="98">
        <f>SUMIFS('0102 4度C'!$AC:$AC,'0102 4度C'!$A:$A,"新豐5線",'0102 4度C'!$B:$B,"平均")</f>
        <v>3</v>
      </c>
      <c r="G20" s="98">
        <f>SUMIFS('0102 4度C'!$AC:$AC,'0102 4度C'!$A:$A,"新豐7線",'0102 4度C'!$B:$B,"平均")</f>
        <v>3</v>
      </c>
      <c r="H20" s="98">
        <f>SUMIFS('0102 4度C'!$AC:$AC,'0102 4度C'!$A:$A,"新豐3線",'0102 4度C'!$B:$B,"平均")</f>
        <v>0</v>
      </c>
      <c r="I20" s="98">
        <f>SUMIFS('0102 4度C'!$AC:$AC,'0102 4度C'!$A:$A,"新豐1線",'0102 4度C'!$B:$B,"平均")</f>
        <v>3</v>
      </c>
      <c r="J20" s="99">
        <f>SUMIFS('0102 4度C'!$AC:$AC,'0102 4度C'!$A:$A,"新豐10線",'0102 4度C'!$B:$B,"平均")</f>
        <v>0</v>
      </c>
      <c r="K20" s="100">
        <f>SUMIFS('0102 4度C'!$AC:$AC,'0102 4度C'!$A:$A,"新豐8線",'0102 4度C'!$B:$B,"平均")</f>
        <v>6</v>
      </c>
      <c r="L20" s="98">
        <f>SUMIFS('0102 4度C'!$AC:$AC,'0102 4度C'!$A:$A,"新豐9線",'0102 4度C'!$B:$B,"平均")</f>
        <v>5</v>
      </c>
      <c r="M20" s="99">
        <f>SUMIFS('0102 4度C'!$AC:$AC,'0102 4度C'!$A:$A,"新豐4線",'0102 4度C'!$B:$B,"平均")</f>
        <v>6</v>
      </c>
    </row>
    <row r="21" spans="2:13" ht="17.25" customHeight="1">
      <c r="B21" s="429"/>
      <c r="C21" s="96" t="s">
        <v>194</v>
      </c>
      <c r="D21" s="97">
        <f>SUMIFS('0102 4度C'!$AD:$AD,'0102 4度C'!$A:$A,"新豐6線",'0102 4度C'!$B:$B,"平均")</f>
        <v>0</v>
      </c>
      <c r="E21" s="98">
        <f>SUMIFS('0102 4度C'!$AD:$AD,'0102 4度C'!$A:$A,"新豐2線",'0102 4度C'!$B:$B,"平均")</f>
        <v>0</v>
      </c>
      <c r="F21" s="98">
        <f>SUMIFS('0102 4度C'!$AD:$AD,'0102 4度C'!$A:$A,"新豐5線",'0102 4度C'!$B:$B,"平均")</f>
        <v>0</v>
      </c>
      <c r="G21" s="98">
        <f>SUMIFS('0102 4度C'!$AD:$AD,'0102 4度C'!$A:$A,"新豐7線",'0102 4度C'!$B:$B,"平均")</f>
        <v>0</v>
      </c>
      <c r="H21" s="98">
        <f>SUMIFS('0102 4度C'!$AD:$AD,'0102 4度C'!$A:$A,"新豐3線",'0102 4度C'!$B:$B,"平均")</f>
        <v>0</v>
      </c>
      <c r="I21" s="98">
        <f>SUMIFS('0102 4度C'!$AD:$AD,'0102 4度C'!$A:$A,"新豐1線",'0102 4度C'!$B:$B,"平均")</f>
        <v>0</v>
      </c>
      <c r="J21" s="99">
        <f>SUMIFS('0102 4度C'!$AD:$AD,'0102 4度C'!$A:$A,"新豐10線",'0102 4度C'!$B:$B,"平均")</f>
        <v>0</v>
      </c>
      <c r="K21" s="100">
        <f>SUMIFS('0102 4度C'!$AD:$AD,'0102 4度C'!$A:$A,"新豐8線",'0102 4度C'!$B:$B,"平均")</f>
        <v>0</v>
      </c>
      <c r="L21" s="98">
        <f>SUMIFS('0102 4度C'!$AD:$AD,'0102 4度C'!$A:$A,"新豐9線",'0102 4度C'!$B:$B,"平均")</f>
        <v>0</v>
      </c>
      <c r="M21" s="99">
        <f>SUMIFS('0102 4度C'!$AD:$AD,'0102 4度C'!$A:$A,"新豐4線",'0102 4度C'!$B:$B,"平均")</f>
        <v>0</v>
      </c>
    </row>
    <row r="22" spans="2:13" ht="17.25" customHeight="1">
      <c r="B22" s="430" t="s">
        <v>242</v>
      </c>
      <c r="C22" s="431"/>
      <c r="D22" s="101">
        <f>SUMIFS('0102 4度C'!$I:$I,'0102 4度C'!$A:$A,"新豐6線",'0102 4度C'!$B:$B,"平均")</f>
        <v>17</v>
      </c>
      <c r="E22" s="102">
        <f>SUMIFS('0102 4度C'!$I:$I,'0102 4度C'!$A:$A,"新豐2線",'0102 4度C'!$B:$B,"平均")</f>
        <v>18</v>
      </c>
      <c r="F22" s="102">
        <f>SUMIFS('0102 4度C'!$I:$I,'0102 4度C'!$A:$A,"新豐5線",'0102 4度C'!$B:$B,"平均")</f>
        <v>17</v>
      </c>
      <c r="G22" s="102">
        <f>SUMIFS('0102 4度C'!$I:$I,'0102 4度C'!$A:$A,"新豐7線",'0102 4度C'!$B:$B,"平均")</f>
        <v>16</v>
      </c>
      <c r="H22" s="102">
        <f>SUMIFS('0102 4度C'!$I:$I,'0102 4度C'!$A:$A,"新豐3線",'0102 4度C'!$B:$B,"平均")</f>
        <v>11.333333333333334</v>
      </c>
      <c r="I22" s="102">
        <f>SUMIFS('0102 4度C'!$I:$I,'0102 4度C'!$A:$A,"新豐1線",'0102 4度C'!$B:$B,"平均")</f>
        <v>19</v>
      </c>
      <c r="J22" s="103">
        <f>SUMIFS('0102 4度C'!$I:$I,'0102 4度C'!$A:$A,"新豐10線",'0102 4度C'!$B:$B,"平均")</f>
        <v>9.3333333333333339</v>
      </c>
      <c r="K22" s="101">
        <f>SUMIFS('0102 4度C'!$I:$I,'0102 4度C'!$A:$A,"新豐8線",'0102 4度C'!$B:$B,"平均")</f>
        <v>18.2</v>
      </c>
      <c r="L22" s="102">
        <f>SUMIFS('0102 4度C'!$I:$I,'0102 4度C'!$A:$A,"新豐9線",'0102 4度C'!$B:$B,"平均")</f>
        <v>17.428571428571427</v>
      </c>
      <c r="M22" s="103">
        <f>SUMIFS('0102 4度C'!$I:$I,'0102 4度C'!$A:$A,"新豐4線",'0102 4度C'!$B:$B,"平均")</f>
        <v>16.399999999999999</v>
      </c>
    </row>
    <row r="23" spans="2:13" ht="17.25" customHeight="1">
      <c r="B23" s="430" t="s">
        <v>243</v>
      </c>
      <c r="C23" s="431"/>
      <c r="D23" s="104" t="s">
        <v>157</v>
      </c>
      <c r="E23" s="105" t="s">
        <v>158</v>
      </c>
      <c r="F23" s="105" t="s">
        <v>244</v>
      </c>
      <c r="G23" s="105" t="s">
        <v>245</v>
      </c>
      <c r="H23" s="105" t="s">
        <v>159</v>
      </c>
      <c r="I23" s="105" t="s">
        <v>157</v>
      </c>
      <c r="J23" s="106" t="s">
        <v>159</v>
      </c>
      <c r="K23" s="104" t="s">
        <v>246</v>
      </c>
      <c r="L23" s="105" t="s">
        <v>247</v>
      </c>
      <c r="M23" s="106" t="s">
        <v>248</v>
      </c>
    </row>
    <row r="24" spans="2:13" ht="17.25" customHeight="1">
      <c r="B24" s="430" t="s">
        <v>249</v>
      </c>
      <c r="C24" s="431"/>
      <c r="D24" s="104"/>
      <c r="E24" s="105"/>
      <c r="F24" s="105" t="s">
        <v>250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251</v>
      </c>
      <c r="C25" s="433"/>
      <c r="D25" s="107"/>
      <c r="E25" s="108" t="s">
        <v>252</v>
      </c>
      <c r="F25" s="426" t="s">
        <v>253</v>
      </c>
      <c r="G25" s="427"/>
      <c r="H25" s="108" t="s">
        <v>254</v>
      </c>
      <c r="I25" s="108" t="s">
        <v>255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2"/>
  <sheetViews>
    <sheetView topLeftCell="R1" zoomScale="80" zoomScaleNormal="80" workbookViewId="0">
      <pane ySplit="4" topLeftCell="A5" activePane="bottomLeft" state="frozen"/>
      <selection activeCell="I12" sqref="I12"/>
      <selection pane="bottomLeft" activeCell="AC5" sqref="AC5:AC7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bestFit="1" customWidth="1"/>
    <col min="6" max="6" width="14.375" style="9" bestFit="1" customWidth="1"/>
    <col min="7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256</v>
      </c>
      <c r="B1" s="1"/>
      <c r="C1" s="2" t="s">
        <v>257</v>
      </c>
      <c r="D1" s="3">
        <f>SUM(F5:F71)</f>
        <v>124779</v>
      </c>
      <c r="E1" s="113" t="s">
        <v>258</v>
      </c>
      <c r="F1" s="1">
        <f>SUM(G5:G71)</f>
        <v>4354862.76</v>
      </c>
      <c r="G1" s="1" t="s">
        <v>259</v>
      </c>
      <c r="H1" s="5">
        <f>L9+L12+L50+L58+L20+L65+L35+L43+L29+L71</f>
        <v>159.69523809523812</v>
      </c>
      <c r="I1" s="542" t="s">
        <v>260</v>
      </c>
      <c r="J1" s="542"/>
      <c r="K1" s="542"/>
      <c r="L1" s="542" t="s">
        <v>261</v>
      </c>
      <c r="M1" s="542"/>
      <c r="N1" s="542"/>
      <c r="O1" s="542" t="s">
        <v>262</v>
      </c>
      <c r="P1" s="542"/>
      <c r="Q1" s="542"/>
      <c r="R1" s="542"/>
      <c r="S1" s="542" t="s">
        <v>263</v>
      </c>
      <c r="T1" s="542"/>
      <c r="U1" s="542"/>
      <c r="V1" s="542"/>
      <c r="W1" s="542"/>
      <c r="X1" s="542"/>
      <c r="Y1" s="6" t="s">
        <v>264</v>
      </c>
      <c r="Z1" s="7" t="s">
        <v>265</v>
      </c>
      <c r="AA1" s="543" t="s">
        <v>266</v>
      </c>
      <c r="AB1" s="543"/>
      <c r="AC1" s="8" t="s">
        <v>264</v>
      </c>
      <c r="AD1" s="7" t="s">
        <v>267</v>
      </c>
      <c r="AE1" s="542" t="s">
        <v>268</v>
      </c>
      <c r="AF1" s="544"/>
      <c r="AG1" s="544"/>
    </row>
    <row r="2" spans="1:33" ht="26.25" customHeight="1">
      <c r="A2" s="49">
        <v>46024</v>
      </c>
      <c r="B2" s="50" t="s">
        <v>269</v>
      </c>
      <c r="C2" s="2" t="s">
        <v>231</v>
      </c>
      <c r="D2" s="10">
        <f>AVERAGE(N9,N12,N50,N58,N20,N65,N29,N35,N43,N71)</f>
        <v>140.67038074817896</v>
      </c>
      <c r="E2" s="11" t="s">
        <v>14</v>
      </c>
      <c r="F2" s="12">
        <f>F1/D1</f>
        <v>34.900606352030387</v>
      </c>
      <c r="G2" s="1" t="s">
        <v>270</v>
      </c>
      <c r="H2" s="111">
        <f>COUNT(H5:H71)</f>
        <v>1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SUM(Y9+Y12+Y20+Y29+Y35+Y43+Y50+Y58+Y65+Y71)</f>
        <v>0</v>
      </c>
      <c r="Z2" s="14">
        <f>SUM(Z9+Z12+Z20+Z29+Z35+Z43+Z50+Z58+Z65+Z71)</f>
        <v>0</v>
      </c>
      <c r="AA2" s="543"/>
      <c r="AB2" s="543"/>
      <c r="AC2" s="14">
        <f>SUM(AC9+AC12+AC20+AC29+AC35+AC43+AC50+AC58+AC65+AC71)</f>
        <v>28</v>
      </c>
      <c r="AD2" s="14">
        <f>SUM(AD9+AD12+AD20+AD29+AD35+AD43+AD50+AD58+AD65+AD71)</f>
        <v>0</v>
      </c>
      <c r="AE2" s="544"/>
      <c r="AF2" s="544"/>
      <c r="AG2" s="544"/>
    </row>
    <row r="3" spans="1:33" ht="40.5" customHeight="1">
      <c r="A3" s="491" t="s">
        <v>271</v>
      </c>
      <c r="B3" s="491" t="s">
        <v>272</v>
      </c>
      <c r="C3" s="491" t="s">
        <v>273</v>
      </c>
      <c r="D3" s="491"/>
      <c r="E3" s="540" t="s">
        <v>274</v>
      </c>
      <c r="F3" s="491" t="s">
        <v>275</v>
      </c>
      <c r="G3" s="540" t="s">
        <v>276</v>
      </c>
      <c r="H3" s="533" t="s">
        <v>277</v>
      </c>
      <c r="I3" s="531" t="s">
        <v>278</v>
      </c>
      <c r="J3" s="528" t="s">
        <v>279</v>
      </c>
      <c r="K3" s="538" t="s">
        <v>280</v>
      </c>
      <c r="L3" s="531" t="s">
        <v>278</v>
      </c>
      <c r="M3" s="528" t="s">
        <v>279</v>
      </c>
      <c r="N3" s="538" t="s">
        <v>231</v>
      </c>
      <c r="O3" s="531" t="s">
        <v>278</v>
      </c>
      <c r="P3" s="538" t="s">
        <v>231</v>
      </c>
      <c r="Q3" s="529" t="s">
        <v>281</v>
      </c>
      <c r="R3" s="507" t="s">
        <v>282</v>
      </c>
      <c r="S3" s="539" t="s">
        <v>27</v>
      </c>
      <c r="T3" s="539"/>
      <c r="U3" s="533" t="s">
        <v>28</v>
      </c>
      <c r="V3" s="533" t="s">
        <v>283</v>
      </c>
      <c r="W3" s="491" t="s">
        <v>284</v>
      </c>
      <c r="X3" s="491"/>
      <c r="Y3" s="534" t="s">
        <v>285</v>
      </c>
      <c r="Z3" s="495"/>
      <c r="AA3" s="535" t="s">
        <v>286</v>
      </c>
      <c r="AB3" s="536"/>
      <c r="AC3" s="534" t="s">
        <v>287</v>
      </c>
      <c r="AD3" s="495"/>
      <c r="AE3" s="528" t="s">
        <v>288</v>
      </c>
      <c r="AF3" s="529" t="s">
        <v>289</v>
      </c>
      <c r="AG3" s="507" t="s">
        <v>290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117" t="s">
        <v>37</v>
      </c>
      <c r="T4" s="117" t="s">
        <v>38</v>
      </c>
      <c r="U4" s="533"/>
      <c r="V4" s="533"/>
      <c r="W4" s="113" t="s">
        <v>291</v>
      </c>
      <c r="X4" s="113" t="s">
        <v>292</v>
      </c>
      <c r="Y4" s="116" t="s">
        <v>293</v>
      </c>
      <c r="Z4" s="116" t="s">
        <v>294</v>
      </c>
      <c r="AA4" s="537"/>
      <c r="AB4" s="536"/>
      <c r="AC4" s="116" t="s">
        <v>295</v>
      </c>
      <c r="AD4" s="116" t="s">
        <v>296</v>
      </c>
      <c r="AE4" s="528"/>
      <c r="AF4" s="529"/>
      <c r="AG4" s="507"/>
    </row>
    <row r="5" spans="1:33">
      <c r="A5" s="530" t="s">
        <v>297</v>
      </c>
      <c r="B5" s="42" t="s">
        <v>103</v>
      </c>
      <c r="C5" s="532" t="s">
        <v>120</v>
      </c>
      <c r="D5" s="532"/>
      <c r="E5" s="42">
        <v>50.67</v>
      </c>
      <c r="F5" s="117">
        <v>1328</v>
      </c>
      <c r="G5" s="113">
        <f t="shared" ref="G5:G8" si="0">E5*F5</f>
        <v>67289.760000000009</v>
      </c>
      <c r="H5" s="125" t="s">
        <v>79</v>
      </c>
      <c r="I5" s="112">
        <v>17</v>
      </c>
      <c r="J5" s="37">
        <v>2000</v>
      </c>
      <c r="K5" s="17">
        <f t="shared" ref="K5:K68" si="1">J5/I5</f>
        <v>117.64705882352941</v>
      </c>
      <c r="L5" s="112">
        <v>17</v>
      </c>
      <c r="M5" s="18">
        <f t="shared" ref="M5:M8" si="2">F5/V5*60</f>
        <v>1943.4146341463406</v>
      </c>
      <c r="N5" s="17">
        <f t="shared" ref="N5:N68" si="3">M5/L5</f>
        <v>114.31850789096121</v>
      </c>
      <c r="O5" s="19">
        <f t="shared" ref="O5:O68" si="4">L5-I5</f>
        <v>0</v>
      </c>
      <c r="P5" s="20">
        <f t="shared" ref="P5:P68" si="5">N5-K5</f>
        <v>-3.3285509325681915</v>
      </c>
      <c r="Q5" s="114">
        <f t="shared" ref="Q5:Q68" si="6">N5/K5</f>
        <v>0.97170731707317037</v>
      </c>
      <c r="R5" s="489">
        <f>Q9</f>
        <v>0.95855559075071273</v>
      </c>
      <c r="S5" s="40">
        <v>0.70833333333333337</v>
      </c>
      <c r="T5" s="40">
        <v>0.7368055555555556</v>
      </c>
      <c r="U5" s="113"/>
      <c r="V5" s="115">
        <f t="shared" ref="V5:V8" si="7">(T5-S5)*24*60</f>
        <v>41.000000000000014</v>
      </c>
      <c r="W5" s="23"/>
      <c r="X5" s="24"/>
      <c r="Y5" s="24"/>
      <c r="Z5" s="24"/>
      <c r="AA5" s="491"/>
      <c r="AB5" s="491"/>
      <c r="AC5" s="25">
        <v>1</v>
      </c>
      <c r="AD5" s="25"/>
      <c r="AE5" s="19">
        <f t="shared" ref="AE5:AE68" si="8">M5-J5</f>
        <v>-56.585365853659368</v>
      </c>
      <c r="AF5" s="114">
        <f t="shared" ref="AF5:AF68" si="9">M5/J5</f>
        <v>0.97170731707317026</v>
      </c>
      <c r="AG5" s="489">
        <f>AF9</f>
        <v>0.95855559075071262</v>
      </c>
    </row>
    <row r="6" spans="1:33">
      <c r="A6" s="531" t="s">
        <v>46</v>
      </c>
      <c r="B6" s="42" t="s">
        <v>103</v>
      </c>
      <c r="C6" s="532" t="s">
        <v>121</v>
      </c>
      <c r="D6" s="532"/>
      <c r="E6" s="42">
        <v>54.09</v>
      </c>
      <c r="F6" s="117">
        <v>1311</v>
      </c>
      <c r="G6" s="113">
        <f t="shared" si="0"/>
        <v>70911.990000000005</v>
      </c>
      <c r="H6" s="125" t="s">
        <v>79</v>
      </c>
      <c r="I6" s="112">
        <v>19</v>
      </c>
      <c r="J6" s="37">
        <v>2000</v>
      </c>
      <c r="K6" s="17">
        <f t="shared" si="1"/>
        <v>105.26315789473684</v>
      </c>
      <c r="L6" s="112">
        <v>19</v>
      </c>
      <c r="M6" s="18">
        <f t="shared" si="2"/>
        <v>1918.5365853658532</v>
      </c>
      <c r="N6" s="17">
        <f t="shared" si="3"/>
        <v>100.97560975609754</v>
      </c>
      <c r="O6" s="19">
        <f t="shared" si="4"/>
        <v>0</v>
      </c>
      <c r="P6" s="20">
        <f t="shared" si="5"/>
        <v>-4.2875481386392948</v>
      </c>
      <c r="Q6" s="114">
        <f t="shared" si="6"/>
        <v>0.95926829268292668</v>
      </c>
      <c r="R6" s="489"/>
      <c r="S6" s="40">
        <v>0.74097222222222225</v>
      </c>
      <c r="T6" s="40">
        <v>0.76944444444444449</v>
      </c>
      <c r="U6" s="113">
        <f t="shared" ref="U6:U8" si="10">IF(S6=TIME(17,0,0),"",(S6-T5)*24*60)</f>
        <v>5.9999999999999787</v>
      </c>
      <c r="V6" s="115">
        <f t="shared" si="7"/>
        <v>41.000000000000014</v>
      </c>
      <c r="W6" s="23"/>
      <c r="X6" s="23"/>
      <c r="Y6" s="23"/>
      <c r="Z6" s="23"/>
      <c r="AA6" s="491"/>
      <c r="AB6" s="491"/>
      <c r="AC6" s="25"/>
      <c r="AD6" s="25"/>
      <c r="AE6" s="19">
        <f t="shared" si="8"/>
        <v>-81.463414634146829</v>
      </c>
      <c r="AF6" s="114">
        <f t="shared" si="9"/>
        <v>0.95926829268292657</v>
      </c>
      <c r="AG6" s="489"/>
    </row>
    <row r="7" spans="1:33">
      <c r="A7" s="531" t="s">
        <v>297</v>
      </c>
      <c r="B7" s="42" t="s">
        <v>103</v>
      </c>
      <c r="C7" s="523" t="s">
        <v>122</v>
      </c>
      <c r="D7" s="524"/>
      <c r="E7" s="42">
        <v>50.29</v>
      </c>
      <c r="F7" s="117">
        <v>1332</v>
      </c>
      <c r="G7" s="113">
        <f t="shared" si="0"/>
        <v>66986.28</v>
      </c>
      <c r="H7" s="125" t="s">
        <v>79</v>
      </c>
      <c r="I7" s="112">
        <v>16</v>
      </c>
      <c r="J7" s="37">
        <v>2000</v>
      </c>
      <c r="K7" s="17">
        <f t="shared" si="1"/>
        <v>125</v>
      </c>
      <c r="L7" s="112">
        <v>16</v>
      </c>
      <c r="M7" s="18">
        <f t="shared" si="2"/>
        <v>1902.8571428571422</v>
      </c>
      <c r="N7" s="17">
        <f t="shared" si="3"/>
        <v>118.92857142857139</v>
      </c>
      <c r="O7" s="19">
        <f t="shared" si="4"/>
        <v>0</v>
      </c>
      <c r="P7" s="20">
        <f t="shared" si="5"/>
        <v>-6.071428571428612</v>
      </c>
      <c r="Q7" s="114">
        <f t="shared" si="6"/>
        <v>0.95142857142857107</v>
      </c>
      <c r="R7" s="489"/>
      <c r="S7" s="40">
        <v>0.77500000000000002</v>
      </c>
      <c r="T7" s="40">
        <v>0.8041666666666667</v>
      </c>
      <c r="U7" s="113">
        <f t="shared" si="10"/>
        <v>7.9999999999999716</v>
      </c>
      <c r="V7" s="115">
        <f t="shared" si="7"/>
        <v>42.000000000000014</v>
      </c>
      <c r="W7" s="23"/>
      <c r="X7" s="23"/>
      <c r="Y7" s="26"/>
      <c r="Z7" s="26"/>
      <c r="AA7" s="503"/>
      <c r="AB7" s="504"/>
      <c r="AC7" s="27"/>
      <c r="AD7" s="27"/>
      <c r="AE7" s="19">
        <f t="shared" si="8"/>
        <v>-97.142857142857792</v>
      </c>
      <c r="AF7" s="114">
        <f t="shared" si="9"/>
        <v>0.95142857142857107</v>
      </c>
      <c r="AG7" s="489"/>
    </row>
    <row r="8" spans="1:33">
      <c r="A8" s="531" t="s">
        <v>297</v>
      </c>
      <c r="B8" s="42" t="s">
        <v>103</v>
      </c>
      <c r="C8" s="523" t="s">
        <v>123</v>
      </c>
      <c r="D8" s="524"/>
      <c r="E8" s="42">
        <v>50.98</v>
      </c>
      <c r="F8" s="117">
        <v>1745</v>
      </c>
      <c r="G8" s="113">
        <f t="shared" si="0"/>
        <v>88960.099999999991</v>
      </c>
      <c r="H8" s="125" t="s">
        <v>79</v>
      </c>
      <c r="I8" s="112">
        <v>16</v>
      </c>
      <c r="J8" s="37">
        <v>2000</v>
      </c>
      <c r="K8" s="17">
        <f t="shared" si="1"/>
        <v>125</v>
      </c>
      <c r="L8" s="112">
        <v>16</v>
      </c>
      <c r="M8" s="18">
        <f t="shared" si="2"/>
        <v>1903.6363636363649</v>
      </c>
      <c r="N8" s="17">
        <f t="shared" si="3"/>
        <v>118.9772727272728</v>
      </c>
      <c r="O8" s="19">
        <f t="shared" si="4"/>
        <v>0</v>
      </c>
      <c r="P8" s="20">
        <f t="shared" si="5"/>
        <v>-6.0227272727271952</v>
      </c>
      <c r="Q8" s="114">
        <f t="shared" si="6"/>
        <v>0.95181818181818245</v>
      </c>
      <c r="R8" s="489"/>
      <c r="S8" s="40">
        <v>0.80833333333333335</v>
      </c>
      <c r="T8" s="40">
        <v>0.84652777777777777</v>
      </c>
      <c r="U8" s="113">
        <f t="shared" si="10"/>
        <v>5.9999999999999787</v>
      </c>
      <c r="V8" s="115">
        <f t="shared" si="7"/>
        <v>54.999999999999964</v>
      </c>
      <c r="W8" s="28"/>
      <c r="X8" s="28"/>
      <c r="Y8" s="29"/>
      <c r="Z8" s="29"/>
      <c r="AA8" s="503"/>
      <c r="AB8" s="504"/>
      <c r="AC8" s="27"/>
      <c r="AD8" s="27"/>
      <c r="AE8" s="19">
        <f t="shared" si="8"/>
        <v>-96.363636363635123</v>
      </c>
      <c r="AF8" s="114">
        <f t="shared" si="9"/>
        <v>0.95181818181818245</v>
      </c>
      <c r="AG8" s="489"/>
    </row>
    <row r="9" spans="1:33">
      <c r="A9" s="531" t="s">
        <v>298</v>
      </c>
      <c r="B9" s="42" t="s">
        <v>299</v>
      </c>
      <c r="C9" s="494"/>
      <c r="D9" s="494"/>
      <c r="E9" s="118"/>
      <c r="F9" s="44"/>
      <c r="G9" s="17"/>
      <c r="H9" s="117"/>
      <c r="I9" s="30">
        <v>17</v>
      </c>
      <c r="J9" s="37">
        <v>2000</v>
      </c>
      <c r="K9" s="17">
        <f t="shared" si="1"/>
        <v>117.64705882352941</v>
      </c>
      <c r="L9" s="30">
        <v>17</v>
      </c>
      <c r="M9" s="18">
        <f>AVERAGE(M5:M8)</f>
        <v>1917.1111815014253</v>
      </c>
      <c r="N9" s="17">
        <f t="shared" si="3"/>
        <v>112.77124597067208</v>
      </c>
      <c r="O9" s="19">
        <f t="shared" si="4"/>
        <v>0</v>
      </c>
      <c r="P9" s="20">
        <f t="shared" si="5"/>
        <v>-4.8758128528573224</v>
      </c>
      <c r="Q9" s="114">
        <f t="shared" si="6"/>
        <v>0.95855559075071273</v>
      </c>
      <c r="R9" s="489"/>
      <c r="S9" s="40"/>
      <c r="T9" s="40"/>
      <c r="U9" s="113"/>
      <c r="V9" s="115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f>SUM(AC5:AC8)</f>
        <v>1</v>
      </c>
      <c r="AD9" s="31">
        <f>SUM(AD5:AD8)</f>
        <v>0</v>
      </c>
      <c r="AE9" s="19">
        <f t="shared" si="8"/>
        <v>-82.888818498574665</v>
      </c>
      <c r="AF9" s="114">
        <f t="shared" si="9"/>
        <v>0.95855559075071262</v>
      </c>
      <c r="AG9" s="489"/>
    </row>
    <row r="10" spans="1:33" ht="15.75" customHeight="1">
      <c r="A10" s="527" t="s">
        <v>300</v>
      </c>
      <c r="B10" s="42" t="s">
        <v>100</v>
      </c>
      <c r="C10" s="523" t="s">
        <v>124</v>
      </c>
      <c r="D10" s="524"/>
      <c r="E10" s="42">
        <v>39.619999999999997</v>
      </c>
      <c r="F10" s="117">
        <v>2101</v>
      </c>
      <c r="G10" s="113">
        <f t="shared" ref="G10:G11" si="11">E10*F10</f>
        <v>83241.62</v>
      </c>
      <c r="H10" s="125" t="s">
        <v>79</v>
      </c>
      <c r="I10" s="112">
        <v>19</v>
      </c>
      <c r="J10" s="37">
        <v>1500</v>
      </c>
      <c r="K10" s="17">
        <f t="shared" si="1"/>
        <v>78.94736842105263</v>
      </c>
      <c r="L10" s="112">
        <v>19</v>
      </c>
      <c r="M10" s="18">
        <f t="shared" ref="M10:M11" si="12">F10/V10*60</f>
        <v>1432.5</v>
      </c>
      <c r="N10" s="17">
        <f t="shared" si="3"/>
        <v>75.39473684210526</v>
      </c>
      <c r="O10" s="19">
        <f t="shared" si="4"/>
        <v>0</v>
      </c>
      <c r="P10" s="20">
        <f t="shared" si="5"/>
        <v>-3.5526315789473699</v>
      </c>
      <c r="Q10" s="114">
        <f t="shared" si="6"/>
        <v>0.95499999999999996</v>
      </c>
      <c r="R10" s="489">
        <f>Q12</f>
        <v>0.9567805755395683</v>
      </c>
      <c r="S10" s="40">
        <v>0.16666666666666666</v>
      </c>
      <c r="T10" s="40">
        <v>0.22777777777777777</v>
      </c>
      <c r="U10" s="113"/>
      <c r="V10" s="115">
        <f t="shared" ref="V10:V11" si="13">(T10-S10)*24*60</f>
        <v>88</v>
      </c>
      <c r="W10" s="23">
        <f>T10</f>
        <v>0.22777777777777777</v>
      </c>
      <c r="X10" s="23">
        <f>S11</f>
        <v>0.24583333333333332</v>
      </c>
      <c r="Y10" s="23"/>
      <c r="Z10" s="23"/>
      <c r="AA10" s="491"/>
      <c r="AB10" s="491"/>
      <c r="AC10" s="25">
        <v>1</v>
      </c>
      <c r="AD10" s="25"/>
      <c r="AE10" s="19">
        <f t="shared" si="8"/>
        <v>-67.5</v>
      </c>
      <c r="AF10" s="114">
        <f t="shared" si="9"/>
        <v>0.95499999999999996</v>
      </c>
      <c r="AG10" s="489">
        <f>AF12</f>
        <v>0.9567805755395683</v>
      </c>
    </row>
    <row r="11" spans="1:33" ht="15.75" customHeight="1">
      <c r="A11" s="527" t="s">
        <v>301</v>
      </c>
      <c r="B11" s="42" t="s">
        <v>100</v>
      </c>
      <c r="C11" s="523" t="s">
        <v>125</v>
      </c>
      <c r="D11" s="524"/>
      <c r="E11" s="42">
        <v>39.799999999999997</v>
      </c>
      <c r="F11" s="117">
        <v>3331</v>
      </c>
      <c r="G11" s="113">
        <f t="shared" si="11"/>
        <v>132573.79999999999</v>
      </c>
      <c r="H11" s="125" t="s">
        <v>79</v>
      </c>
      <c r="I11" s="112">
        <v>17</v>
      </c>
      <c r="J11" s="37">
        <v>1500</v>
      </c>
      <c r="K11" s="17">
        <f t="shared" si="1"/>
        <v>88.235294117647058</v>
      </c>
      <c r="L11" s="112">
        <v>17</v>
      </c>
      <c r="M11" s="18">
        <f t="shared" si="12"/>
        <v>1437.8417266187048</v>
      </c>
      <c r="N11" s="17">
        <f t="shared" si="3"/>
        <v>84.578925095217926</v>
      </c>
      <c r="O11" s="19">
        <f t="shared" si="4"/>
        <v>0</v>
      </c>
      <c r="P11" s="20">
        <f t="shared" si="5"/>
        <v>-3.6563690224291321</v>
      </c>
      <c r="Q11" s="114">
        <f t="shared" si="6"/>
        <v>0.95856115107913653</v>
      </c>
      <c r="R11" s="489"/>
      <c r="S11" s="40">
        <v>0.24583333333333332</v>
      </c>
      <c r="T11" s="40">
        <v>0.34236111111111112</v>
      </c>
      <c r="U11" s="113">
        <f t="shared" ref="U11" si="14">IF(S11=TIME(17,0,0),"",(S11-T10)*24*60)</f>
        <v>25.999999999999986</v>
      </c>
      <c r="V11" s="115">
        <f t="shared" si="13"/>
        <v>139.00000000000003</v>
      </c>
      <c r="W11" s="23"/>
      <c r="X11" s="23"/>
      <c r="Y11" s="23"/>
      <c r="Z11" s="23"/>
      <c r="AA11" s="491"/>
      <c r="AB11" s="491"/>
      <c r="AC11" s="25"/>
      <c r="AD11" s="25"/>
      <c r="AE11" s="19">
        <f t="shared" si="8"/>
        <v>-62.158273381295203</v>
      </c>
      <c r="AF11" s="114">
        <f t="shared" si="9"/>
        <v>0.95856115107913653</v>
      </c>
      <c r="AG11" s="489"/>
    </row>
    <row r="12" spans="1:33" ht="16.5" customHeight="1">
      <c r="A12" s="527" t="s">
        <v>302</v>
      </c>
      <c r="B12" s="42" t="s">
        <v>303</v>
      </c>
      <c r="C12" s="494"/>
      <c r="D12" s="494"/>
      <c r="E12" s="118"/>
      <c r="F12" s="37"/>
      <c r="G12" s="18"/>
      <c r="H12" s="117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1435.1708633093524</v>
      </c>
      <c r="N12" s="17">
        <f t="shared" si="3"/>
        <v>79.731714628297354</v>
      </c>
      <c r="O12" s="19">
        <f t="shared" si="4"/>
        <v>0</v>
      </c>
      <c r="P12" s="20">
        <f t="shared" si="5"/>
        <v>-3.6016187050359747</v>
      </c>
      <c r="Q12" s="114">
        <f t="shared" si="6"/>
        <v>0.9567805755395683</v>
      </c>
      <c r="R12" s="489"/>
      <c r="S12" s="40"/>
      <c r="T12" s="40"/>
      <c r="U12" s="17"/>
      <c r="V12" s="115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f>SUM(AC10:AC11)</f>
        <v>1</v>
      </c>
      <c r="AD12" s="31">
        <f>SUM(AD10:AD11)</f>
        <v>0</v>
      </c>
      <c r="AE12" s="19">
        <f t="shared" si="8"/>
        <v>-64.829136690647601</v>
      </c>
      <c r="AF12" s="114">
        <f t="shared" si="9"/>
        <v>0.9567805755395683</v>
      </c>
      <c r="AG12" s="489"/>
    </row>
    <row r="13" spans="1:33" ht="16.5" customHeight="1">
      <c r="A13" s="525" t="s">
        <v>304</v>
      </c>
      <c r="B13" s="117" t="s">
        <v>126</v>
      </c>
      <c r="C13" s="515" t="s">
        <v>127</v>
      </c>
      <c r="D13" s="515"/>
      <c r="E13" s="42">
        <v>41</v>
      </c>
      <c r="F13" s="117">
        <v>1864</v>
      </c>
      <c r="G13" s="113">
        <f t="shared" ref="G13:G19" si="15">E13*F13</f>
        <v>76424</v>
      </c>
      <c r="H13" s="125" t="s">
        <v>79</v>
      </c>
      <c r="I13" s="112">
        <v>26</v>
      </c>
      <c r="J13" s="37">
        <v>1500</v>
      </c>
      <c r="K13" s="17">
        <f t="shared" si="1"/>
        <v>57.692307692307693</v>
      </c>
      <c r="L13" s="112">
        <v>26</v>
      </c>
      <c r="M13" s="18">
        <f t="shared" ref="M13:M19" si="16">F13/V13*60</f>
        <v>1433.8461538461538</v>
      </c>
      <c r="N13" s="17">
        <f t="shared" si="3"/>
        <v>55.147928994082839</v>
      </c>
      <c r="O13" s="19">
        <f t="shared" si="4"/>
        <v>0</v>
      </c>
      <c r="P13" s="20">
        <f t="shared" si="5"/>
        <v>-2.544378698224854</v>
      </c>
      <c r="Q13" s="114">
        <f t="shared" si="6"/>
        <v>0.95589743589743592</v>
      </c>
      <c r="R13" s="489">
        <f>Q20</f>
        <v>0.96510190586347266</v>
      </c>
      <c r="S13" s="40">
        <v>0.20833333333333334</v>
      </c>
      <c r="T13" s="40">
        <v>0.26250000000000001</v>
      </c>
      <c r="U13" s="113"/>
      <c r="V13" s="115">
        <f t="shared" ref="V13:V19" si="17">(T13-S13)*24*60</f>
        <v>78</v>
      </c>
      <c r="W13" s="28"/>
      <c r="X13" s="28"/>
      <c r="Y13" s="28"/>
      <c r="Z13" s="28"/>
      <c r="AA13" s="491"/>
      <c r="AB13" s="491"/>
      <c r="AC13" s="25">
        <v>3</v>
      </c>
      <c r="AD13" s="25"/>
      <c r="AE13" s="19">
        <f t="shared" si="8"/>
        <v>-66.153846153846189</v>
      </c>
      <c r="AF13" s="114">
        <f t="shared" si="9"/>
        <v>0.95589743589743592</v>
      </c>
      <c r="AG13" s="489">
        <f>AF20</f>
        <v>0.96510190586347266</v>
      </c>
    </row>
    <row r="14" spans="1:33" ht="16.5" customHeight="1">
      <c r="A14" s="526" t="s">
        <v>305</v>
      </c>
      <c r="B14" s="117" t="s">
        <v>128</v>
      </c>
      <c r="C14" s="515" t="s">
        <v>129</v>
      </c>
      <c r="D14" s="515"/>
      <c r="E14" s="42">
        <v>72.400000000000006</v>
      </c>
      <c r="F14" s="117">
        <v>693</v>
      </c>
      <c r="G14" s="113">
        <f t="shared" si="15"/>
        <v>50173.200000000004</v>
      </c>
      <c r="H14" s="125" t="s">
        <v>79</v>
      </c>
      <c r="I14" s="112">
        <v>18</v>
      </c>
      <c r="J14" s="37">
        <v>1500</v>
      </c>
      <c r="K14" s="17">
        <f t="shared" si="1"/>
        <v>83.333333333333329</v>
      </c>
      <c r="L14" s="112">
        <v>18</v>
      </c>
      <c r="M14" s="18">
        <f t="shared" si="16"/>
        <v>1433.793103448277</v>
      </c>
      <c r="N14" s="17">
        <f t="shared" si="3"/>
        <v>79.655172413793167</v>
      </c>
      <c r="O14" s="19">
        <f t="shared" si="4"/>
        <v>0</v>
      </c>
      <c r="P14" s="20">
        <f t="shared" si="5"/>
        <v>-3.6781609195401614</v>
      </c>
      <c r="Q14" s="114">
        <f t="shared" si="6"/>
        <v>0.95586206896551806</v>
      </c>
      <c r="R14" s="489"/>
      <c r="S14" s="40">
        <v>0.26597222222222222</v>
      </c>
      <c r="T14" s="40">
        <v>0.28611111111111109</v>
      </c>
      <c r="U14" s="113">
        <f t="shared" ref="U14:U19" si="18">IF(S14=TIME(17,0,0),"",(S14-T13)*24*60)</f>
        <v>4.9999999999999822</v>
      </c>
      <c r="V14" s="115">
        <f t="shared" si="17"/>
        <v>28.999999999999979</v>
      </c>
      <c r="W14" s="23"/>
      <c r="X14" s="23"/>
      <c r="Y14" s="23"/>
      <c r="Z14" s="23"/>
      <c r="AA14" s="491"/>
      <c r="AB14" s="491"/>
      <c r="AC14" s="25"/>
      <c r="AD14" s="25"/>
      <c r="AE14" s="19">
        <f t="shared" si="8"/>
        <v>-66.206896551723048</v>
      </c>
      <c r="AF14" s="114">
        <f t="shared" si="9"/>
        <v>0.95586206896551795</v>
      </c>
      <c r="AG14" s="489"/>
    </row>
    <row r="15" spans="1:33" ht="16.5" customHeight="1">
      <c r="A15" s="526" t="s">
        <v>304</v>
      </c>
      <c r="B15" s="117" t="s">
        <v>130</v>
      </c>
      <c r="C15" s="515" t="s">
        <v>131</v>
      </c>
      <c r="D15" s="515"/>
      <c r="E15" s="42">
        <v>50.67</v>
      </c>
      <c r="F15" s="117">
        <v>1586</v>
      </c>
      <c r="G15" s="113">
        <f t="shared" si="15"/>
        <v>80362.62000000001</v>
      </c>
      <c r="H15" s="125" t="s">
        <v>79</v>
      </c>
      <c r="I15" s="112">
        <v>16</v>
      </c>
      <c r="J15" s="37">
        <v>1500</v>
      </c>
      <c r="K15" s="17">
        <f t="shared" si="1"/>
        <v>93.75</v>
      </c>
      <c r="L15" s="112">
        <v>16</v>
      </c>
      <c r="M15" s="18">
        <f t="shared" si="16"/>
        <v>1441.818181818182</v>
      </c>
      <c r="N15" s="17">
        <f t="shared" si="3"/>
        <v>90.113636363636374</v>
      </c>
      <c r="O15" s="19">
        <f t="shared" si="4"/>
        <v>0</v>
      </c>
      <c r="P15" s="20">
        <f t="shared" si="5"/>
        <v>-3.636363636363626</v>
      </c>
      <c r="Q15" s="114">
        <f t="shared" si="6"/>
        <v>0.9612121212121213</v>
      </c>
      <c r="R15" s="489"/>
      <c r="S15" s="40">
        <v>0.2895833333333333</v>
      </c>
      <c r="T15" s="40">
        <v>0.33541666666666664</v>
      </c>
      <c r="U15" s="113">
        <f t="shared" si="18"/>
        <v>4.9999999999999822</v>
      </c>
      <c r="V15" s="115">
        <f t="shared" si="17"/>
        <v>66</v>
      </c>
      <c r="W15" s="23"/>
      <c r="X15" s="23"/>
      <c r="Y15" s="23"/>
      <c r="Z15" s="23"/>
      <c r="AA15" s="491"/>
      <c r="AB15" s="491"/>
      <c r="AC15" s="25"/>
      <c r="AD15" s="25"/>
      <c r="AE15" s="19">
        <f t="shared" si="8"/>
        <v>-58.181818181818016</v>
      </c>
      <c r="AF15" s="114">
        <f t="shared" si="9"/>
        <v>0.9612121212121213</v>
      </c>
      <c r="AG15" s="489"/>
    </row>
    <row r="16" spans="1:33" ht="16.5" customHeight="1">
      <c r="A16" s="526" t="s">
        <v>305</v>
      </c>
      <c r="B16" s="117" t="s">
        <v>103</v>
      </c>
      <c r="C16" s="515" t="s">
        <v>123</v>
      </c>
      <c r="D16" s="515"/>
      <c r="E16" s="42">
        <v>50.98</v>
      </c>
      <c r="F16" s="117">
        <v>500</v>
      </c>
      <c r="G16" s="113">
        <f t="shared" si="15"/>
        <v>25490</v>
      </c>
      <c r="H16" s="125">
        <v>2</v>
      </c>
      <c r="I16" s="112">
        <v>16</v>
      </c>
      <c r="J16" s="37">
        <v>2000</v>
      </c>
      <c r="K16" s="17">
        <f t="shared" si="1"/>
        <v>125</v>
      </c>
      <c r="L16" s="112">
        <v>16</v>
      </c>
      <c r="M16" s="18">
        <f t="shared" si="16"/>
        <v>2000.000000000007</v>
      </c>
      <c r="N16" s="17">
        <f t="shared" si="3"/>
        <v>125.00000000000044</v>
      </c>
      <c r="O16" s="19">
        <f t="shared" si="4"/>
        <v>0</v>
      </c>
      <c r="P16" s="20">
        <f t="shared" si="5"/>
        <v>4.4053649617126212E-13</v>
      </c>
      <c r="Q16" s="114">
        <f t="shared" si="6"/>
        <v>1.0000000000000036</v>
      </c>
      <c r="R16" s="489"/>
      <c r="S16" s="40">
        <v>0.70833333333333337</v>
      </c>
      <c r="T16" s="40">
        <v>0.71875</v>
      </c>
      <c r="U16" s="113" t="str">
        <f t="shared" si="18"/>
        <v/>
      </c>
      <c r="V16" s="115">
        <f t="shared" si="17"/>
        <v>14.999999999999947</v>
      </c>
      <c r="W16" s="23"/>
      <c r="X16" s="23"/>
      <c r="Y16" s="23"/>
      <c r="Z16" s="23"/>
      <c r="AA16" s="491"/>
      <c r="AB16" s="491"/>
      <c r="AC16" s="25"/>
      <c r="AD16" s="25"/>
      <c r="AE16" s="19">
        <f t="shared" si="8"/>
        <v>7.0485839387401938E-12</v>
      </c>
      <c r="AF16" s="114">
        <f t="shared" si="9"/>
        <v>1.0000000000000036</v>
      </c>
      <c r="AG16" s="489"/>
    </row>
    <row r="17" spans="1:33" ht="16.5" customHeight="1">
      <c r="A17" s="526" t="s">
        <v>305</v>
      </c>
      <c r="B17" s="117" t="s">
        <v>103</v>
      </c>
      <c r="C17" s="515" t="s">
        <v>132</v>
      </c>
      <c r="D17" s="515"/>
      <c r="E17" s="42">
        <v>50.92</v>
      </c>
      <c r="F17" s="117">
        <v>2233</v>
      </c>
      <c r="G17" s="113">
        <f t="shared" si="15"/>
        <v>113704.36</v>
      </c>
      <c r="H17" s="125" t="s">
        <v>79</v>
      </c>
      <c r="I17" s="112">
        <v>15</v>
      </c>
      <c r="J17" s="37">
        <v>2000</v>
      </c>
      <c r="K17" s="17">
        <f t="shared" si="1"/>
        <v>133.33333333333334</v>
      </c>
      <c r="L17" s="112">
        <v>15</v>
      </c>
      <c r="M17" s="18">
        <f t="shared" si="16"/>
        <v>1913.999999999998</v>
      </c>
      <c r="N17" s="17">
        <f t="shared" si="3"/>
        <v>127.59999999999987</v>
      </c>
      <c r="O17" s="19">
        <f t="shared" si="4"/>
        <v>0</v>
      </c>
      <c r="P17" s="20">
        <f t="shared" si="5"/>
        <v>-5.7333333333334764</v>
      </c>
      <c r="Q17" s="114">
        <f t="shared" si="6"/>
        <v>0.95699999999999896</v>
      </c>
      <c r="R17" s="489"/>
      <c r="S17" s="40">
        <v>0.72430555555555554</v>
      </c>
      <c r="T17" s="40">
        <v>0.7729166666666667</v>
      </c>
      <c r="U17" s="113">
        <f t="shared" si="18"/>
        <v>7.9999999999999716</v>
      </c>
      <c r="V17" s="115">
        <f t="shared" si="17"/>
        <v>70.000000000000071</v>
      </c>
      <c r="W17" s="23"/>
      <c r="X17" s="23"/>
      <c r="Y17" s="23"/>
      <c r="Z17" s="23"/>
      <c r="AA17" s="491"/>
      <c r="AB17" s="491"/>
      <c r="AC17" s="25"/>
      <c r="AD17" s="25"/>
      <c r="AE17" s="19">
        <f t="shared" si="8"/>
        <v>-86.000000000002046</v>
      </c>
      <c r="AF17" s="114">
        <f t="shared" si="9"/>
        <v>0.95699999999999896</v>
      </c>
      <c r="AG17" s="489"/>
    </row>
    <row r="18" spans="1:33" ht="16.5" customHeight="1">
      <c r="A18" s="526" t="s">
        <v>52</v>
      </c>
      <c r="B18" s="117" t="s">
        <v>103</v>
      </c>
      <c r="C18" s="521" t="s">
        <v>133</v>
      </c>
      <c r="D18" s="522"/>
      <c r="E18" s="42">
        <v>50.67</v>
      </c>
      <c r="F18" s="117">
        <v>1441</v>
      </c>
      <c r="G18" s="113">
        <f t="shared" si="15"/>
        <v>73015.47</v>
      </c>
      <c r="H18" s="125" t="s">
        <v>79</v>
      </c>
      <c r="I18" s="112">
        <v>15</v>
      </c>
      <c r="J18" s="37">
        <v>2000</v>
      </c>
      <c r="K18" s="17">
        <f t="shared" si="1"/>
        <v>133.33333333333334</v>
      </c>
      <c r="L18" s="112">
        <v>15</v>
      </c>
      <c r="M18" s="18">
        <f t="shared" si="16"/>
        <v>1921.3333333333335</v>
      </c>
      <c r="N18" s="17">
        <f t="shared" si="3"/>
        <v>128.0888888888889</v>
      </c>
      <c r="O18" s="19">
        <f t="shared" si="4"/>
        <v>0</v>
      </c>
      <c r="P18" s="20">
        <f t="shared" si="5"/>
        <v>-5.24444444444444</v>
      </c>
      <c r="Q18" s="114">
        <f t="shared" si="6"/>
        <v>0.96066666666666667</v>
      </c>
      <c r="R18" s="489"/>
      <c r="S18" s="40">
        <v>0.77638888888888891</v>
      </c>
      <c r="T18" s="40">
        <v>0.80763888888888891</v>
      </c>
      <c r="U18" s="113">
        <f t="shared" si="18"/>
        <v>4.9999999999999822</v>
      </c>
      <c r="V18" s="115">
        <f t="shared" si="17"/>
        <v>45</v>
      </c>
      <c r="W18" s="23"/>
      <c r="X18" s="23"/>
      <c r="Y18" s="26"/>
      <c r="Z18" s="26"/>
      <c r="AA18" s="503"/>
      <c r="AB18" s="504"/>
      <c r="AC18" s="25"/>
      <c r="AD18" s="25"/>
      <c r="AE18" s="19">
        <f t="shared" si="8"/>
        <v>-78.666666666666515</v>
      </c>
      <c r="AF18" s="114">
        <f t="shared" si="9"/>
        <v>0.96066666666666678</v>
      </c>
      <c r="AG18" s="489"/>
    </row>
    <row r="19" spans="1:33" ht="16.5" customHeight="1">
      <c r="A19" s="526" t="s">
        <v>305</v>
      </c>
      <c r="B19" s="117" t="s">
        <v>103</v>
      </c>
      <c r="C19" s="120" t="s">
        <v>134</v>
      </c>
      <c r="D19" s="121"/>
      <c r="E19" s="42">
        <v>57.3</v>
      </c>
      <c r="F19" s="117">
        <v>1887</v>
      </c>
      <c r="G19" s="113">
        <f t="shared" si="15"/>
        <v>108125.09999999999</v>
      </c>
      <c r="H19" s="125" t="s">
        <v>79</v>
      </c>
      <c r="I19" s="112">
        <v>13</v>
      </c>
      <c r="J19" s="37">
        <v>2000</v>
      </c>
      <c r="K19" s="17">
        <f t="shared" si="1"/>
        <v>153.84615384615384</v>
      </c>
      <c r="L19" s="112">
        <v>13</v>
      </c>
      <c r="M19" s="18">
        <f t="shared" si="16"/>
        <v>1918.9830508474593</v>
      </c>
      <c r="N19" s="17">
        <f t="shared" si="3"/>
        <v>147.61408083441995</v>
      </c>
      <c r="O19" s="19">
        <f t="shared" si="4"/>
        <v>0</v>
      </c>
      <c r="P19" s="20">
        <f t="shared" si="5"/>
        <v>-6.2320730117338883</v>
      </c>
      <c r="Q19" s="114">
        <f t="shared" si="6"/>
        <v>0.95949152542372973</v>
      </c>
      <c r="R19" s="489"/>
      <c r="S19" s="40">
        <v>0.81319444444444444</v>
      </c>
      <c r="T19" s="40">
        <v>0.85416666666666663</v>
      </c>
      <c r="U19" s="113">
        <f t="shared" si="18"/>
        <v>7.9999999999999716</v>
      </c>
      <c r="V19" s="115">
        <f t="shared" si="17"/>
        <v>58.99999999999995</v>
      </c>
      <c r="W19" s="23"/>
      <c r="X19" s="23"/>
      <c r="Y19" s="26"/>
      <c r="Z19" s="26"/>
      <c r="AA19" s="503"/>
      <c r="AB19" s="504"/>
      <c r="AC19" s="25"/>
      <c r="AD19" s="25"/>
      <c r="AE19" s="19">
        <f t="shared" si="8"/>
        <v>-81.016949152540747</v>
      </c>
      <c r="AF19" s="114">
        <f t="shared" si="9"/>
        <v>0.95949152542372962</v>
      </c>
      <c r="AG19" s="489"/>
    </row>
    <row r="20" spans="1:33" ht="16.5" customHeight="1">
      <c r="A20" s="526" t="s">
        <v>306</v>
      </c>
      <c r="B20" s="42" t="s">
        <v>299</v>
      </c>
      <c r="C20" s="494"/>
      <c r="D20" s="494"/>
      <c r="E20" s="118"/>
      <c r="F20" s="44"/>
      <c r="G20" s="17"/>
      <c r="H20" s="117"/>
      <c r="I20" s="30">
        <v>17</v>
      </c>
      <c r="J20" s="37">
        <v>1785.7142857142858</v>
      </c>
      <c r="K20" s="17">
        <f t="shared" si="1"/>
        <v>105.0420168067227</v>
      </c>
      <c r="L20" s="30">
        <v>17</v>
      </c>
      <c r="M20" s="18">
        <f>AVERAGE(M13:M19)</f>
        <v>1723.3962604704871</v>
      </c>
      <c r="N20" s="17">
        <f t="shared" si="3"/>
        <v>101.376250615911</v>
      </c>
      <c r="O20" s="19">
        <f t="shared" si="4"/>
        <v>0</v>
      </c>
      <c r="P20" s="20">
        <f t="shared" si="5"/>
        <v>-3.665766190811695</v>
      </c>
      <c r="Q20" s="114">
        <f t="shared" si="6"/>
        <v>0.96510190586347266</v>
      </c>
      <c r="R20" s="489"/>
      <c r="S20" s="40"/>
      <c r="T20" s="40"/>
      <c r="U20" s="113"/>
      <c r="V20" s="115"/>
      <c r="W20" s="17"/>
      <c r="X20" s="17"/>
      <c r="Y20" s="31">
        <f>SUM(Y13:Y19)</f>
        <v>0</v>
      </c>
      <c r="Z20" s="31">
        <f>SUM(Z13:Z19)</f>
        <v>0</v>
      </c>
      <c r="AA20" s="495"/>
      <c r="AB20" s="495"/>
      <c r="AC20" s="31">
        <f>SUM(AC13:AC19)</f>
        <v>3</v>
      </c>
      <c r="AD20" s="31">
        <f>SUM(AD13:AD19)</f>
        <v>0</v>
      </c>
      <c r="AE20" s="19">
        <f t="shared" si="8"/>
        <v>-62.318025243798729</v>
      </c>
      <c r="AF20" s="114">
        <f t="shared" si="9"/>
        <v>0.96510190586347266</v>
      </c>
      <c r="AG20" s="489"/>
    </row>
    <row r="21" spans="1:33" ht="15.75" customHeight="1">
      <c r="A21" s="519" t="s">
        <v>307</v>
      </c>
      <c r="B21" s="42" t="s">
        <v>126</v>
      </c>
      <c r="C21" s="515" t="s">
        <v>135</v>
      </c>
      <c r="D21" s="515"/>
      <c r="E21" s="42">
        <v>43.14</v>
      </c>
      <c r="F21" s="117">
        <v>793</v>
      </c>
      <c r="G21" s="113">
        <f t="shared" ref="G21:G28" si="19">E21*F21</f>
        <v>34210.020000000004</v>
      </c>
      <c r="H21" s="125" t="s">
        <v>79</v>
      </c>
      <c r="I21" s="112">
        <v>17</v>
      </c>
      <c r="J21" s="37">
        <v>2000</v>
      </c>
      <c r="K21" s="17">
        <f t="shared" si="1"/>
        <v>117.64705882352941</v>
      </c>
      <c r="L21" s="112">
        <v>17</v>
      </c>
      <c r="M21" s="18">
        <f t="shared" ref="M21:M28" si="20">F21/V21*60</f>
        <v>1982.5000000000007</v>
      </c>
      <c r="N21" s="17">
        <f t="shared" si="3"/>
        <v>116.61764705882356</v>
      </c>
      <c r="O21" s="19">
        <f t="shared" si="4"/>
        <v>0</v>
      </c>
      <c r="P21" s="20">
        <f t="shared" si="5"/>
        <v>-1.0294117647058414</v>
      </c>
      <c r="Q21" s="114">
        <f t="shared" si="6"/>
        <v>0.9912500000000003</v>
      </c>
      <c r="R21" s="489">
        <f>Q29</f>
        <v>0.96416094638050764</v>
      </c>
      <c r="S21" s="40">
        <v>0.20833333333333334</v>
      </c>
      <c r="T21" s="40">
        <v>0.22500000000000001</v>
      </c>
      <c r="U21" s="113"/>
      <c r="V21" s="115">
        <f t="shared" ref="V21:V28" si="21">(T21-S21)*24*60</f>
        <v>23.999999999999993</v>
      </c>
      <c r="W21" s="28"/>
      <c r="X21" s="28"/>
      <c r="Y21" s="28"/>
      <c r="Z21" s="28"/>
      <c r="AA21" s="491"/>
      <c r="AB21" s="491"/>
      <c r="AC21" s="25">
        <v>3</v>
      </c>
      <c r="AD21" s="25"/>
      <c r="AE21" s="19">
        <f t="shared" si="8"/>
        <v>-17.499999999999318</v>
      </c>
      <c r="AF21" s="114">
        <f t="shared" si="9"/>
        <v>0.9912500000000003</v>
      </c>
      <c r="AG21" s="489">
        <f>AF29</f>
        <v>0.96416094638050764</v>
      </c>
    </row>
    <row r="22" spans="1:33" ht="15.75" customHeight="1">
      <c r="A22" s="520" t="s">
        <v>308</v>
      </c>
      <c r="B22" s="42" t="s">
        <v>130</v>
      </c>
      <c r="C22" s="515" t="s">
        <v>136</v>
      </c>
      <c r="D22" s="515"/>
      <c r="E22" s="42">
        <v>49.9</v>
      </c>
      <c r="F22" s="117">
        <v>826</v>
      </c>
      <c r="G22" s="113">
        <f t="shared" si="19"/>
        <v>41217.4</v>
      </c>
      <c r="H22" s="125" t="s">
        <v>79</v>
      </c>
      <c r="I22" s="112">
        <v>17</v>
      </c>
      <c r="J22" s="37">
        <v>2000</v>
      </c>
      <c r="K22" s="17">
        <f t="shared" si="1"/>
        <v>117.64705882352941</v>
      </c>
      <c r="L22" s="112">
        <v>17</v>
      </c>
      <c r="M22" s="18">
        <f t="shared" si="20"/>
        <v>1906.1538461538473</v>
      </c>
      <c r="N22" s="17">
        <f t="shared" si="3"/>
        <v>112.12669683257926</v>
      </c>
      <c r="O22" s="19">
        <f t="shared" si="4"/>
        <v>0</v>
      </c>
      <c r="P22" s="20">
        <f t="shared" si="5"/>
        <v>-5.5203619909501498</v>
      </c>
      <c r="Q22" s="114">
        <f t="shared" si="6"/>
        <v>0.95307692307692371</v>
      </c>
      <c r="R22" s="489"/>
      <c r="S22" s="40">
        <v>0.22847222222222222</v>
      </c>
      <c r="T22" s="40">
        <v>0.24652777777777776</v>
      </c>
      <c r="U22" s="113">
        <f t="shared" ref="U22:U28" si="22">IF(S22=TIME(17,0,0),"",(S22-T21)*24*60)</f>
        <v>4.9999999999999822</v>
      </c>
      <c r="V22" s="115">
        <f t="shared" si="21"/>
        <v>25.999999999999986</v>
      </c>
      <c r="W22" s="23"/>
      <c r="X22" s="113"/>
      <c r="Y22" s="113"/>
      <c r="Z22" s="113"/>
      <c r="AA22" s="491"/>
      <c r="AB22" s="491"/>
      <c r="AC22" s="25"/>
      <c r="AD22" s="25"/>
      <c r="AE22" s="19">
        <f t="shared" si="8"/>
        <v>-93.846153846152674</v>
      </c>
      <c r="AF22" s="114">
        <f t="shared" si="9"/>
        <v>0.95307692307692371</v>
      </c>
      <c r="AG22" s="489"/>
    </row>
    <row r="23" spans="1:33" ht="15.75" customHeight="1">
      <c r="A23" s="520" t="s">
        <v>309</v>
      </c>
      <c r="B23" s="42" t="s">
        <v>103</v>
      </c>
      <c r="C23" s="515" t="s">
        <v>137</v>
      </c>
      <c r="D23" s="515"/>
      <c r="E23" s="42">
        <v>57.73</v>
      </c>
      <c r="F23" s="117">
        <v>2260</v>
      </c>
      <c r="G23" s="113">
        <f t="shared" si="19"/>
        <v>130469.79999999999</v>
      </c>
      <c r="H23" s="125" t="s">
        <v>79</v>
      </c>
      <c r="I23" s="112">
        <v>14</v>
      </c>
      <c r="J23" s="37">
        <v>2000</v>
      </c>
      <c r="K23" s="17">
        <f t="shared" si="1"/>
        <v>142.85714285714286</v>
      </c>
      <c r="L23" s="112">
        <v>14</v>
      </c>
      <c r="M23" s="18">
        <f t="shared" si="20"/>
        <v>1909.8591549295777</v>
      </c>
      <c r="N23" s="17">
        <f t="shared" si="3"/>
        <v>136.41851106639839</v>
      </c>
      <c r="O23" s="19">
        <f t="shared" si="4"/>
        <v>0</v>
      </c>
      <c r="P23" s="20">
        <f t="shared" si="5"/>
        <v>-6.4386317907444663</v>
      </c>
      <c r="Q23" s="114">
        <f t="shared" si="6"/>
        <v>0.95492957746478868</v>
      </c>
      <c r="R23" s="489"/>
      <c r="S23" s="40">
        <v>0.25138888888888888</v>
      </c>
      <c r="T23" s="40">
        <v>0.30069444444444443</v>
      </c>
      <c r="U23" s="113">
        <f t="shared" si="22"/>
        <v>7.0000000000000151</v>
      </c>
      <c r="V23" s="115">
        <f t="shared" si="21"/>
        <v>70.999999999999986</v>
      </c>
      <c r="W23" s="23"/>
      <c r="X23" s="113"/>
      <c r="Y23" s="113"/>
      <c r="Z23" s="113"/>
      <c r="AA23" s="491"/>
      <c r="AB23" s="491"/>
      <c r="AC23" s="25"/>
      <c r="AD23" s="25"/>
      <c r="AE23" s="19">
        <f t="shared" si="8"/>
        <v>-90.140845070422301</v>
      </c>
      <c r="AF23" s="114">
        <f t="shared" si="9"/>
        <v>0.9549295774647889</v>
      </c>
      <c r="AG23" s="489"/>
    </row>
    <row r="24" spans="1:33" ht="15.75" customHeight="1">
      <c r="A24" s="520" t="s">
        <v>307</v>
      </c>
      <c r="B24" s="42" t="s">
        <v>103</v>
      </c>
      <c r="C24" s="515" t="s">
        <v>138</v>
      </c>
      <c r="D24" s="515"/>
      <c r="E24" s="42">
        <v>53.68</v>
      </c>
      <c r="F24" s="117">
        <v>1302</v>
      </c>
      <c r="G24" s="113">
        <f t="shared" si="19"/>
        <v>69891.360000000001</v>
      </c>
      <c r="H24" s="125" t="s">
        <v>79</v>
      </c>
      <c r="I24" s="112">
        <v>16</v>
      </c>
      <c r="J24" s="37">
        <v>2000</v>
      </c>
      <c r="K24" s="17">
        <f t="shared" si="1"/>
        <v>125</v>
      </c>
      <c r="L24" s="112">
        <v>16</v>
      </c>
      <c r="M24" s="18">
        <f t="shared" si="20"/>
        <v>1905.3658536585358</v>
      </c>
      <c r="N24" s="17">
        <f t="shared" si="3"/>
        <v>119.08536585365849</v>
      </c>
      <c r="O24" s="19">
        <f t="shared" si="4"/>
        <v>0</v>
      </c>
      <c r="P24" s="20">
        <f t="shared" si="5"/>
        <v>-5.9146341463415126</v>
      </c>
      <c r="Q24" s="114">
        <f t="shared" si="6"/>
        <v>0.95268292682926792</v>
      </c>
      <c r="R24" s="489"/>
      <c r="S24" s="40">
        <v>0.30486111111111108</v>
      </c>
      <c r="T24" s="40">
        <v>0.33333333333333331</v>
      </c>
      <c r="U24" s="113">
        <f t="shared" si="22"/>
        <v>5.9999999999999787</v>
      </c>
      <c r="V24" s="115">
        <f t="shared" si="21"/>
        <v>41.000000000000014</v>
      </c>
      <c r="W24" s="23"/>
      <c r="X24" s="113"/>
      <c r="Y24" s="113"/>
      <c r="Z24" s="113"/>
      <c r="AA24" s="491"/>
      <c r="AB24" s="491"/>
      <c r="AC24" s="25"/>
      <c r="AD24" s="25"/>
      <c r="AE24" s="19">
        <f t="shared" si="8"/>
        <v>-94.634146341464202</v>
      </c>
      <c r="AF24" s="114">
        <f t="shared" si="9"/>
        <v>0.95268292682926792</v>
      </c>
      <c r="AG24" s="489"/>
    </row>
    <row r="25" spans="1:33" ht="15.75" customHeight="1">
      <c r="A25" s="520" t="s">
        <v>307</v>
      </c>
      <c r="B25" s="42" t="s">
        <v>103</v>
      </c>
      <c r="C25" s="515" t="s">
        <v>139</v>
      </c>
      <c r="D25" s="515"/>
      <c r="E25" s="42">
        <v>49.91</v>
      </c>
      <c r="F25" s="117">
        <v>694</v>
      </c>
      <c r="G25" s="113">
        <f t="shared" si="19"/>
        <v>34637.54</v>
      </c>
      <c r="H25" s="125" t="s">
        <v>79</v>
      </c>
      <c r="I25" s="112">
        <v>17</v>
      </c>
      <c r="J25" s="37">
        <v>2000</v>
      </c>
      <c r="K25" s="17">
        <f t="shared" si="1"/>
        <v>117.64705882352941</v>
      </c>
      <c r="L25" s="112">
        <v>17</v>
      </c>
      <c r="M25" s="18">
        <f t="shared" si="20"/>
        <v>1982.8571428571422</v>
      </c>
      <c r="N25" s="17">
        <f t="shared" si="3"/>
        <v>116.63865546218483</v>
      </c>
      <c r="O25" s="19">
        <f t="shared" si="4"/>
        <v>0</v>
      </c>
      <c r="P25" s="20">
        <f t="shared" si="5"/>
        <v>-1.0084033613445769</v>
      </c>
      <c r="Q25" s="114">
        <f t="shared" si="6"/>
        <v>0.9914285714285711</v>
      </c>
      <c r="R25" s="489"/>
      <c r="S25" s="40">
        <v>0.33680555555555552</v>
      </c>
      <c r="T25" s="40">
        <v>0.35138888888888886</v>
      </c>
      <c r="U25" s="113">
        <f t="shared" si="22"/>
        <v>4.9999999999999822</v>
      </c>
      <c r="V25" s="115">
        <f t="shared" si="21"/>
        <v>21.000000000000007</v>
      </c>
      <c r="W25" s="23"/>
      <c r="X25" s="113"/>
      <c r="Y25" s="113"/>
      <c r="Z25" s="113"/>
      <c r="AA25" s="491"/>
      <c r="AB25" s="491"/>
      <c r="AC25" s="25"/>
      <c r="AD25" s="25"/>
      <c r="AE25" s="19">
        <f t="shared" si="8"/>
        <v>-17.142857142857792</v>
      </c>
      <c r="AF25" s="114">
        <f t="shared" si="9"/>
        <v>0.9914285714285711</v>
      </c>
      <c r="AG25" s="489"/>
    </row>
    <row r="26" spans="1:33" ht="15.75" customHeight="1">
      <c r="A26" s="520" t="s">
        <v>309</v>
      </c>
      <c r="B26" s="42" t="s">
        <v>103</v>
      </c>
      <c r="C26" s="515" t="s">
        <v>140</v>
      </c>
      <c r="D26" s="515"/>
      <c r="E26" s="42">
        <v>50.49</v>
      </c>
      <c r="F26" s="117">
        <v>1775</v>
      </c>
      <c r="G26" s="113">
        <f t="shared" si="19"/>
        <v>89619.75</v>
      </c>
      <c r="H26" s="125" t="s">
        <v>79</v>
      </c>
      <c r="I26" s="112">
        <v>15</v>
      </c>
      <c r="J26" s="37">
        <v>2000</v>
      </c>
      <c r="K26" s="17">
        <f t="shared" si="1"/>
        <v>133.33333333333334</v>
      </c>
      <c r="L26" s="112">
        <v>15</v>
      </c>
      <c r="M26" s="18">
        <f t="shared" si="20"/>
        <v>1901.7857142857156</v>
      </c>
      <c r="N26" s="17">
        <f t="shared" si="3"/>
        <v>126.78571428571438</v>
      </c>
      <c r="O26" s="19">
        <f t="shared" si="4"/>
        <v>0</v>
      </c>
      <c r="P26" s="20">
        <f t="shared" si="5"/>
        <v>-6.5476190476189657</v>
      </c>
      <c r="Q26" s="114">
        <f t="shared" si="6"/>
        <v>0.95089285714285776</v>
      </c>
      <c r="R26" s="489"/>
      <c r="S26" s="40">
        <v>0.70833333333333337</v>
      </c>
      <c r="T26" s="40">
        <v>0.74722222222222223</v>
      </c>
      <c r="U26" s="113" t="str">
        <f t="shared" si="22"/>
        <v/>
      </c>
      <c r="V26" s="115">
        <f t="shared" si="21"/>
        <v>55.999999999999957</v>
      </c>
      <c r="W26" s="23"/>
      <c r="X26" s="28"/>
      <c r="Y26" s="28"/>
      <c r="Z26" s="28"/>
      <c r="AA26" s="491"/>
      <c r="AB26" s="491"/>
      <c r="AC26" s="25"/>
      <c r="AD26" s="25"/>
      <c r="AE26" s="19">
        <f t="shared" si="8"/>
        <v>-98.214285714284415</v>
      </c>
      <c r="AF26" s="114">
        <f t="shared" si="9"/>
        <v>0.95089285714285776</v>
      </c>
      <c r="AG26" s="489"/>
    </row>
    <row r="27" spans="1:33" ht="15.75" customHeight="1">
      <c r="A27" s="520" t="s">
        <v>307</v>
      </c>
      <c r="B27" s="42" t="s">
        <v>103</v>
      </c>
      <c r="C27" s="515" t="s">
        <v>141</v>
      </c>
      <c r="D27" s="515"/>
      <c r="E27" s="42">
        <v>57.73</v>
      </c>
      <c r="F27" s="117">
        <v>1174</v>
      </c>
      <c r="G27" s="113">
        <f t="shared" si="19"/>
        <v>67775.01999999999</v>
      </c>
      <c r="H27" s="125" t="s">
        <v>79</v>
      </c>
      <c r="I27" s="112">
        <v>16</v>
      </c>
      <c r="J27" s="37">
        <v>1500</v>
      </c>
      <c r="K27" s="17">
        <f t="shared" si="1"/>
        <v>93.75</v>
      </c>
      <c r="L27" s="112">
        <v>16</v>
      </c>
      <c r="M27" s="18">
        <f t="shared" si="20"/>
        <v>1437.5510204081636</v>
      </c>
      <c r="N27" s="17">
        <f t="shared" si="3"/>
        <v>89.846938775510225</v>
      </c>
      <c r="O27" s="19">
        <f t="shared" si="4"/>
        <v>0</v>
      </c>
      <c r="P27" s="20">
        <f t="shared" si="5"/>
        <v>-3.9030612244897753</v>
      </c>
      <c r="Q27" s="114">
        <f t="shared" si="6"/>
        <v>0.95836734693877568</v>
      </c>
      <c r="R27" s="489"/>
      <c r="S27" s="40">
        <v>0.75277777777777777</v>
      </c>
      <c r="T27" s="40">
        <v>0.78680555555555554</v>
      </c>
      <c r="U27" s="113">
        <f t="shared" si="22"/>
        <v>7.9999999999999716</v>
      </c>
      <c r="V27" s="115">
        <f t="shared" si="21"/>
        <v>48.999999999999986</v>
      </c>
      <c r="W27" s="23"/>
      <c r="X27" s="28"/>
      <c r="Y27" s="29"/>
      <c r="Z27" s="29"/>
      <c r="AA27" s="503"/>
      <c r="AB27" s="504"/>
      <c r="AC27" s="25"/>
      <c r="AD27" s="25"/>
      <c r="AE27" s="19">
        <f t="shared" si="8"/>
        <v>-62.448979591836405</v>
      </c>
      <c r="AF27" s="114">
        <f t="shared" si="9"/>
        <v>0.95836734693877568</v>
      </c>
      <c r="AG27" s="489"/>
    </row>
    <row r="28" spans="1:33" ht="15.75" customHeight="1">
      <c r="A28" s="520" t="s">
        <v>308</v>
      </c>
      <c r="B28" s="42" t="s">
        <v>103</v>
      </c>
      <c r="C28" s="521" t="s">
        <v>142</v>
      </c>
      <c r="D28" s="522"/>
      <c r="E28" s="42">
        <v>53.68</v>
      </c>
      <c r="F28" s="117">
        <v>1963</v>
      </c>
      <c r="G28" s="113">
        <f t="shared" si="19"/>
        <v>105373.84</v>
      </c>
      <c r="H28" s="125" t="s">
        <v>79</v>
      </c>
      <c r="I28" s="112">
        <v>16</v>
      </c>
      <c r="J28" s="37">
        <v>1500</v>
      </c>
      <c r="K28" s="17">
        <f t="shared" si="1"/>
        <v>93.75</v>
      </c>
      <c r="L28" s="112">
        <v>16</v>
      </c>
      <c r="M28" s="18">
        <f t="shared" si="20"/>
        <v>1436.3414634146336</v>
      </c>
      <c r="N28" s="17">
        <f t="shared" si="3"/>
        <v>89.771341463414601</v>
      </c>
      <c r="O28" s="19">
        <f t="shared" si="4"/>
        <v>0</v>
      </c>
      <c r="P28" s="20">
        <f t="shared" si="5"/>
        <v>-3.9786585365853995</v>
      </c>
      <c r="Q28" s="114">
        <f t="shared" si="6"/>
        <v>0.95756097560975573</v>
      </c>
      <c r="R28" s="489"/>
      <c r="S28" s="40">
        <v>0.79236111111111107</v>
      </c>
      <c r="T28" s="40">
        <v>0.84930555555555554</v>
      </c>
      <c r="U28" s="113">
        <f t="shared" si="22"/>
        <v>7.9999999999999716</v>
      </c>
      <c r="V28" s="115">
        <f t="shared" si="21"/>
        <v>82.000000000000028</v>
      </c>
      <c r="W28" s="23"/>
      <c r="X28" s="23"/>
      <c r="Y28" s="26"/>
      <c r="Z28" s="26"/>
      <c r="AA28" s="503"/>
      <c r="AB28" s="504"/>
      <c r="AC28" s="25"/>
      <c r="AD28" s="25"/>
      <c r="AE28" s="19">
        <f t="shared" si="8"/>
        <v>-63.658536585366392</v>
      </c>
      <c r="AF28" s="114">
        <f t="shared" si="9"/>
        <v>0.95756097560975573</v>
      </c>
      <c r="AG28" s="489"/>
    </row>
    <row r="29" spans="1:33" ht="15.75" customHeight="1">
      <c r="A29" s="520" t="s">
        <v>308</v>
      </c>
      <c r="B29" s="42" t="s">
        <v>303</v>
      </c>
      <c r="C29" s="494"/>
      <c r="D29" s="494"/>
      <c r="E29" s="118"/>
      <c r="F29" s="117"/>
      <c r="G29" s="113"/>
      <c r="H29" s="117"/>
      <c r="I29" s="30">
        <v>16</v>
      </c>
      <c r="J29" s="37">
        <v>1875</v>
      </c>
      <c r="K29" s="17">
        <f t="shared" si="1"/>
        <v>117.1875</v>
      </c>
      <c r="L29" s="30">
        <v>16</v>
      </c>
      <c r="M29" s="18">
        <f>AVERAGE(M21:M28)</f>
        <v>1807.8017744634519</v>
      </c>
      <c r="N29" s="17">
        <f t="shared" si="3"/>
        <v>112.98761090396575</v>
      </c>
      <c r="O29" s="19">
        <f t="shared" si="4"/>
        <v>0</v>
      </c>
      <c r="P29" s="20">
        <f t="shared" si="5"/>
        <v>-4.199889096034255</v>
      </c>
      <c r="Q29" s="114">
        <f t="shared" si="6"/>
        <v>0.96416094638050764</v>
      </c>
      <c r="R29" s="489"/>
      <c r="S29" s="40"/>
      <c r="T29" s="40"/>
      <c r="U29" s="17"/>
      <c r="V29" s="115"/>
      <c r="W29" s="17"/>
      <c r="X29" s="17"/>
      <c r="Y29" s="31">
        <f>SUM(Y21:Y28)</f>
        <v>0</v>
      </c>
      <c r="Z29" s="31">
        <f>SUM(Z21:Z28)</f>
        <v>0</v>
      </c>
      <c r="AA29" s="495"/>
      <c r="AB29" s="495"/>
      <c r="AC29" s="31">
        <f>SUM(AC21:AC28)</f>
        <v>3</v>
      </c>
      <c r="AD29" s="31">
        <f>SUM(AD21:AD28)</f>
        <v>0</v>
      </c>
      <c r="AE29" s="19">
        <f t="shared" si="8"/>
        <v>-67.19822553654808</v>
      </c>
      <c r="AF29" s="114">
        <f t="shared" si="9"/>
        <v>0.96416094638050764</v>
      </c>
      <c r="AG29" s="489"/>
    </row>
    <row r="30" spans="1:33" ht="15.75" customHeight="1">
      <c r="A30" s="518" t="s">
        <v>310</v>
      </c>
      <c r="B30" s="42" t="s">
        <v>80</v>
      </c>
      <c r="C30" s="515" t="s">
        <v>81</v>
      </c>
      <c r="D30" s="515"/>
      <c r="E30" s="42">
        <v>31.29</v>
      </c>
      <c r="F30" s="117">
        <v>6251</v>
      </c>
      <c r="G30" s="113">
        <f t="shared" ref="G30:G34" si="23">E30*F30</f>
        <v>195593.79</v>
      </c>
      <c r="H30" s="125" t="s">
        <v>79</v>
      </c>
      <c r="I30" s="112">
        <v>18</v>
      </c>
      <c r="J30" s="37">
        <v>2400</v>
      </c>
      <c r="K30" s="17">
        <f t="shared" si="1"/>
        <v>133.33333333333334</v>
      </c>
      <c r="L30" s="112">
        <v>18</v>
      </c>
      <c r="M30" s="18">
        <f t="shared" ref="M30:M34" si="24">F30/V30*60</f>
        <v>2286.9512195121952</v>
      </c>
      <c r="N30" s="17">
        <f t="shared" si="3"/>
        <v>127.05284552845529</v>
      </c>
      <c r="O30" s="19">
        <f t="shared" si="4"/>
        <v>0</v>
      </c>
      <c r="P30" s="20">
        <f t="shared" si="5"/>
        <v>-6.2804878048780495</v>
      </c>
      <c r="Q30" s="114">
        <f t="shared" si="6"/>
        <v>0.95289634146341462</v>
      </c>
      <c r="R30" s="489">
        <f>Q35</f>
        <v>0.95548232349655193</v>
      </c>
      <c r="S30" s="40">
        <v>8.3333333333333329E-2</v>
      </c>
      <c r="T30" s="40">
        <v>0.19722222222222222</v>
      </c>
      <c r="U30" s="113"/>
      <c r="V30" s="115">
        <f t="shared" ref="V30:V34" si="25">(T30-S30)*24*60</f>
        <v>164</v>
      </c>
      <c r="W30" s="23">
        <f>T30</f>
        <v>0.19722222222222222</v>
      </c>
      <c r="X30" s="23">
        <f>S31</f>
        <v>0.21527777777777776</v>
      </c>
      <c r="Y30" s="23"/>
      <c r="Z30" s="23"/>
      <c r="AA30" s="491"/>
      <c r="AB30" s="491"/>
      <c r="AC30" s="25">
        <v>6</v>
      </c>
      <c r="AD30" s="25"/>
      <c r="AE30" s="19">
        <f t="shared" si="8"/>
        <v>-113.04878048780483</v>
      </c>
      <c r="AF30" s="114">
        <f t="shared" si="9"/>
        <v>0.95289634146341462</v>
      </c>
      <c r="AG30" s="489">
        <f>AF35</f>
        <v>0.95548232349655204</v>
      </c>
    </row>
    <row r="31" spans="1:33" ht="15.75" customHeight="1">
      <c r="A31" s="518" t="s">
        <v>311</v>
      </c>
      <c r="B31" s="42" t="s">
        <v>80</v>
      </c>
      <c r="C31" s="515" t="s">
        <v>82</v>
      </c>
      <c r="D31" s="515"/>
      <c r="E31" s="42">
        <v>26.2</v>
      </c>
      <c r="F31" s="117">
        <v>3588</v>
      </c>
      <c r="G31" s="113">
        <f t="shared" si="23"/>
        <v>94005.599999999991</v>
      </c>
      <c r="H31" s="125" t="s">
        <v>79</v>
      </c>
      <c r="I31" s="112">
        <v>20</v>
      </c>
      <c r="J31" s="37">
        <v>2400</v>
      </c>
      <c r="K31" s="17">
        <f t="shared" si="1"/>
        <v>120</v>
      </c>
      <c r="L31" s="112">
        <v>20</v>
      </c>
      <c r="M31" s="18">
        <f t="shared" si="24"/>
        <v>2290.2127659574462</v>
      </c>
      <c r="N31" s="17">
        <f t="shared" si="3"/>
        <v>114.5106382978723</v>
      </c>
      <c r="O31" s="19">
        <f t="shared" si="4"/>
        <v>0</v>
      </c>
      <c r="P31" s="20">
        <f t="shared" si="5"/>
        <v>-5.4893617021276953</v>
      </c>
      <c r="Q31" s="114">
        <f t="shared" si="6"/>
        <v>0.95425531914893591</v>
      </c>
      <c r="R31" s="489"/>
      <c r="S31" s="40">
        <v>0.21527777777777776</v>
      </c>
      <c r="T31" s="40">
        <v>0.28055555555555556</v>
      </c>
      <c r="U31" s="113">
        <f t="shared" ref="U31:U34" si="26">(S31-T30)*24*60</f>
        <v>25.999999999999986</v>
      </c>
      <c r="V31" s="115">
        <f t="shared" si="25"/>
        <v>94.000000000000028</v>
      </c>
      <c r="W31" s="23"/>
      <c r="X31" s="23"/>
      <c r="Y31" s="23"/>
      <c r="Z31" s="23"/>
      <c r="AA31" s="491"/>
      <c r="AB31" s="491"/>
      <c r="AC31" s="25"/>
      <c r="AD31" s="25"/>
      <c r="AE31" s="19">
        <f t="shared" si="8"/>
        <v>-109.78723404255379</v>
      </c>
      <c r="AF31" s="114">
        <f t="shared" si="9"/>
        <v>0.95425531914893591</v>
      </c>
      <c r="AG31" s="489"/>
    </row>
    <row r="32" spans="1:33" ht="15.75" customHeight="1">
      <c r="A32" s="518" t="s">
        <v>312</v>
      </c>
      <c r="B32" s="42" t="s">
        <v>80</v>
      </c>
      <c r="C32" s="515" t="s">
        <v>83</v>
      </c>
      <c r="D32" s="515"/>
      <c r="E32" s="42">
        <v>25.99</v>
      </c>
      <c r="F32" s="117">
        <v>3350</v>
      </c>
      <c r="G32" s="113">
        <f t="shared" si="23"/>
        <v>87066.5</v>
      </c>
      <c r="H32" s="125" t="s">
        <v>79</v>
      </c>
      <c r="I32" s="112">
        <v>14</v>
      </c>
      <c r="J32" s="37">
        <v>2400</v>
      </c>
      <c r="K32" s="17">
        <f t="shared" si="1"/>
        <v>171.42857142857142</v>
      </c>
      <c r="L32" s="112">
        <v>14</v>
      </c>
      <c r="M32" s="18">
        <f t="shared" si="24"/>
        <v>2284.090909090909</v>
      </c>
      <c r="N32" s="17">
        <f t="shared" si="3"/>
        <v>163.14935064935065</v>
      </c>
      <c r="O32" s="19">
        <f t="shared" si="4"/>
        <v>0</v>
      </c>
      <c r="P32" s="20">
        <f t="shared" si="5"/>
        <v>-8.2792207792207648</v>
      </c>
      <c r="Q32" s="114">
        <f t="shared" si="6"/>
        <v>0.95170454545454553</v>
      </c>
      <c r="R32" s="489"/>
      <c r="S32" s="40">
        <v>0.28611111111111109</v>
      </c>
      <c r="T32" s="40">
        <v>0.34722222222222221</v>
      </c>
      <c r="U32" s="113">
        <f t="shared" si="26"/>
        <v>7.9999999999999716</v>
      </c>
      <c r="V32" s="115">
        <f t="shared" si="25"/>
        <v>88</v>
      </c>
      <c r="W32" s="23"/>
      <c r="X32" s="23"/>
      <c r="Y32" s="23"/>
      <c r="Z32" s="23"/>
      <c r="AA32" s="491"/>
      <c r="AB32" s="491"/>
      <c r="AC32" s="25"/>
      <c r="AD32" s="25"/>
      <c r="AE32" s="19">
        <f t="shared" si="8"/>
        <v>-115.90909090909099</v>
      </c>
      <c r="AF32" s="114">
        <f t="shared" si="9"/>
        <v>0.95170454545454541</v>
      </c>
      <c r="AG32" s="489"/>
    </row>
    <row r="33" spans="1:33" ht="15.75" customHeight="1">
      <c r="A33" s="518" t="s">
        <v>312</v>
      </c>
      <c r="B33" s="42" t="s">
        <v>80</v>
      </c>
      <c r="C33" s="515" t="s">
        <v>84</v>
      </c>
      <c r="D33" s="515"/>
      <c r="E33" s="42">
        <v>20.52</v>
      </c>
      <c r="F33" s="117">
        <v>2923</v>
      </c>
      <c r="G33" s="113">
        <f t="shared" si="23"/>
        <v>59979.96</v>
      </c>
      <c r="H33" s="125" t="s">
        <v>79</v>
      </c>
      <c r="I33" s="112">
        <v>18</v>
      </c>
      <c r="J33" s="37">
        <v>2400</v>
      </c>
      <c r="K33" s="17">
        <f t="shared" si="1"/>
        <v>133.33333333333334</v>
      </c>
      <c r="L33" s="112">
        <v>18</v>
      </c>
      <c r="M33" s="18">
        <f t="shared" si="24"/>
        <v>2307.6315789473692</v>
      </c>
      <c r="N33" s="17">
        <f t="shared" si="3"/>
        <v>128.20175438596496</v>
      </c>
      <c r="O33" s="19">
        <f t="shared" si="4"/>
        <v>0</v>
      </c>
      <c r="P33" s="20">
        <f t="shared" si="5"/>
        <v>-5.1315789473683822</v>
      </c>
      <c r="Q33" s="114">
        <f t="shared" si="6"/>
        <v>0.96151315789473712</v>
      </c>
      <c r="R33" s="489"/>
      <c r="S33" s="40">
        <v>0.3520833333333333</v>
      </c>
      <c r="T33" s="40">
        <v>0.40486111111111106</v>
      </c>
      <c r="U33" s="113">
        <f t="shared" si="26"/>
        <v>6.9999999999999751</v>
      </c>
      <c r="V33" s="115">
        <f t="shared" si="25"/>
        <v>75.999999999999972</v>
      </c>
      <c r="W33" s="23"/>
      <c r="X33" s="23"/>
      <c r="Y33" s="23"/>
      <c r="Z33" s="23"/>
      <c r="AA33" s="491"/>
      <c r="AB33" s="491"/>
      <c r="AC33" s="25"/>
      <c r="AD33" s="25"/>
      <c r="AE33" s="19">
        <f t="shared" si="8"/>
        <v>-92.368421052630765</v>
      </c>
      <c r="AF33" s="114">
        <f t="shared" si="9"/>
        <v>0.96151315789473724</v>
      </c>
      <c r="AG33" s="489"/>
    </row>
    <row r="34" spans="1:33" ht="15.75" customHeight="1">
      <c r="A34" s="518" t="s">
        <v>310</v>
      </c>
      <c r="B34" s="42" t="s">
        <v>80</v>
      </c>
      <c r="C34" s="515" t="s">
        <v>85</v>
      </c>
      <c r="D34" s="515"/>
      <c r="E34" s="42">
        <v>25.98</v>
      </c>
      <c r="F34" s="117">
        <v>2718</v>
      </c>
      <c r="G34" s="113">
        <f t="shared" si="23"/>
        <v>70613.64</v>
      </c>
      <c r="H34" s="125" t="s">
        <v>79</v>
      </c>
      <c r="I34" s="112">
        <v>21</v>
      </c>
      <c r="J34" s="37">
        <v>2400</v>
      </c>
      <c r="K34" s="17">
        <f t="shared" si="1"/>
        <v>114.28571428571429</v>
      </c>
      <c r="L34" s="112">
        <v>21</v>
      </c>
      <c r="M34" s="18">
        <f t="shared" si="24"/>
        <v>2296.9014084507048</v>
      </c>
      <c r="N34" s="17">
        <f t="shared" si="3"/>
        <v>109.37625754527166</v>
      </c>
      <c r="O34" s="19">
        <f t="shared" si="4"/>
        <v>0</v>
      </c>
      <c r="P34" s="20">
        <f t="shared" si="5"/>
        <v>-4.9094567404426357</v>
      </c>
      <c r="Q34" s="114">
        <f t="shared" si="6"/>
        <v>0.95704225352112693</v>
      </c>
      <c r="R34" s="489"/>
      <c r="S34" s="40">
        <v>0.40902777777777771</v>
      </c>
      <c r="T34" s="40">
        <v>0.45833333333333326</v>
      </c>
      <c r="U34" s="113">
        <f t="shared" si="26"/>
        <v>5.9999999999999787</v>
      </c>
      <c r="V34" s="115">
        <f t="shared" si="25"/>
        <v>70.999999999999986</v>
      </c>
      <c r="W34" s="23"/>
      <c r="X34" s="23"/>
      <c r="Y34" s="23"/>
      <c r="Z34" s="23"/>
      <c r="AA34" s="491"/>
      <c r="AB34" s="491"/>
      <c r="AC34" s="25"/>
      <c r="AD34" s="25"/>
      <c r="AE34" s="19">
        <f t="shared" si="8"/>
        <v>-103.09859154929518</v>
      </c>
      <c r="AF34" s="114">
        <f t="shared" si="9"/>
        <v>0.95704225352112704</v>
      </c>
      <c r="AG34" s="489"/>
    </row>
    <row r="35" spans="1:33" ht="15.75" customHeight="1">
      <c r="A35" s="518" t="s">
        <v>310</v>
      </c>
      <c r="B35" s="42" t="s">
        <v>313</v>
      </c>
      <c r="C35" s="494"/>
      <c r="D35" s="494"/>
      <c r="E35" s="118"/>
      <c r="F35" s="117"/>
      <c r="G35" s="113"/>
      <c r="H35" s="117"/>
      <c r="I35" s="30">
        <v>18.2</v>
      </c>
      <c r="J35" s="37">
        <v>2400</v>
      </c>
      <c r="K35" s="17">
        <f t="shared" si="1"/>
        <v>131.86813186813188</v>
      </c>
      <c r="L35" s="30">
        <v>18.2</v>
      </c>
      <c r="M35" s="18">
        <f>AVERAGE(M30:M34)</f>
        <v>2293.1575763917249</v>
      </c>
      <c r="N35" s="17">
        <f t="shared" si="3"/>
        <v>125.99766903251236</v>
      </c>
      <c r="O35" s="19">
        <f t="shared" si="4"/>
        <v>0</v>
      </c>
      <c r="P35" s="20">
        <f t="shared" si="5"/>
        <v>-5.8704628356195201</v>
      </c>
      <c r="Q35" s="114">
        <f t="shared" si="6"/>
        <v>0.95548232349655193</v>
      </c>
      <c r="R35" s="489"/>
      <c r="S35" s="40"/>
      <c r="T35" s="40"/>
      <c r="U35" s="113"/>
      <c r="V35" s="115"/>
      <c r="W35" s="113"/>
      <c r="X35" s="113"/>
      <c r="Y35" s="31">
        <f>SUM(Y30:Y34)</f>
        <v>0</v>
      </c>
      <c r="Z35" s="31">
        <f>SUM(Z30:Z34)</f>
        <v>0</v>
      </c>
      <c r="AA35" s="495"/>
      <c r="AB35" s="495"/>
      <c r="AC35" s="31">
        <f>SUM(AC30:AC34)</f>
        <v>6</v>
      </c>
      <c r="AD35" s="31">
        <f>SUM(AD30:AD34)</f>
        <v>0</v>
      </c>
      <c r="AE35" s="19">
        <f t="shared" si="8"/>
        <v>-106.84242360827511</v>
      </c>
      <c r="AF35" s="114">
        <f t="shared" si="9"/>
        <v>0.95548232349655204</v>
      </c>
      <c r="AG35" s="489"/>
    </row>
    <row r="36" spans="1:33" ht="15.75" customHeight="1">
      <c r="A36" s="516" t="s">
        <v>314</v>
      </c>
      <c r="B36" s="42" t="s">
        <v>80</v>
      </c>
      <c r="C36" s="490" t="s">
        <v>86</v>
      </c>
      <c r="D36" s="490"/>
      <c r="E36" s="42">
        <v>22.69</v>
      </c>
      <c r="F36" s="117">
        <v>629</v>
      </c>
      <c r="G36" s="113">
        <f t="shared" ref="G36:G42" si="27">E36*F36</f>
        <v>14272.01</v>
      </c>
      <c r="H36" s="125" t="s">
        <v>79</v>
      </c>
      <c r="I36" s="112">
        <v>15</v>
      </c>
      <c r="J36" s="37">
        <v>2400</v>
      </c>
      <c r="K36" s="17">
        <f t="shared" si="1"/>
        <v>160</v>
      </c>
      <c r="L36" s="112">
        <v>15</v>
      </c>
      <c r="M36" s="18">
        <f t="shared" ref="M36:M42" si="28">F36/V36*60</f>
        <v>2358.7499999999995</v>
      </c>
      <c r="N36" s="17">
        <f t="shared" si="3"/>
        <v>157.24999999999997</v>
      </c>
      <c r="O36" s="19">
        <f t="shared" si="4"/>
        <v>0</v>
      </c>
      <c r="P36" s="20">
        <f t="shared" si="5"/>
        <v>-2.7500000000000284</v>
      </c>
      <c r="Q36" s="114">
        <f t="shared" si="6"/>
        <v>0.98281249999999987</v>
      </c>
      <c r="R36" s="489">
        <f>Q43</f>
        <v>0.95582788876336999</v>
      </c>
      <c r="S36" s="40">
        <v>8.3333333333333329E-2</v>
      </c>
      <c r="T36" s="40">
        <v>9.4444444444444442E-2</v>
      </c>
      <c r="U36" s="113"/>
      <c r="V36" s="115">
        <f t="shared" ref="V36:V42" si="29">(T36-S36)*24*60</f>
        <v>16.000000000000004</v>
      </c>
      <c r="W36" s="28">
        <f>T36</f>
        <v>9.4444444444444442E-2</v>
      </c>
      <c r="X36" s="28">
        <f>S37</f>
        <v>0.11458333333333333</v>
      </c>
      <c r="Y36" s="28"/>
      <c r="Z36" s="28"/>
      <c r="AA36" s="491"/>
      <c r="AB36" s="491"/>
      <c r="AC36" s="25">
        <v>5</v>
      </c>
      <c r="AD36" s="25"/>
      <c r="AE36" s="19">
        <f t="shared" si="8"/>
        <v>-41.250000000000455</v>
      </c>
      <c r="AF36" s="114">
        <f t="shared" si="9"/>
        <v>0.98281249999999976</v>
      </c>
      <c r="AG36" s="489">
        <f>AF43</f>
        <v>0.95582788876336999</v>
      </c>
    </row>
    <row r="37" spans="1:33" ht="15.75" customHeight="1">
      <c r="A37" s="516" t="s">
        <v>62</v>
      </c>
      <c r="B37" s="42" t="s">
        <v>80</v>
      </c>
      <c r="C37" s="490" t="s">
        <v>87</v>
      </c>
      <c r="D37" s="490"/>
      <c r="E37" s="42">
        <v>26.2</v>
      </c>
      <c r="F37" s="117">
        <v>4486</v>
      </c>
      <c r="G37" s="113">
        <f t="shared" si="27"/>
        <v>117533.2</v>
      </c>
      <c r="H37" s="125" t="s">
        <v>79</v>
      </c>
      <c r="I37" s="112">
        <v>18</v>
      </c>
      <c r="J37" s="37">
        <v>2400</v>
      </c>
      <c r="K37" s="17">
        <f t="shared" si="1"/>
        <v>133.33333333333334</v>
      </c>
      <c r="L37" s="112">
        <v>18</v>
      </c>
      <c r="M37" s="18">
        <f t="shared" si="28"/>
        <v>2300.5128205128203</v>
      </c>
      <c r="N37" s="17">
        <f t="shared" si="3"/>
        <v>127.8062678062678</v>
      </c>
      <c r="O37" s="19">
        <f t="shared" si="4"/>
        <v>0</v>
      </c>
      <c r="P37" s="20">
        <f t="shared" si="5"/>
        <v>-5.5270655270655453</v>
      </c>
      <c r="Q37" s="114">
        <f t="shared" si="6"/>
        <v>0.95854700854700836</v>
      </c>
      <c r="R37" s="489"/>
      <c r="S37" s="40">
        <v>0.11458333333333333</v>
      </c>
      <c r="T37" s="40">
        <v>0.19583333333333333</v>
      </c>
      <c r="U37" s="113">
        <f t="shared" ref="U37:U42" si="30">(S37-T36)*24*60</f>
        <v>28.999999999999996</v>
      </c>
      <c r="V37" s="115">
        <f t="shared" si="29"/>
        <v>117.00000000000001</v>
      </c>
      <c r="W37" s="113"/>
      <c r="X37" s="113"/>
      <c r="Y37" s="113"/>
      <c r="Z37" s="113"/>
      <c r="AA37" s="491"/>
      <c r="AB37" s="491"/>
      <c r="AC37" s="25"/>
      <c r="AD37" s="25"/>
      <c r="AE37" s="19">
        <f t="shared" si="8"/>
        <v>-99.487179487179674</v>
      </c>
      <c r="AF37" s="114">
        <f t="shared" si="9"/>
        <v>0.95854700854700847</v>
      </c>
      <c r="AG37" s="489"/>
    </row>
    <row r="38" spans="1:33">
      <c r="A38" s="517" t="s">
        <v>315</v>
      </c>
      <c r="B38" s="42" t="s">
        <v>80</v>
      </c>
      <c r="C38" s="490" t="s">
        <v>88</v>
      </c>
      <c r="D38" s="490"/>
      <c r="E38" s="42">
        <v>26.18</v>
      </c>
      <c r="F38" s="117">
        <v>1660</v>
      </c>
      <c r="G38" s="113">
        <f t="shared" si="27"/>
        <v>43458.8</v>
      </c>
      <c r="H38" s="125" t="s">
        <v>79</v>
      </c>
      <c r="I38" s="112">
        <v>19</v>
      </c>
      <c r="J38" s="37">
        <v>2400</v>
      </c>
      <c r="K38" s="17">
        <f t="shared" si="1"/>
        <v>126.31578947368421</v>
      </c>
      <c r="L38" s="112">
        <v>19</v>
      </c>
      <c r="M38" s="18">
        <f t="shared" si="28"/>
        <v>2316.2790697674413</v>
      </c>
      <c r="N38" s="17">
        <f t="shared" si="3"/>
        <v>121.90942472460218</v>
      </c>
      <c r="O38" s="19">
        <f t="shared" si="4"/>
        <v>0</v>
      </c>
      <c r="P38" s="20">
        <f t="shared" si="5"/>
        <v>-4.4063647490820301</v>
      </c>
      <c r="Q38" s="114">
        <f t="shared" si="6"/>
        <v>0.96511627906976727</v>
      </c>
      <c r="R38" s="489"/>
      <c r="S38" s="40">
        <v>0.2013888888888889</v>
      </c>
      <c r="T38" s="40">
        <v>0.23125000000000001</v>
      </c>
      <c r="U38" s="113">
        <f t="shared" si="30"/>
        <v>8.0000000000000107</v>
      </c>
      <c r="V38" s="115">
        <f t="shared" si="29"/>
        <v>43.000000000000007</v>
      </c>
      <c r="W38" s="113"/>
      <c r="X38" s="113"/>
      <c r="Y38" s="113"/>
      <c r="Z38" s="113"/>
      <c r="AA38" s="491"/>
      <c r="AB38" s="491"/>
      <c r="AC38" s="25"/>
      <c r="AD38" s="25"/>
      <c r="AE38" s="19">
        <f t="shared" si="8"/>
        <v>-83.720930232558658</v>
      </c>
      <c r="AF38" s="114">
        <f t="shared" si="9"/>
        <v>0.96511627906976727</v>
      </c>
      <c r="AG38" s="489"/>
    </row>
    <row r="39" spans="1:33">
      <c r="A39" s="517" t="s">
        <v>62</v>
      </c>
      <c r="B39" s="42" t="s">
        <v>80</v>
      </c>
      <c r="C39" s="490" t="s">
        <v>89</v>
      </c>
      <c r="D39" s="490"/>
      <c r="E39" s="42">
        <v>26.39</v>
      </c>
      <c r="F39" s="117">
        <v>4328</v>
      </c>
      <c r="G39" s="113">
        <f t="shared" si="27"/>
        <v>114215.92</v>
      </c>
      <c r="H39" s="125" t="s">
        <v>79</v>
      </c>
      <c r="I39" s="112">
        <v>19</v>
      </c>
      <c r="J39" s="37">
        <v>2400</v>
      </c>
      <c r="K39" s="17">
        <f t="shared" si="1"/>
        <v>126.31578947368421</v>
      </c>
      <c r="L39" s="112">
        <v>19</v>
      </c>
      <c r="M39" s="18">
        <f t="shared" si="28"/>
        <v>2298.0530973451328</v>
      </c>
      <c r="N39" s="17">
        <f t="shared" si="3"/>
        <v>120.95016301816489</v>
      </c>
      <c r="O39" s="19">
        <f t="shared" si="4"/>
        <v>0</v>
      </c>
      <c r="P39" s="20">
        <f t="shared" si="5"/>
        <v>-5.3656264555193189</v>
      </c>
      <c r="Q39" s="114">
        <f t="shared" si="6"/>
        <v>0.95752212389380542</v>
      </c>
      <c r="R39" s="489"/>
      <c r="S39" s="40">
        <v>0.23472222222222222</v>
      </c>
      <c r="T39" s="40">
        <v>0.31319444444444444</v>
      </c>
      <c r="U39" s="113">
        <f t="shared" si="30"/>
        <v>4.9999999999999822</v>
      </c>
      <c r="V39" s="115">
        <f t="shared" si="29"/>
        <v>113</v>
      </c>
      <c r="W39" s="23"/>
      <c r="X39" s="23"/>
      <c r="Y39" s="23"/>
      <c r="Z39" s="23"/>
      <c r="AA39" s="491"/>
      <c r="AB39" s="491"/>
      <c r="AC39" s="25"/>
      <c r="AD39" s="25"/>
      <c r="AE39" s="19">
        <f t="shared" si="8"/>
        <v>-101.94690265486724</v>
      </c>
      <c r="AF39" s="114">
        <f t="shared" si="9"/>
        <v>0.95752212389380531</v>
      </c>
      <c r="AG39" s="489"/>
    </row>
    <row r="40" spans="1:33">
      <c r="A40" s="517" t="s">
        <v>315</v>
      </c>
      <c r="B40" s="42" t="s">
        <v>80</v>
      </c>
      <c r="C40" s="490" t="s">
        <v>90</v>
      </c>
      <c r="D40" s="490"/>
      <c r="E40" s="42">
        <v>22.69</v>
      </c>
      <c r="F40" s="117">
        <v>2142</v>
      </c>
      <c r="G40" s="113">
        <f t="shared" si="27"/>
        <v>48601.98</v>
      </c>
      <c r="H40" s="125" t="s">
        <v>79</v>
      </c>
      <c r="I40" s="112">
        <v>15</v>
      </c>
      <c r="J40" s="37">
        <v>2400</v>
      </c>
      <c r="K40" s="17">
        <f t="shared" si="1"/>
        <v>160</v>
      </c>
      <c r="L40" s="112">
        <v>15</v>
      </c>
      <c r="M40" s="18">
        <f t="shared" si="28"/>
        <v>2295.0000000000018</v>
      </c>
      <c r="N40" s="17">
        <f t="shared" si="3"/>
        <v>153.00000000000011</v>
      </c>
      <c r="O40" s="19">
        <f t="shared" si="4"/>
        <v>0</v>
      </c>
      <c r="P40" s="20">
        <f t="shared" si="5"/>
        <v>-6.9999999999998863</v>
      </c>
      <c r="Q40" s="114">
        <f t="shared" si="6"/>
        <v>0.95625000000000071</v>
      </c>
      <c r="R40" s="489"/>
      <c r="S40" s="40">
        <v>0.31805555555555554</v>
      </c>
      <c r="T40" s="40">
        <v>0.3569444444444444</v>
      </c>
      <c r="U40" s="113">
        <f t="shared" si="30"/>
        <v>6.9999999999999751</v>
      </c>
      <c r="V40" s="115">
        <f t="shared" si="29"/>
        <v>55.999999999999957</v>
      </c>
      <c r="W40" s="23"/>
      <c r="X40" s="23"/>
      <c r="Y40" s="23"/>
      <c r="Z40" s="23"/>
      <c r="AA40" s="491"/>
      <c r="AB40" s="491"/>
      <c r="AC40" s="25"/>
      <c r="AD40" s="25"/>
      <c r="AE40" s="19">
        <f t="shared" si="8"/>
        <v>-104.99999999999818</v>
      </c>
      <c r="AF40" s="114">
        <f t="shared" si="9"/>
        <v>0.95625000000000071</v>
      </c>
      <c r="AG40" s="489"/>
    </row>
    <row r="41" spans="1:33">
      <c r="A41" s="517" t="s">
        <v>315</v>
      </c>
      <c r="B41" s="42" t="s">
        <v>80</v>
      </c>
      <c r="C41" s="490" t="s">
        <v>91</v>
      </c>
      <c r="D41" s="490"/>
      <c r="E41" s="42">
        <v>24.45</v>
      </c>
      <c r="F41" s="117">
        <v>1880</v>
      </c>
      <c r="G41" s="113">
        <f t="shared" si="27"/>
        <v>45966</v>
      </c>
      <c r="H41" s="125" t="s">
        <v>79</v>
      </c>
      <c r="I41" s="112">
        <v>20</v>
      </c>
      <c r="J41" s="37">
        <v>2400</v>
      </c>
      <c r="K41" s="17">
        <f t="shared" si="1"/>
        <v>120</v>
      </c>
      <c r="L41" s="112">
        <v>20</v>
      </c>
      <c r="M41" s="18">
        <f t="shared" si="28"/>
        <v>2302.0408163265311</v>
      </c>
      <c r="N41" s="17">
        <f t="shared" si="3"/>
        <v>115.10204081632655</v>
      </c>
      <c r="O41" s="19">
        <f t="shared" si="4"/>
        <v>0</v>
      </c>
      <c r="P41" s="20">
        <f t="shared" si="5"/>
        <v>-4.89795918367345</v>
      </c>
      <c r="Q41" s="114">
        <f t="shared" si="6"/>
        <v>0.95918367346938793</v>
      </c>
      <c r="R41" s="489"/>
      <c r="S41" s="40">
        <v>0.36111111111111105</v>
      </c>
      <c r="T41" s="40">
        <v>0.39513888888888882</v>
      </c>
      <c r="U41" s="113">
        <f t="shared" si="30"/>
        <v>5.9999999999999787</v>
      </c>
      <c r="V41" s="115">
        <f t="shared" si="29"/>
        <v>48.999999999999986</v>
      </c>
      <c r="W41" s="23"/>
      <c r="X41" s="23"/>
      <c r="Y41" s="23"/>
      <c r="Z41" s="23"/>
      <c r="AA41" s="491"/>
      <c r="AB41" s="491"/>
      <c r="AC41" s="25"/>
      <c r="AD41" s="25"/>
      <c r="AE41" s="19">
        <f t="shared" si="8"/>
        <v>-97.959183673468942</v>
      </c>
      <c r="AF41" s="114">
        <f t="shared" si="9"/>
        <v>0.95918367346938793</v>
      </c>
      <c r="AG41" s="489"/>
    </row>
    <row r="42" spans="1:33">
      <c r="A42" s="517" t="s">
        <v>314</v>
      </c>
      <c r="B42" s="42" t="s">
        <v>80</v>
      </c>
      <c r="C42" s="490" t="s">
        <v>92</v>
      </c>
      <c r="D42" s="490"/>
      <c r="E42" s="42">
        <v>28.51</v>
      </c>
      <c r="F42" s="117">
        <v>401</v>
      </c>
      <c r="G42" s="113">
        <f t="shared" si="27"/>
        <v>11432.51</v>
      </c>
      <c r="H42" s="125" t="s">
        <v>79</v>
      </c>
      <c r="I42" s="112">
        <v>16</v>
      </c>
      <c r="J42" s="37">
        <v>2400</v>
      </c>
      <c r="K42" s="17">
        <f t="shared" si="1"/>
        <v>150</v>
      </c>
      <c r="L42" s="112">
        <v>16</v>
      </c>
      <c r="M42" s="18">
        <f t="shared" si="28"/>
        <v>2187.2727272726875</v>
      </c>
      <c r="N42" s="17">
        <f t="shared" si="3"/>
        <v>136.70454545454297</v>
      </c>
      <c r="O42" s="19">
        <f t="shared" si="4"/>
        <v>0</v>
      </c>
      <c r="P42" s="20">
        <f t="shared" si="5"/>
        <v>-13.295454545457034</v>
      </c>
      <c r="Q42" s="114">
        <f t="shared" si="6"/>
        <v>0.91136363636361972</v>
      </c>
      <c r="R42" s="489"/>
      <c r="S42" s="40">
        <v>0.39930555555555547</v>
      </c>
      <c r="T42" s="40">
        <v>0.4069444444444445</v>
      </c>
      <c r="U42" s="113">
        <f t="shared" si="30"/>
        <v>5.9999999999999787</v>
      </c>
      <c r="V42" s="115">
        <f t="shared" si="29"/>
        <v>11.000000000000201</v>
      </c>
      <c r="W42" s="23"/>
      <c r="X42" s="23"/>
      <c r="Y42" s="26"/>
      <c r="Z42" s="26"/>
      <c r="AA42" s="503"/>
      <c r="AB42" s="504"/>
      <c r="AC42" s="25"/>
      <c r="AD42" s="25"/>
      <c r="AE42" s="19">
        <f t="shared" si="8"/>
        <v>-212.72727272731254</v>
      </c>
      <c r="AF42" s="114">
        <f t="shared" si="9"/>
        <v>0.91136363636361972</v>
      </c>
      <c r="AG42" s="489"/>
    </row>
    <row r="43" spans="1:33">
      <c r="A43" s="517" t="s">
        <v>315</v>
      </c>
      <c r="B43" s="44" t="s">
        <v>316</v>
      </c>
      <c r="C43" s="494"/>
      <c r="D43" s="494"/>
      <c r="E43" s="118"/>
      <c r="F43" s="44"/>
      <c r="G43" s="17"/>
      <c r="H43" s="117"/>
      <c r="I43" s="30">
        <v>17.428571428571427</v>
      </c>
      <c r="J43" s="37">
        <v>2400</v>
      </c>
      <c r="K43" s="17">
        <f t="shared" si="1"/>
        <v>137.70491803278691</v>
      </c>
      <c r="L43" s="30">
        <v>17.428571428571427</v>
      </c>
      <c r="M43" s="18">
        <f>AVERAGE(M36:M42)</f>
        <v>2293.986933032088</v>
      </c>
      <c r="N43" s="17">
        <f t="shared" si="3"/>
        <v>131.62220107561163</v>
      </c>
      <c r="O43" s="19">
        <f t="shared" si="4"/>
        <v>0</v>
      </c>
      <c r="P43" s="20">
        <f t="shared" si="5"/>
        <v>-6.082716957175279</v>
      </c>
      <c r="Q43" s="114">
        <f t="shared" si="6"/>
        <v>0.95582788876336999</v>
      </c>
      <c r="R43" s="489"/>
      <c r="S43" s="40"/>
      <c r="T43" s="40"/>
      <c r="U43" s="17"/>
      <c r="V43" s="115"/>
      <c r="W43" s="17"/>
      <c r="X43" s="17"/>
      <c r="Y43" s="31">
        <f>SUM(Y36:Y42)</f>
        <v>0</v>
      </c>
      <c r="Z43" s="31">
        <f>SUM(Z36:Z42)</f>
        <v>0</v>
      </c>
      <c r="AA43" s="495"/>
      <c r="AB43" s="495"/>
      <c r="AC43" s="31">
        <f>SUM(AC36:AC42)</f>
        <v>5</v>
      </c>
      <c r="AD43" s="31">
        <f>SUM(AD36:AD42)</f>
        <v>0</v>
      </c>
      <c r="AE43" s="19">
        <f t="shared" si="8"/>
        <v>-106.01306696791198</v>
      </c>
      <c r="AF43" s="114">
        <f t="shared" si="9"/>
        <v>0.95582788876336999</v>
      </c>
      <c r="AG43" s="489"/>
    </row>
    <row r="44" spans="1:33" ht="15.75" customHeight="1">
      <c r="A44" s="512" t="s">
        <v>65</v>
      </c>
      <c r="B44" s="42" t="s">
        <v>93</v>
      </c>
      <c r="C44" s="501" t="s">
        <v>94</v>
      </c>
      <c r="D44" s="502"/>
      <c r="E44" s="42">
        <v>21.13</v>
      </c>
      <c r="F44" s="117">
        <v>4009</v>
      </c>
      <c r="G44" s="113">
        <f t="shared" ref="G44:G49" si="31">E44*F44</f>
        <v>84710.17</v>
      </c>
      <c r="H44" s="125" t="s">
        <v>79</v>
      </c>
      <c r="I44" s="112">
        <v>10</v>
      </c>
      <c r="J44" s="37">
        <v>3000</v>
      </c>
      <c r="K44" s="17">
        <f t="shared" si="1"/>
        <v>300</v>
      </c>
      <c r="L44" s="112">
        <v>10</v>
      </c>
      <c r="M44" s="18">
        <f t="shared" ref="M44:M49" si="32">F44/V44*60</f>
        <v>2863.5714285714284</v>
      </c>
      <c r="N44" s="18">
        <f t="shared" si="3"/>
        <v>286.35714285714283</v>
      </c>
      <c r="O44" s="19">
        <f t="shared" si="4"/>
        <v>0</v>
      </c>
      <c r="P44" s="20">
        <f t="shared" si="5"/>
        <v>-13.642857142857167</v>
      </c>
      <c r="Q44" s="114">
        <f t="shared" si="6"/>
        <v>0.95452380952380944</v>
      </c>
      <c r="R44" s="509">
        <f>Q50</f>
        <v>0.95544272788022788</v>
      </c>
      <c r="S44" s="40">
        <v>8.3333333333333329E-2</v>
      </c>
      <c r="T44" s="40">
        <v>0.14166666666666666</v>
      </c>
      <c r="U44" s="28"/>
      <c r="V44" s="115">
        <f t="shared" ref="V44:V49" si="33">(T44-S44)*24*60</f>
        <v>84</v>
      </c>
      <c r="W44" s="23">
        <f>T44</f>
        <v>0.14166666666666666</v>
      </c>
      <c r="X44" s="23">
        <f>S45</f>
        <v>0.16041666666666665</v>
      </c>
      <c r="Y44" s="26"/>
      <c r="Z44" s="26"/>
      <c r="AA44" s="503"/>
      <c r="AB44" s="504"/>
      <c r="AC44" s="25" t="s">
        <v>79</v>
      </c>
      <c r="AD44" s="25"/>
      <c r="AE44" s="19">
        <f t="shared" si="8"/>
        <v>-136.42857142857156</v>
      </c>
      <c r="AF44" s="114">
        <f t="shared" si="9"/>
        <v>0.95452380952380944</v>
      </c>
      <c r="AG44" s="509">
        <f>AF50</f>
        <v>0.95544272788022799</v>
      </c>
    </row>
    <row r="45" spans="1:33" ht="15.75" customHeight="1">
      <c r="A45" s="513" t="s">
        <v>317</v>
      </c>
      <c r="B45" s="42" t="s">
        <v>93</v>
      </c>
      <c r="C45" s="501" t="s">
        <v>95</v>
      </c>
      <c r="D45" s="502"/>
      <c r="E45" s="42">
        <v>27.17</v>
      </c>
      <c r="F45" s="117">
        <v>5261</v>
      </c>
      <c r="G45" s="113">
        <f t="shared" si="31"/>
        <v>142941.37</v>
      </c>
      <c r="H45" s="125" t="s">
        <v>79</v>
      </c>
      <c r="I45" s="112">
        <v>10</v>
      </c>
      <c r="J45" s="37">
        <v>3000</v>
      </c>
      <c r="K45" s="17">
        <f t="shared" si="1"/>
        <v>300</v>
      </c>
      <c r="L45" s="112">
        <v>10</v>
      </c>
      <c r="M45" s="18">
        <f t="shared" si="32"/>
        <v>2869.6363636363631</v>
      </c>
      <c r="N45" s="18">
        <f t="shared" si="3"/>
        <v>286.96363636363628</v>
      </c>
      <c r="O45" s="19">
        <f t="shared" si="4"/>
        <v>0</v>
      </c>
      <c r="P45" s="20">
        <f t="shared" si="5"/>
        <v>-13.036363636363717</v>
      </c>
      <c r="Q45" s="114">
        <f t="shared" si="6"/>
        <v>0.95654545454545425</v>
      </c>
      <c r="R45" s="510"/>
      <c r="S45" s="40">
        <v>0.16041666666666665</v>
      </c>
      <c r="T45" s="40">
        <v>0.23680555555555555</v>
      </c>
      <c r="U45" s="113">
        <f t="shared" ref="U45:U49" si="34">(S45-T44)*24*60</f>
        <v>26.999999999999986</v>
      </c>
      <c r="V45" s="115">
        <f t="shared" si="33"/>
        <v>110.00000000000001</v>
      </c>
      <c r="W45" s="23"/>
      <c r="X45" s="23"/>
      <c r="Y45" s="26"/>
      <c r="Z45" s="26"/>
      <c r="AA45" s="503"/>
      <c r="AB45" s="504"/>
      <c r="AC45" s="25" t="s">
        <v>79</v>
      </c>
      <c r="AD45" s="25"/>
      <c r="AE45" s="19">
        <f t="shared" si="8"/>
        <v>-130.36363636363694</v>
      </c>
      <c r="AF45" s="114">
        <f t="shared" si="9"/>
        <v>0.95654545454545437</v>
      </c>
      <c r="AG45" s="510"/>
    </row>
    <row r="46" spans="1:33" ht="15.75" customHeight="1">
      <c r="A46" s="513" t="s">
        <v>317</v>
      </c>
      <c r="B46" s="42" t="s">
        <v>93</v>
      </c>
      <c r="C46" s="501" t="s">
        <v>96</v>
      </c>
      <c r="D46" s="502"/>
      <c r="E46" s="42">
        <v>35.119999999999997</v>
      </c>
      <c r="F46" s="117">
        <v>3713</v>
      </c>
      <c r="G46" s="113">
        <f t="shared" si="31"/>
        <v>130400.56</v>
      </c>
      <c r="H46" s="125" t="s">
        <v>79</v>
      </c>
      <c r="I46" s="112">
        <v>10</v>
      </c>
      <c r="J46" s="37">
        <v>3000</v>
      </c>
      <c r="K46" s="17">
        <f t="shared" si="1"/>
        <v>300</v>
      </c>
      <c r="L46" s="112">
        <v>10</v>
      </c>
      <c r="M46" s="18">
        <f t="shared" si="32"/>
        <v>2856.153846153848</v>
      </c>
      <c r="N46" s="18">
        <f t="shared" si="3"/>
        <v>285.61538461538481</v>
      </c>
      <c r="O46" s="19">
        <f t="shared" si="4"/>
        <v>0</v>
      </c>
      <c r="P46" s="20">
        <f t="shared" si="5"/>
        <v>-14.384615384615188</v>
      </c>
      <c r="Q46" s="114">
        <f t="shared" si="6"/>
        <v>0.95205128205128275</v>
      </c>
      <c r="R46" s="510"/>
      <c r="S46" s="40">
        <v>0.24027777777777776</v>
      </c>
      <c r="T46" s="40">
        <v>0.2944444444444444</v>
      </c>
      <c r="U46" s="113">
        <f t="shared" si="34"/>
        <v>4.9999999999999822</v>
      </c>
      <c r="V46" s="115">
        <f t="shared" si="33"/>
        <v>77.999999999999957</v>
      </c>
      <c r="W46" s="23"/>
      <c r="X46" s="23"/>
      <c r="Y46" s="26"/>
      <c r="Z46" s="26"/>
      <c r="AA46" s="503"/>
      <c r="AB46" s="504"/>
      <c r="AC46" s="25" t="s">
        <v>79</v>
      </c>
      <c r="AD46" s="25"/>
      <c r="AE46" s="19">
        <f t="shared" si="8"/>
        <v>-143.84615384615199</v>
      </c>
      <c r="AF46" s="114">
        <f t="shared" si="9"/>
        <v>0.95205128205128264</v>
      </c>
      <c r="AG46" s="510"/>
    </row>
    <row r="47" spans="1:33" ht="15.75" customHeight="1">
      <c r="A47" s="513" t="s">
        <v>317</v>
      </c>
      <c r="B47" s="42" t="s">
        <v>93</v>
      </c>
      <c r="C47" s="501" t="s">
        <v>97</v>
      </c>
      <c r="D47" s="502"/>
      <c r="E47" s="42">
        <v>31</v>
      </c>
      <c r="F47" s="117">
        <v>1187</v>
      </c>
      <c r="G47" s="113">
        <f t="shared" si="31"/>
        <v>36797</v>
      </c>
      <c r="H47" s="125" t="s">
        <v>79</v>
      </c>
      <c r="I47" s="112">
        <v>13</v>
      </c>
      <c r="J47" s="37">
        <v>2000</v>
      </c>
      <c r="K47" s="17">
        <f t="shared" si="1"/>
        <v>153.84615384615384</v>
      </c>
      <c r="L47" s="112">
        <v>13</v>
      </c>
      <c r="M47" s="18">
        <f t="shared" si="32"/>
        <v>1924.8648648648636</v>
      </c>
      <c r="N47" s="18">
        <f t="shared" si="3"/>
        <v>148.06652806652798</v>
      </c>
      <c r="O47" s="19">
        <f t="shared" si="4"/>
        <v>0</v>
      </c>
      <c r="P47" s="20">
        <f t="shared" si="5"/>
        <v>-5.7796257796258601</v>
      </c>
      <c r="Q47" s="114">
        <f t="shared" si="6"/>
        <v>0.96243243243243193</v>
      </c>
      <c r="R47" s="510"/>
      <c r="S47" s="40">
        <v>0.29861111111111105</v>
      </c>
      <c r="T47" s="40">
        <v>0.32430555555555551</v>
      </c>
      <c r="U47" s="113">
        <f t="shared" si="34"/>
        <v>5.9999999999999787</v>
      </c>
      <c r="V47" s="115">
        <f t="shared" si="33"/>
        <v>37.000000000000028</v>
      </c>
      <c r="W47" s="23"/>
      <c r="X47" s="23"/>
      <c r="Y47" s="26"/>
      <c r="Z47" s="26"/>
      <c r="AA47" s="503"/>
      <c r="AB47" s="504"/>
      <c r="AC47" s="25" t="s">
        <v>79</v>
      </c>
      <c r="AD47" s="25"/>
      <c r="AE47" s="19">
        <f t="shared" si="8"/>
        <v>-75.135135135136352</v>
      </c>
      <c r="AF47" s="114">
        <f t="shared" si="9"/>
        <v>0.96243243243243182</v>
      </c>
      <c r="AG47" s="510"/>
    </row>
    <row r="48" spans="1:33" ht="15.75" customHeight="1">
      <c r="A48" s="513" t="s">
        <v>317</v>
      </c>
      <c r="B48" s="42" t="s">
        <v>93</v>
      </c>
      <c r="C48" s="501" t="s">
        <v>98</v>
      </c>
      <c r="D48" s="502"/>
      <c r="E48" s="42">
        <v>37.880000000000003</v>
      </c>
      <c r="F48" s="117">
        <v>1719</v>
      </c>
      <c r="G48" s="113">
        <f t="shared" si="31"/>
        <v>65115.72</v>
      </c>
      <c r="H48" s="125" t="s">
        <v>79</v>
      </c>
      <c r="I48" s="112">
        <v>14</v>
      </c>
      <c r="J48" s="37">
        <v>2000</v>
      </c>
      <c r="K48" s="17">
        <f t="shared" si="1"/>
        <v>142.85714285714286</v>
      </c>
      <c r="L48" s="112">
        <v>14</v>
      </c>
      <c r="M48" s="18">
        <f t="shared" si="32"/>
        <v>1910.0000000000009</v>
      </c>
      <c r="N48" s="18">
        <f t="shared" si="3"/>
        <v>136.4285714285715</v>
      </c>
      <c r="O48" s="19">
        <f t="shared" si="4"/>
        <v>0</v>
      </c>
      <c r="P48" s="20">
        <f t="shared" si="5"/>
        <v>-6.4285714285713595</v>
      </c>
      <c r="Q48" s="114">
        <f t="shared" si="6"/>
        <v>0.95500000000000052</v>
      </c>
      <c r="R48" s="510"/>
      <c r="S48" s="40">
        <v>0.32986111111111105</v>
      </c>
      <c r="T48" s="40">
        <v>0.36736111111111103</v>
      </c>
      <c r="U48" s="113">
        <f t="shared" si="34"/>
        <v>7.9999999999999716</v>
      </c>
      <c r="V48" s="115">
        <f t="shared" si="33"/>
        <v>53.999999999999972</v>
      </c>
      <c r="W48" s="23"/>
      <c r="X48" s="23"/>
      <c r="Y48" s="26"/>
      <c r="Z48" s="26"/>
      <c r="AA48" s="503"/>
      <c r="AB48" s="504"/>
      <c r="AC48" s="25" t="s">
        <v>79</v>
      </c>
      <c r="AD48" s="25"/>
      <c r="AE48" s="19">
        <f t="shared" si="8"/>
        <v>-89.999999999999091</v>
      </c>
      <c r="AF48" s="114">
        <f t="shared" si="9"/>
        <v>0.9550000000000004</v>
      </c>
      <c r="AG48" s="510"/>
    </row>
    <row r="49" spans="1:33" ht="15.75" customHeight="1">
      <c r="A49" s="513" t="s">
        <v>317</v>
      </c>
      <c r="B49" s="42" t="s">
        <v>93</v>
      </c>
      <c r="C49" s="501" t="s">
        <v>99</v>
      </c>
      <c r="D49" s="502"/>
      <c r="E49" s="42">
        <v>32.020000000000003</v>
      </c>
      <c r="F49" s="117">
        <v>3340</v>
      </c>
      <c r="G49" s="113">
        <f t="shared" si="31"/>
        <v>106946.80000000002</v>
      </c>
      <c r="H49" s="125" t="s">
        <v>79</v>
      </c>
      <c r="I49" s="112">
        <v>11</v>
      </c>
      <c r="J49" s="37">
        <v>3000</v>
      </c>
      <c r="K49" s="17">
        <f t="shared" si="1"/>
        <v>272.72727272727275</v>
      </c>
      <c r="L49" s="112">
        <v>11</v>
      </c>
      <c r="M49" s="18">
        <f t="shared" si="32"/>
        <v>2862.8571428571431</v>
      </c>
      <c r="N49" s="18">
        <f t="shared" si="3"/>
        <v>260.25974025974028</v>
      </c>
      <c r="O49" s="19">
        <f t="shared" si="4"/>
        <v>0</v>
      </c>
      <c r="P49" s="20">
        <f t="shared" si="5"/>
        <v>-12.467532467532465</v>
      </c>
      <c r="Q49" s="114">
        <f t="shared" si="6"/>
        <v>0.95428571428571429</v>
      </c>
      <c r="R49" s="510"/>
      <c r="S49" s="40">
        <v>0.37152777777777768</v>
      </c>
      <c r="T49" s="40">
        <v>0.42013888888888878</v>
      </c>
      <c r="U49" s="113">
        <f t="shared" si="34"/>
        <v>5.9999999999999787</v>
      </c>
      <c r="V49" s="115">
        <f t="shared" si="33"/>
        <v>69.999999999999986</v>
      </c>
      <c r="W49" s="23"/>
      <c r="X49" s="23"/>
      <c r="Y49" s="26"/>
      <c r="Z49" s="26"/>
      <c r="AA49" s="503"/>
      <c r="AB49" s="504"/>
      <c r="AC49" s="25" t="s">
        <v>79</v>
      </c>
      <c r="AD49" s="25"/>
      <c r="AE49" s="19">
        <f t="shared" si="8"/>
        <v>-137.14285714285688</v>
      </c>
      <c r="AF49" s="114">
        <f t="shared" si="9"/>
        <v>0.9542857142857144</v>
      </c>
      <c r="AG49" s="510"/>
    </row>
    <row r="50" spans="1:33" ht="15.75" customHeight="1">
      <c r="A50" s="514" t="s">
        <v>317</v>
      </c>
      <c r="B50" s="42" t="s">
        <v>318</v>
      </c>
      <c r="C50" s="492"/>
      <c r="D50" s="493"/>
      <c r="E50" s="124"/>
      <c r="F50" s="117"/>
      <c r="G50" s="113"/>
      <c r="H50" s="117"/>
      <c r="I50" s="30">
        <v>11.333333333333334</v>
      </c>
      <c r="J50" s="37">
        <v>2666.6666666666665</v>
      </c>
      <c r="K50" s="17">
        <f t="shared" si="1"/>
        <v>235.29411764705881</v>
      </c>
      <c r="L50" s="30">
        <v>11.333333333333334</v>
      </c>
      <c r="M50" s="18">
        <f>AVERAGE(M44:M49)</f>
        <v>2547.8472743472744</v>
      </c>
      <c r="N50" s="17">
        <f t="shared" si="3"/>
        <v>224.81005361887713</v>
      </c>
      <c r="O50" s="19">
        <f t="shared" si="4"/>
        <v>0</v>
      </c>
      <c r="P50" s="20">
        <f t="shared" si="5"/>
        <v>-10.484064028181677</v>
      </c>
      <c r="Q50" s="114">
        <f t="shared" si="6"/>
        <v>0.95544272788022788</v>
      </c>
      <c r="R50" s="511"/>
      <c r="S50" s="40"/>
      <c r="T50" s="40"/>
      <c r="U50" s="113"/>
      <c r="V50" s="115"/>
      <c r="W50" s="23"/>
      <c r="X50" s="23"/>
      <c r="Y50" s="31">
        <f>SUM(Y44:Y49)</f>
        <v>0</v>
      </c>
      <c r="Z50" s="31">
        <f>SUM(Z44:Z49)</f>
        <v>0</v>
      </c>
      <c r="AA50" s="505"/>
      <c r="AB50" s="506"/>
      <c r="AC50" s="31">
        <f>SUM(AC44:AC49)</f>
        <v>0</v>
      </c>
      <c r="AD50" s="31">
        <f>SUM(AD44:AD49)</f>
        <v>0</v>
      </c>
      <c r="AE50" s="19">
        <f t="shared" si="8"/>
        <v>-118.81939231939214</v>
      </c>
      <c r="AF50" s="114">
        <f t="shared" si="9"/>
        <v>0.95544272788022799</v>
      </c>
      <c r="AG50" s="511"/>
    </row>
    <row r="51" spans="1:33" ht="15.75" customHeight="1">
      <c r="A51" s="507" t="s">
        <v>319</v>
      </c>
      <c r="B51" s="42" t="s">
        <v>100</v>
      </c>
      <c r="C51" s="490" t="s">
        <v>101</v>
      </c>
      <c r="D51" s="490"/>
      <c r="E51" s="42">
        <v>46</v>
      </c>
      <c r="F51" s="46">
        <v>868</v>
      </c>
      <c r="G51" s="113">
        <f t="shared" ref="G51:G57" si="35">E51*F51</f>
        <v>39928</v>
      </c>
      <c r="H51" s="125" t="s">
        <v>79</v>
      </c>
      <c r="I51" s="112">
        <v>17</v>
      </c>
      <c r="J51" s="37">
        <v>2000</v>
      </c>
      <c r="K51" s="17">
        <f t="shared" si="1"/>
        <v>117.64705882352941</v>
      </c>
      <c r="L51" s="112">
        <v>17</v>
      </c>
      <c r="M51" s="18">
        <f t="shared" ref="M51:M57" si="36">F51/V51*60</f>
        <v>1928.8888888888901</v>
      </c>
      <c r="N51" s="18">
        <f t="shared" si="3"/>
        <v>113.46405228758177</v>
      </c>
      <c r="O51" s="19">
        <f t="shared" si="4"/>
        <v>0</v>
      </c>
      <c r="P51" s="20">
        <f t="shared" si="5"/>
        <v>-4.1830065359476407</v>
      </c>
      <c r="Q51" s="114">
        <f t="shared" si="6"/>
        <v>0.9644444444444451</v>
      </c>
      <c r="R51" s="489">
        <f>Q58</f>
        <v>0.8783866304818273</v>
      </c>
      <c r="S51" s="40">
        <v>0.20833333333333334</v>
      </c>
      <c r="T51" s="40">
        <v>0.22708333333333333</v>
      </c>
      <c r="U51" s="28"/>
      <c r="V51" s="115">
        <f t="shared" ref="V51:V57" si="37">(T51-S51)*24*60</f>
        <v>26.999999999999986</v>
      </c>
      <c r="W51" s="28"/>
      <c r="X51" s="28"/>
      <c r="Y51" s="28"/>
      <c r="Z51" s="28"/>
      <c r="AA51" s="491"/>
      <c r="AB51" s="491"/>
      <c r="AC51" s="25">
        <v>3</v>
      </c>
      <c r="AD51" s="25"/>
      <c r="AE51" s="19">
        <f t="shared" si="8"/>
        <v>-71.111111111109949</v>
      </c>
      <c r="AF51" s="114">
        <f t="shared" si="9"/>
        <v>0.96444444444444499</v>
      </c>
      <c r="AG51" s="489">
        <f>AF58</f>
        <v>0.8783866304818273</v>
      </c>
    </row>
    <row r="52" spans="1:33" ht="15.75" customHeight="1">
      <c r="A52" s="507" t="s">
        <v>319</v>
      </c>
      <c r="B52" s="42" t="s">
        <v>100</v>
      </c>
      <c r="C52" s="490" t="s">
        <v>102</v>
      </c>
      <c r="D52" s="490"/>
      <c r="E52" s="42">
        <v>46</v>
      </c>
      <c r="F52" s="46">
        <v>961</v>
      </c>
      <c r="G52" s="113">
        <f t="shared" si="35"/>
        <v>44206</v>
      </c>
      <c r="H52" s="125" t="s">
        <v>79</v>
      </c>
      <c r="I52" s="112">
        <v>17</v>
      </c>
      <c r="J52" s="37">
        <v>2000</v>
      </c>
      <c r="K52" s="17">
        <f t="shared" si="1"/>
        <v>117.64705882352941</v>
      </c>
      <c r="L52" s="112">
        <v>17</v>
      </c>
      <c r="M52" s="18">
        <f t="shared" si="36"/>
        <v>1922.000000000002</v>
      </c>
      <c r="N52" s="18">
        <f t="shared" si="3"/>
        <v>113.05882352941188</v>
      </c>
      <c r="O52" s="19">
        <f t="shared" si="4"/>
        <v>0</v>
      </c>
      <c r="P52" s="20">
        <f t="shared" si="5"/>
        <v>-4.5882352941175242</v>
      </c>
      <c r="Q52" s="114">
        <f t="shared" si="6"/>
        <v>0.96100000000000108</v>
      </c>
      <c r="R52" s="489"/>
      <c r="S52" s="40">
        <v>0.23194444444444445</v>
      </c>
      <c r="T52" s="40">
        <v>0.25277777777777777</v>
      </c>
      <c r="U52" s="113">
        <f t="shared" ref="U52:U57" si="38">IF(S52=TIME(17,0,0),"",(S52-T51)*24*60)</f>
        <v>7.0000000000000151</v>
      </c>
      <c r="V52" s="115">
        <f t="shared" si="37"/>
        <v>29.999999999999972</v>
      </c>
      <c r="W52" s="23"/>
      <c r="X52" s="23"/>
      <c r="Y52" s="23"/>
      <c r="Z52" s="23"/>
      <c r="AA52" s="491"/>
      <c r="AB52" s="491"/>
      <c r="AC52" s="25"/>
      <c r="AD52" s="25"/>
      <c r="AE52" s="19">
        <f t="shared" si="8"/>
        <v>-77.999999999997954</v>
      </c>
      <c r="AF52" s="114">
        <f t="shared" si="9"/>
        <v>0.96100000000000108</v>
      </c>
      <c r="AG52" s="489"/>
    </row>
    <row r="53" spans="1:33" ht="15.75" customHeight="1">
      <c r="A53" s="507" t="s">
        <v>319</v>
      </c>
      <c r="B53" s="42" t="s">
        <v>103</v>
      </c>
      <c r="C53" s="501" t="s">
        <v>104</v>
      </c>
      <c r="D53" s="502"/>
      <c r="E53" s="42">
        <v>51.86</v>
      </c>
      <c r="F53" s="46">
        <v>1007</v>
      </c>
      <c r="G53" s="113">
        <f t="shared" si="35"/>
        <v>52223.02</v>
      </c>
      <c r="H53" s="125" t="s">
        <v>79</v>
      </c>
      <c r="I53" s="112">
        <v>25</v>
      </c>
      <c r="J53" s="37">
        <v>2000</v>
      </c>
      <c r="K53" s="17">
        <f t="shared" si="1"/>
        <v>80</v>
      </c>
      <c r="L53" s="112">
        <v>25</v>
      </c>
      <c r="M53" s="18">
        <f t="shared" si="36"/>
        <v>1258.7500000000002</v>
      </c>
      <c r="N53" s="18">
        <f t="shared" si="3"/>
        <v>50.350000000000009</v>
      </c>
      <c r="O53" s="19">
        <f t="shared" si="4"/>
        <v>0</v>
      </c>
      <c r="P53" s="20">
        <f t="shared" si="5"/>
        <v>-29.649999999999991</v>
      </c>
      <c r="Q53" s="114">
        <f t="shared" si="6"/>
        <v>0.62937500000000013</v>
      </c>
      <c r="R53" s="489"/>
      <c r="S53" s="40">
        <v>0.25763888888888886</v>
      </c>
      <c r="T53" s="40">
        <v>0.29097222222222219</v>
      </c>
      <c r="U53" s="113">
        <f t="shared" si="38"/>
        <v>6.9999999999999751</v>
      </c>
      <c r="V53" s="115">
        <f t="shared" si="37"/>
        <v>47.999999999999986</v>
      </c>
      <c r="W53" s="23"/>
      <c r="X53" s="23"/>
      <c r="Y53" s="26"/>
      <c r="Z53" s="26"/>
      <c r="AA53" s="491"/>
      <c r="AB53" s="491"/>
      <c r="AC53" s="25"/>
      <c r="AD53" s="25"/>
      <c r="AE53" s="19">
        <f t="shared" si="8"/>
        <v>-741.24999999999977</v>
      </c>
      <c r="AF53" s="114">
        <f t="shared" si="9"/>
        <v>0.62937500000000013</v>
      </c>
      <c r="AG53" s="489"/>
    </row>
    <row r="54" spans="1:33" ht="15.75" customHeight="1">
      <c r="A54" s="507" t="s">
        <v>319</v>
      </c>
      <c r="B54" s="42" t="s">
        <v>103</v>
      </c>
      <c r="C54" s="122" t="s">
        <v>105</v>
      </c>
      <c r="D54" s="123"/>
      <c r="E54" s="42">
        <v>56.43</v>
      </c>
      <c r="F54" s="46">
        <v>1795</v>
      </c>
      <c r="G54" s="113">
        <f t="shared" si="35"/>
        <v>101291.85</v>
      </c>
      <c r="H54" s="125" t="s">
        <v>79</v>
      </c>
      <c r="I54" s="112">
        <v>22</v>
      </c>
      <c r="J54" s="37">
        <v>2000</v>
      </c>
      <c r="K54" s="17">
        <f t="shared" si="1"/>
        <v>90.909090909090907</v>
      </c>
      <c r="L54" s="112">
        <v>22</v>
      </c>
      <c r="M54" s="18">
        <f t="shared" si="36"/>
        <v>1436.0000000000005</v>
      </c>
      <c r="N54" s="18">
        <f t="shared" si="3"/>
        <v>65.272727272727295</v>
      </c>
      <c r="O54" s="19">
        <f t="shared" si="4"/>
        <v>0</v>
      </c>
      <c r="P54" s="20">
        <f t="shared" si="5"/>
        <v>-25.636363636363612</v>
      </c>
      <c r="Q54" s="114">
        <f t="shared" si="6"/>
        <v>0.7180000000000003</v>
      </c>
      <c r="R54" s="489"/>
      <c r="S54" s="40">
        <v>0.29652777777777772</v>
      </c>
      <c r="T54" s="40">
        <v>0.34861111111111104</v>
      </c>
      <c r="U54" s="113">
        <f t="shared" si="38"/>
        <v>7.9999999999999716</v>
      </c>
      <c r="V54" s="115">
        <f t="shared" si="37"/>
        <v>74.999999999999972</v>
      </c>
      <c r="W54" s="23"/>
      <c r="X54" s="23"/>
      <c r="Y54" s="26"/>
      <c r="Z54" s="26"/>
      <c r="AA54" s="491"/>
      <c r="AB54" s="491"/>
      <c r="AC54" s="25"/>
      <c r="AD54" s="25"/>
      <c r="AE54" s="19">
        <f t="shared" si="8"/>
        <v>-563.99999999999955</v>
      </c>
      <c r="AF54" s="114">
        <f t="shared" si="9"/>
        <v>0.71800000000000019</v>
      </c>
      <c r="AG54" s="489"/>
    </row>
    <row r="55" spans="1:33" ht="15.75" customHeight="1">
      <c r="A55" s="507" t="s">
        <v>319</v>
      </c>
      <c r="B55" s="42" t="s">
        <v>103</v>
      </c>
      <c r="C55" s="122" t="s">
        <v>106</v>
      </c>
      <c r="D55" s="123"/>
      <c r="E55" s="42">
        <v>55.56</v>
      </c>
      <c r="F55" s="46">
        <v>1807</v>
      </c>
      <c r="G55" s="113">
        <f t="shared" si="35"/>
        <v>100396.92</v>
      </c>
      <c r="H55" s="125" t="s">
        <v>79</v>
      </c>
      <c r="I55" s="112">
        <v>17</v>
      </c>
      <c r="J55" s="37">
        <v>2000</v>
      </c>
      <c r="K55" s="17">
        <f t="shared" si="1"/>
        <v>117.64705882352941</v>
      </c>
      <c r="L55" s="112">
        <v>17</v>
      </c>
      <c r="M55" s="18">
        <f t="shared" si="36"/>
        <v>1902.1052631578962</v>
      </c>
      <c r="N55" s="18">
        <f t="shared" si="3"/>
        <v>111.88854489164095</v>
      </c>
      <c r="O55" s="19">
        <f t="shared" si="4"/>
        <v>0</v>
      </c>
      <c r="P55" s="20">
        <f t="shared" si="5"/>
        <v>-5.7585139318884586</v>
      </c>
      <c r="Q55" s="114">
        <f t="shared" si="6"/>
        <v>0.95105263157894815</v>
      </c>
      <c r="R55" s="489"/>
      <c r="S55" s="40">
        <v>0.70833333333333337</v>
      </c>
      <c r="T55" s="40">
        <v>0.74791666666666667</v>
      </c>
      <c r="U55" s="113" t="str">
        <f t="shared" si="38"/>
        <v/>
      </c>
      <c r="V55" s="115">
        <f t="shared" si="37"/>
        <v>56.999999999999957</v>
      </c>
      <c r="W55" s="23"/>
      <c r="X55" s="23"/>
      <c r="Y55" s="26"/>
      <c r="Z55" s="26"/>
      <c r="AA55" s="491"/>
      <c r="AB55" s="491"/>
      <c r="AC55" s="25"/>
      <c r="AD55" s="25"/>
      <c r="AE55" s="19">
        <f t="shared" si="8"/>
        <v>-97.894736842103839</v>
      </c>
      <c r="AF55" s="114">
        <f t="shared" si="9"/>
        <v>0.95105263157894804</v>
      </c>
      <c r="AG55" s="489"/>
    </row>
    <row r="56" spans="1:33" ht="15.75" customHeight="1">
      <c r="A56" s="507" t="s">
        <v>319</v>
      </c>
      <c r="B56" s="42" t="s">
        <v>103</v>
      </c>
      <c r="C56" s="501" t="s">
        <v>107</v>
      </c>
      <c r="D56" s="502"/>
      <c r="E56" s="42">
        <v>55.32</v>
      </c>
      <c r="F56" s="46">
        <v>1285</v>
      </c>
      <c r="G56" s="113">
        <f t="shared" si="35"/>
        <v>71086.2</v>
      </c>
      <c r="H56" s="125" t="s">
        <v>79</v>
      </c>
      <c r="I56" s="112">
        <v>15</v>
      </c>
      <c r="J56" s="37">
        <v>2000</v>
      </c>
      <c r="K56" s="17">
        <f t="shared" si="1"/>
        <v>133.33333333333334</v>
      </c>
      <c r="L56" s="112">
        <v>15</v>
      </c>
      <c r="M56" s="18">
        <f t="shared" si="36"/>
        <v>1927.4999999999991</v>
      </c>
      <c r="N56" s="18">
        <f t="shared" si="3"/>
        <v>128.49999999999994</v>
      </c>
      <c r="O56" s="19">
        <f t="shared" si="4"/>
        <v>0</v>
      </c>
      <c r="P56" s="20">
        <f t="shared" si="5"/>
        <v>-4.8333333333333997</v>
      </c>
      <c r="Q56" s="114">
        <f t="shared" si="6"/>
        <v>0.96374999999999955</v>
      </c>
      <c r="R56" s="489"/>
      <c r="S56" s="40">
        <v>0.75208333333333333</v>
      </c>
      <c r="T56" s="40">
        <v>0.77986111111111112</v>
      </c>
      <c r="U56" s="113">
        <f t="shared" si="38"/>
        <v>5.9999999999999787</v>
      </c>
      <c r="V56" s="115">
        <f t="shared" si="37"/>
        <v>40.000000000000014</v>
      </c>
      <c r="W56" s="23"/>
      <c r="X56" s="23"/>
      <c r="Y56" s="26"/>
      <c r="Z56" s="26"/>
      <c r="AA56" s="503"/>
      <c r="AB56" s="504"/>
      <c r="AC56" s="25"/>
      <c r="AD56" s="25"/>
      <c r="AE56" s="19">
        <f t="shared" si="8"/>
        <v>-72.500000000000909</v>
      </c>
      <c r="AF56" s="114">
        <f t="shared" si="9"/>
        <v>0.96374999999999955</v>
      </c>
      <c r="AG56" s="489"/>
    </row>
    <row r="57" spans="1:33" ht="15.75" customHeight="1">
      <c r="A57" s="507" t="s">
        <v>319</v>
      </c>
      <c r="B57" s="42" t="s">
        <v>103</v>
      </c>
      <c r="C57" s="501" t="s">
        <v>108</v>
      </c>
      <c r="D57" s="502"/>
      <c r="E57" s="42">
        <v>54.29</v>
      </c>
      <c r="F57" s="46">
        <v>2659</v>
      </c>
      <c r="G57" s="113">
        <f t="shared" si="35"/>
        <v>144357.10999999999</v>
      </c>
      <c r="H57" s="125" t="s">
        <v>79</v>
      </c>
      <c r="I57" s="112">
        <v>20</v>
      </c>
      <c r="J57" s="37">
        <v>2000</v>
      </c>
      <c r="K57" s="17">
        <f t="shared" si="1"/>
        <v>100</v>
      </c>
      <c r="L57" s="112">
        <v>20</v>
      </c>
      <c r="M57" s="18">
        <f t="shared" si="36"/>
        <v>1922.1686746987943</v>
      </c>
      <c r="N57" s="18">
        <f t="shared" si="3"/>
        <v>96.108433734939723</v>
      </c>
      <c r="O57" s="19">
        <f t="shared" si="4"/>
        <v>0</v>
      </c>
      <c r="P57" s="20">
        <f t="shared" si="5"/>
        <v>-3.8915662650602769</v>
      </c>
      <c r="Q57" s="114">
        <f t="shared" si="6"/>
        <v>0.96108433734939724</v>
      </c>
      <c r="R57" s="489"/>
      <c r="S57" s="40">
        <v>0.78333333333333333</v>
      </c>
      <c r="T57" s="40">
        <v>0.84097222222222223</v>
      </c>
      <c r="U57" s="113">
        <f t="shared" si="38"/>
        <v>4.9999999999999822</v>
      </c>
      <c r="V57" s="115">
        <f t="shared" si="37"/>
        <v>83.000000000000028</v>
      </c>
      <c r="W57" s="23"/>
      <c r="X57" s="23"/>
      <c r="Y57" s="26"/>
      <c r="Z57" s="26"/>
      <c r="AA57" s="503"/>
      <c r="AB57" s="504"/>
      <c r="AC57" s="25"/>
      <c r="AD57" s="25"/>
      <c r="AE57" s="19">
        <f t="shared" si="8"/>
        <v>-77.831325301205652</v>
      </c>
      <c r="AF57" s="114">
        <f t="shared" si="9"/>
        <v>0.96108433734939713</v>
      </c>
      <c r="AG57" s="489"/>
    </row>
    <row r="58" spans="1:33">
      <c r="A58" s="508" t="s">
        <v>319</v>
      </c>
      <c r="B58" s="42" t="s">
        <v>318</v>
      </c>
      <c r="C58" s="494"/>
      <c r="D58" s="494"/>
      <c r="E58" s="118"/>
      <c r="F58" s="44"/>
      <c r="G58" s="17"/>
      <c r="H58" s="117"/>
      <c r="I58" s="30">
        <v>19</v>
      </c>
      <c r="J58" s="37">
        <v>2000</v>
      </c>
      <c r="K58" s="17">
        <f t="shared" si="1"/>
        <v>105.26315789473684</v>
      </c>
      <c r="L58" s="30">
        <v>19</v>
      </c>
      <c r="M58" s="18">
        <f>AVERAGE(M51:M57)</f>
        <v>1756.7732609636546</v>
      </c>
      <c r="N58" s="17">
        <f t="shared" si="3"/>
        <v>92.461750577034451</v>
      </c>
      <c r="O58" s="19">
        <f t="shared" si="4"/>
        <v>0</v>
      </c>
      <c r="P58" s="20">
        <f t="shared" si="5"/>
        <v>-12.801407317702385</v>
      </c>
      <c r="Q58" s="114">
        <f t="shared" si="6"/>
        <v>0.8783866304818273</v>
      </c>
      <c r="R58" s="489"/>
      <c r="S58" s="41"/>
      <c r="T58" s="40"/>
      <c r="U58" s="17"/>
      <c r="V58" s="115"/>
      <c r="W58" s="17"/>
      <c r="X58" s="17"/>
      <c r="Y58" s="31">
        <f>SUM(Y51:Y57)</f>
        <v>0</v>
      </c>
      <c r="Z58" s="31">
        <f>SUM(Z51:Z57)</f>
        <v>0</v>
      </c>
      <c r="AA58" s="495"/>
      <c r="AB58" s="495"/>
      <c r="AC58" s="31">
        <f>SUM(AC51:AC57)</f>
        <v>3</v>
      </c>
      <c r="AD58" s="31">
        <f>SUM(AD51:AD57)</f>
        <v>0</v>
      </c>
      <c r="AE58" s="19">
        <f t="shared" si="8"/>
        <v>-243.22673903634541</v>
      </c>
      <c r="AF58" s="114">
        <f t="shared" si="9"/>
        <v>0.8783866304818273</v>
      </c>
      <c r="AG58" s="489"/>
    </row>
    <row r="59" spans="1:33" ht="15.75" customHeight="1">
      <c r="A59" s="499" t="s">
        <v>320</v>
      </c>
      <c r="B59" s="117" t="s">
        <v>100</v>
      </c>
      <c r="C59" s="490" t="s">
        <v>109</v>
      </c>
      <c r="D59" s="490"/>
      <c r="E59" s="42">
        <v>26.97</v>
      </c>
      <c r="F59" s="46">
        <v>1540</v>
      </c>
      <c r="G59" s="113">
        <f t="shared" ref="G59:G64" si="39">E59*F59</f>
        <v>41533.799999999996</v>
      </c>
      <c r="H59" s="125" t="s">
        <v>79</v>
      </c>
      <c r="I59" s="112">
        <v>8</v>
      </c>
      <c r="J59" s="37">
        <v>1500</v>
      </c>
      <c r="K59" s="17">
        <f t="shared" si="1"/>
        <v>187.5</v>
      </c>
      <c r="L59" s="112">
        <v>8</v>
      </c>
      <c r="M59" s="18">
        <f t="shared" ref="M59:M64" si="40">F59/V59*60</f>
        <v>1443.7500000000007</v>
      </c>
      <c r="N59" s="17">
        <f t="shared" si="3"/>
        <v>180.46875000000009</v>
      </c>
      <c r="O59" s="19">
        <f t="shared" si="4"/>
        <v>0</v>
      </c>
      <c r="P59" s="20">
        <f t="shared" si="5"/>
        <v>-7.0312499999999147</v>
      </c>
      <c r="Q59" s="114">
        <f t="shared" si="6"/>
        <v>0.96250000000000047</v>
      </c>
      <c r="R59" s="489">
        <f>Q65</f>
        <v>0.96518394101442206</v>
      </c>
      <c r="S59" s="40">
        <v>0.20833333333333334</v>
      </c>
      <c r="T59" s="40">
        <v>0.25277777777777777</v>
      </c>
      <c r="U59" s="113"/>
      <c r="V59" s="115">
        <f t="shared" ref="V59:V64" si="41">(T59-S59)*24*60</f>
        <v>63.999999999999972</v>
      </c>
      <c r="W59" s="28"/>
      <c r="X59" s="28"/>
      <c r="Y59" s="28"/>
      <c r="Z59" s="28"/>
      <c r="AA59" s="491"/>
      <c r="AB59" s="491"/>
      <c r="AC59" s="25" t="s">
        <v>79</v>
      </c>
      <c r="AD59" s="25"/>
      <c r="AE59" s="19">
        <f t="shared" si="8"/>
        <v>-56.249999999999318</v>
      </c>
      <c r="AF59" s="114">
        <f t="shared" si="9"/>
        <v>0.96250000000000047</v>
      </c>
      <c r="AG59" s="489">
        <f>AF65</f>
        <v>0.96518394101442206</v>
      </c>
    </row>
    <row r="60" spans="1:33" ht="15.75" customHeight="1">
      <c r="A60" s="499" t="s">
        <v>320</v>
      </c>
      <c r="B60" s="117" t="s">
        <v>93</v>
      </c>
      <c r="C60" s="490" t="s">
        <v>110</v>
      </c>
      <c r="D60" s="490"/>
      <c r="E60" s="42">
        <v>26.78</v>
      </c>
      <c r="F60" s="46">
        <v>1934</v>
      </c>
      <c r="G60" s="113">
        <f t="shared" si="39"/>
        <v>51792.520000000004</v>
      </c>
      <c r="H60" s="125" t="s">
        <v>79</v>
      </c>
      <c r="I60" s="112">
        <v>10</v>
      </c>
      <c r="J60" s="37">
        <v>3000</v>
      </c>
      <c r="K60" s="17">
        <f t="shared" si="1"/>
        <v>300</v>
      </c>
      <c r="L60" s="112">
        <v>10</v>
      </c>
      <c r="M60" s="18">
        <f t="shared" si="40"/>
        <v>2900.9999999999986</v>
      </c>
      <c r="N60" s="17">
        <f t="shared" si="3"/>
        <v>290.09999999999985</v>
      </c>
      <c r="O60" s="19">
        <f t="shared" si="4"/>
        <v>0</v>
      </c>
      <c r="P60" s="20">
        <f t="shared" si="5"/>
        <v>-9.9000000000001478</v>
      </c>
      <c r="Q60" s="114">
        <f t="shared" si="6"/>
        <v>0.96699999999999953</v>
      </c>
      <c r="R60" s="489"/>
      <c r="S60" s="40">
        <v>0.25624999999999998</v>
      </c>
      <c r="T60" s="40">
        <v>0.28402777777777777</v>
      </c>
      <c r="U60" s="113">
        <f t="shared" ref="U60:U64" si="42">(S60-T59)*24*60</f>
        <v>4.9999999999999822</v>
      </c>
      <c r="V60" s="115">
        <f t="shared" si="41"/>
        <v>40.000000000000014</v>
      </c>
      <c r="W60" s="113"/>
      <c r="X60" s="113"/>
      <c r="Y60" s="113"/>
      <c r="Z60" s="113"/>
      <c r="AA60" s="491"/>
      <c r="AB60" s="491"/>
      <c r="AC60" s="25" t="s">
        <v>79</v>
      </c>
      <c r="AD60" s="25"/>
      <c r="AE60" s="19">
        <f t="shared" si="8"/>
        <v>-99.000000000001364</v>
      </c>
      <c r="AF60" s="114">
        <f t="shared" si="9"/>
        <v>0.96699999999999953</v>
      </c>
      <c r="AG60" s="489"/>
    </row>
    <row r="61" spans="1:33" ht="15.75" customHeight="1">
      <c r="A61" s="499" t="s">
        <v>72</v>
      </c>
      <c r="B61" s="117" t="s">
        <v>93</v>
      </c>
      <c r="C61" s="490" t="s">
        <v>111</v>
      </c>
      <c r="D61" s="490"/>
      <c r="E61" s="42">
        <v>37.880000000000003</v>
      </c>
      <c r="F61" s="46">
        <v>2093</v>
      </c>
      <c r="G61" s="113">
        <f t="shared" si="39"/>
        <v>79282.840000000011</v>
      </c>
      <c r="H61" s="125" t="s">
        <v>79</v>
      </c>
      <c r="I61" s="112">
        <v>10</v>
      </c>
      <c r="J61" s="37">
        <v>3000</v>
      </c>
      <c r="K61" s="17">
        <f t="shared" si="1"/>
        <v>300</v>
      </c>
      <c r="L61" s="112">
        <v>10</v>
      </c>
      <c r="M61" s="18">
        <f t="shared" si="40"/>
        <v>2854.090909090909</v>
      </c>
      <c r="N61" s="17">
        <f t="shared" si="3"/>
        <v>285.40909090909088</v>
      </c>
      <c r="O61" s="19">
        <f t="shared" si="4"/>
        <v>0</v>
      </c>
      <c r="P61" s="20">
        <f t="shared" si="5"/>
        <v>-14.590909090909122</v>
      </c>
      <c r="Q61" s="114">
        <f t="shared" si="6"/>
        <v>0.9513636363636363</v>
      </c>
      <c r="R61" s="489"/>
      <c r="S61" s="40">
        <v>0.28749999999999998</v>
      </c>
      <c r="T61" s="40">
        <v>0.31805555555555554</v>
      </c>
      <c r="U61" s="113">
        <f t="shared" si="42"/>
        <v>4.9999999999999822</v>
      </c>
      <c r="V61" s="115">
        <f t="shared" si="41"/>
        <v>44</v>
      </c>
      <c r="W61" s="113"/>
      <c r="X61" s="113"/>
      <c r="Y61" s="113"/>
      <c r="Z61" s="113"/>
      <c r="AA61" s="491"/>
      <c r="AB61" s="491"/>
      <c r="AC61" s="25" t="s">
        <v>79</v>
      </c>
      <c r="AD61" s="25"/>
      <c r="AE61" s="19">
        <f t="shared" si="8"/>
        <v>-145.90909090909099</v>
      </c>
      <c r="AF61" s="114">
        <f t="shared" si="9"/>
        <v>0.9513636363636363</v>
      </c>
      <c r="AG61" s="489"/>
    </row>
    <row r="62" spans="1:33" ht="15.75" customHeight="1">
      <c r="A62" s="499" t="s">
        <v>320</v>
      </c>
      <c r="B62" s="117" t="s">
        <v>93</v>
      </c>
      <c r="C62" s="490" t="s">
        <v>112</v>
      </c>
      <c r="D62" s="490"/>
      <c r="E62" s="42">
        <v>35.869999999999997</v>
      </c>
      <c r="F62" s="46">
        <v>2461</v>
      </c>
      <c r="G62" s="113">
        <f t="shared" si="39"/>
        <v>88276.069999999992</v>
      </c>
      <c r="H62" s="125" t="s">
        <v>79</v>
      </c>
      <c r="I62" s="112">
        <v>9</v>
      </c>
      <c r="J62" s="37">
        <v>3000</v>
      </c>
      <c r="K62" s="17">
        <f t="shared" si="1"/>
        <v>333.33333333333331</v>
      </c>
      <c r="L62" s="112">
        <v>9</v>
      </c>
      <c r="M62" s="18">
        <f t="shared" si="40"/>
        <v>2895.2941176470599</v>
      </c>
      <c r="N62" s="17">
        <f t="shared" si="3"/>
        <v>321.69934640522888</v>
      </c>
      <c r="O62" s="19">
        <f t="shared" si="4"/>
        <v>0</v>
      </c>
      <c r="P62" s="20">
        <f t="shared" si="5"/>
        <v>-11.633986928104434</v>
      </c>
      <c r="Q62" s="114">
        <f t="shared" si="6"/>
        <v>0.96509803921568671</v>
      </c>
      <c r="R62" s="489"/>
      <c r="S62" s="40">
        <v>0.32291666666666663</v>
      </c>
      <c r="T62" s="40">
        <v>0.35833333333333328</v>
      </c>
      <c r="U62" s="113">
        <f t="shared" si="42"/>
        <v>6.9999999999999751</v>
      </c>
      <c r="V62" s="115">
        <f t="shared" si="41"/>
        <v>50.999999999999979</v>
      </c>
      <c r="W62" s="113"/>
      <c r="X62" s="113"/>
      <c r="Y62" s="113"/>
      <c r="Z62" s="113"/>
      <c r="AA62" s="491"/>
      <c r="AB62" s="491"/>
      <c r="AC62" s="25" t="s">
        <v>79</v>
      </c>
      <c r="AD62" s="25"/>
      <c r="AE62" s="19">
        <f t="shared" si="8"/>
        <v>-104.70588235294008</v>
      </c>
      <c r="AF62" s="114">
        <f t="shared" si="9"/>
        <v>0.9650980392156866</v>
      </c>
      <c r="AG62" s="489"/>
    </row>
    <row r="63" spans="1:33">
      <c r="A63" s="500" t="s">
        <v>320</v>
      </c>
      <c r="B63" s="117" t="s">
        <v>93</v>
      </c>
      <c r="C63" s="490" t="s">
        <v>113</v>
      </c>
      <c r="D63" s="490"/>
      <c r="E63" s="42">
        <v>34.36</v>
      </c>
      <c r="F63" s="46">
        <v>1211</v>
      </c>
      <c r="G63" s="113">
        <f t="shared" si="39"/>
        <v>41609.96</v>
      </c>
      <c r="H63" s="125" t="s">
        <v>79</v>
      </c>
      <c r="I63" s="112">
        <v>10</v>
      </c>
      <c r="J63" s="37">
        <v>3000</v>
      </c>
      <c r="K63" s="17">
        <f t="shared" si="1"/>
        <v>300</v>
      </c>
      <c r="L63" s="112">
        <v>10</v>
      </c>
      <c r="M63" s="18">
        <f t="shared" si="40"/>
        <v>2906.4000000000005</v>
      </c>
      <c r="N63" s="17">
        <f t="shared" si="3"/>
        <v>290.64000000000004</v>
      </c>
      <c r="O63" s="19">
        <f t="shared" si="4"/>
        <v>0</v>
      </c>
      <c r="P63" s="20">
        <f t="shared" si="5"/>
        <v>-9.3599999999999568</v>
      </c>
      <c r="Q63" s="114">
        <f t="shared" si="6"/>
        <v>0.96880000000000011</v>
      </c>
      <c r="R63" s="489"/>
      <c r="S63" s="40">
        <v>0.36249999999999993</v>
      </c>
      <c r="T63" s="40">
        <v>0.37986111111111104</v>
      </c>
      <c r="U63" s="113">
        <f t="shared" si="42"/>
        <v>5.9999999999999787</v>
      </c>
      <c r="V63" s="115">
        <f t="shared" si="41"/>
        <v>24.999999999999993</v>
      </c>
      <c r="W63" s="23"/>
      <c r="X63" s="23"/>
      <c r="Y63" s="23"/>
      <c r="Z63" s="23"/>
      <c r="AA63" s="491"/>
      <c r="AB63" s="491"/>
      <c r="AC63" s="25" t="s">
        <v>79</v>
      </c>
      <c r="AD63" s="25"/>
      <c r="AE63" s="19">
        <f t="shared" si="8"/>
        <v>-93.599999999999454</v>
      </c>
      <c r="AF63" s="114">
        <f t="shared" si="9"/>
        <v>0.96880000000000022</v>
      </c>
      <c r="AG63" s="489"/>
    </row>
    <row r="64" spans="1:33" ht="15" customHeight="1">
      <c r="A64" s="500" t="s">
        <v>320</v>
      </c>
      <c r="B64" s="117" t="s">
        <v>93</v>
      </c>
      <c r="C64" s="501" t="s">
        <v>114</v>
      </c>
      <c r="D64" s="502"/>
      <c r="E64" s="42">
        <v>36.14</v>
      </c>
      <c r="F64" s="46">
        <v>780</v>
      </c>
      <c r="G64" s="113">
        <f t="shared" si="39"/>
        <v>28189.200000000001</v>
      </c>
      <c r="H64" s="125" t="s">
        <v>79</v>
      </c>
      <c r="I64" s="112">
        <v>9</v>
      </c>
      <c r="J64" s="37">
        <v>3000</v>
      </c>
      <c r="K64" s="17">
        <f t="shared" si="1"/>
        <v>333.33333333333331</v>
      </c>
      <c r="L64" s="112">
        <v>9</v>
      </c>
      <c r="M64" s="18">
        <f t="shared" si="40"/>
        <v>2924.9999999999964</v>
      </c>
      <c r="N64" s="17">
        <f t="shared" si="3"/>
        <v>324.9999999999996</v>
      </c>
      <c r="O64" s="19">
        <f t="shared" si="4"/>
        <v>0</v>
      </c>
      <c r="P64" s="20">
        <f t="shared" si="5"/>
        <v>-8.3333333333337123</v>
      </c>
      <c r="Q64" s="114">
        <f t="shared" si="6"/>
        <v>0.97499999999999887</v>
      </c>
      <c r="R64" s="489"/>
      <c r="S64" s="40">
        <v>0.38541666666666657</v>
      </c>
      <c r="T64" s="40">
        <v>0.3965277777777777</v>
      </c>
      <c r="U64" s="113">
        <f t="shared" si="42"/>
        <v>7.9999999999999716</v>
      </c>
      <c r="V64" s="115">
        <f t="shared" si="41"/>
        <v>16.000000000000021</v>
      </c>
      <c r="W64" s="113"/>
      <c r="X64" s="113"/>
      <c r="Y64" s="119"/>
      <c r="Z64" s="119"/>
      <c r="AA64" s="503"/>
      <c r="AB64" s="504"/>
      <c r="AC64" s="25" t="s">
        <v>79</v>
      </c>
      <c r="AD64" s="25"/>
      <c r="AE64" s="19">
        <f t="shared" si="8"/>
        <v>-75.000000000003638</v>
      </c>
      <c r="AF64" s="114">
        <f t="shared" si="9"/>
        <v>0.97499999999999876</v>
      </c>
      <c r="AG64" s="489"/>
    </row>
    <row r="65" spans="1:33">
      <c r="A65" s="500" t="s">
        <v>72</v>
      </c>
      <c r="B65" s="42" t="s">
        <v>318</v>
      </c>
      <c r="C65" s="494"/>
      <c r="D65" s="494"/>
      <c r="E65" s="118"/>
      <c r="F65" s="44"/>
      <c r="G65" s="17"/>
      <c r="H65" s="117"/>
      <c r="I65" s="30">
        <v>9.3333333333333339</v>
      </c>
      <c r="J65" s="37">
        <v>2750</v>
      </c>
      <c r="K65" s="17">
        <f t="shared" si="1"/>
        <v>294.64285714285711</v>
      </c>
      <c r="L65" s="30">
        <v>9.3333333333333339</v>
      </c>
      <c r="M65" s="18">
        <f>AVERAGE(M59:M64)</f>
        <v>2654.2558377896607</v>
      </c>
      <c r="N65" s="17">
        <f t="shared" si="3"/>
        <v>284.3845540488922</v>
      </c>
      <c r="O65" s="19">
        <f t="shared" si="4"/>
        <v>0</v>
      </c>
      <c r="P65" s="20">
        <f t="shared" si="5"/>
        <v>-10.258303093964912</v>
      </c>
      <c r="Q65" s="114">
        <f t="shared" si="6"/>
        <v>0.96518394101442206</v>
      </c>
      <c r="R65" s="489"/>
      <c r="S65" s="40"/>
      <c r="T65" s="40"/>
      <c r="U65" s="17"/>
      <c r="V65" s="115"/>
      <c r="W65" s="17"/>
      <c r="X65" s="17"/>
      <c r="Y65" s="31">
        <f>SUM(Y59:Y64)</f>
        <v>0</v>
      </c>
      <c r="Z65" s="31">
        <f>SUM(Z59:Z64)</f>
        <v>0</v>
      </c>
      <c r="AA65" s="495"/>
      <c r="AB65" s="495"/>
      <c r="AC65" s="31">
        <f>SUM(AC59:AC64)</f>
        <v>0</v>
      </c>
      <c r="AD65" s="31">
        <f>SUM(AD59:AD64)</f>
        <v>0</v>
      </c>
      <c r="AE65" s="19">
        <f t="shared" si="8"/>
        <v>-95.744162210339255</v>
      </c>
      <c r="AF65" s="114">
        <f t="shared" si="9"/>
        <v>0.96518394101442206</v>
      </c>
      <c r="AG65" s="489"/>
    </row>
    <row r="66" spans="1:33" ht="15.75" customHeight="1">
      <c r="A66" s="496" t="s">
        <v>321</v>
      </c>
      <c r="B66" s="117" t="s">
        <v>80</v>
      </c>
      <c r="C66" s="490" t="s">
        <v>115</v>
      </c>
      <c r="D66" s="490"/>
      <c r="E66" s="42">
        <v>20.2</v>
      </c>
      <c r="F66" s="117">
        <v>1409</v>
      </c>
      <c r="G66" s="113">
        <f t="shared" ref="G66:G70" si="43">E66*F66</f>
        <v>28461.8</v>
      </c>
      <c r="H66" s="125" t="s">
        <v>79</v>
      </c>
      <c r="I66" s="112">
        <v>19</v>
      </c>
      <c r="J66" s="37">
        <v>2400</v>
      </c>
      <c r="K66" s="17">
        <f t="shared" si="1"/>
        <v>126.31578947368421</v>
      </c>
      <c r="L66" s="112">
        <v>19</v>
      </c>
      <c r="M66" s="18">
        <f t="shared" ref="M66:M70" si="44">F66/V66*60</f>
        <v>2348.3333333333339</v>
      </c>
      <c r="N66" s="17">
        <f t="shared" si="3"/>
        <v>123.59649122807021</v>
      </c>
      <c r="O66" s="19">
        <f t="shared" si="4"/>
        <v>0</v>
      </c>
      <c r="P66" s="20">
        <f t="shared" si="5"/>
        <v>-2.7192982456139987</v>
      </c>
      <c r="Q66" s="114">
        <f t="shared" si="6"/>
        <v>0.97847222222222252</v>
      </c>
      <c r="R66" s="489">
        <f>Q71</f>
        <v>0.96049850623510802</v>
      </c>
      <c r="S66" s="40">
        <v>8.3333333333333329E-2</v>
      </c>
      <c r="T66" s="40">
        <v>0.10833333333333332</v>
      </c>
      <c r="U66" s="28"/>
      <c r="V66" s="115">
        <f t="shared" ref="V66:V70" si="45">(T66-S66)*24*60</f>
        <v>35.999999999999993</v>
      </c>
      <c r="W66" s="23">
        <f>T66</f>
        <v>0.10833333333333332</v>
      </c>
      <c r="X66" s="23">
        <f>S67</f>
        <v>0.12777777777777777</v>
      </c>
      <c r="Y66" s="23"/>
      <c r="Z66" s="23"/>
      <c r="AA66" s="491"/>
      <c r="AB66" s="491"/>
      <c r="AC66" s="25">
        <v>6</v>
      </c>
      <c r="AD66" s="25"/>
      <c r="AE66" s="19">
        <f t="shared" si="8"/>
        <v>-51.66666666666606</v>
      </c>
      <c r="AF66" s="114">
        <f t="shared" si="9"/>
        <v>0.97847222222222252</v>
      </c>
      <c r="AG66" s="489">
        <f>AF71</f>
        <v>0.96049850623510791</v>
      </c>
    </row>
    <row r="67" spans="1:33" ht="15.75" customHeight="1">
      <c r="A67" s="497" t="s">
        <v>321</v>
      </c>
      <c r="B67" s="117" t="s">
        <v>80</v>
      </c>
      <c r="C67" s="490" t="s">
        <v>116</v>
      </c>
      <c r="D67" s="490"/>
      <c r="E67" s="42">
        <v>20.52</v>
      </c>
      <c r="F67" s="117">
        <v>2410</v>
      </c>
      <c r="G67" s="113">
        <f t="shared" si="43"/>
        <v>49453.2</v>
      </c>
      <c r="H67" s="125" t="s">
        <v>79</v>
      </c>
      <c r="I67" s="112">
        <v>18</v>
      </c>
      <c r="J67" s="37">
        <v>2400</v>
      </c>
      <c r="K67" s="17">
        <f t="shared" si="1"/>
        <v>133.33333333333334</v>
      </c>
      <c r="L67" s="112">
        <v>18</v>
      </c>
      <c r="M67" s="18">
        <f t="shared" si="44"/>
        <v>2295.238095238095</v>
      </c>
      <c r="N67" s="17">
        <f t="shared" si="3"/>
        <v>127.51322751322749</v>
      </c>
      <c r="O67" s="19">
        <f t="shared" si="4"/>
        <v>0</v>
      </c>
      <c r="P67" s="20">
        <f t="shared" si="5"/>
        <v>-5.8201058201058515</v>
      </c>
      <c r="Q67" s="114">
        <f t="shared" si="6"/>
        <v>0.95634920634920617</v>
      </c>
      <c r="R67" s="489"/>
      <c r="S67" s="40">
        <v>0.12777777777777777</v>
      </c>
      <c r="T67" s="40">
        <v>0.17152777777777778</v>
      </c>
      <c r="U67" s="113">
        <f t="shared" ref="U67:U70" si="46">(S67-T66)*24*60</f>
        <v>28</v>
      </c>
      <c r="V67" s="115">
        <f t="shared" si="45"/>
        <v>63.000000000000014</v>
      </c>
      <c r="W67" s="23"/>
      <c r="X67" s="23"/>
      <c r="Y67" s="23"/>
      <c r="Z67" s="23"/>
      <c r="AA67" s="491"/>
      <c r="AB67" s="491"/>
      <c r="AC67" s="25"/>
      <c r="AD67" s="25"/>
      <c r="AE67" s="19">
        <f t="shared" si="8"/>
        <v>-104.76190476190504</v>
      </c>
      <c r="AF67" s="114">
        <f t="shared" si="9"/>
        <v>0.95634920634920628</v>
      </c>
      <c r="AG67" s="489"/>
    </row>
    <row r="68" spans="1:33" ht="15.75" customHeight="1">
      <c r="A68" s="497" t="s">
        <v>321</v>
      </c>
      <c r="B68" s="117" t="s">
        <v>80</v>
      </c>
      <c r="C68" s="490" t="s">
        <v>117</v>
      </c>
      <c r="D68" s="490"/>
      <c r="E68" s="42">
        <v>24.43</v>
      </c>
      <c r="F68" s="117">
        <v>4857</v>
      </c>
      <c r="G68" s="113">
        <f t="shared" si="43"/>
        <v>118656.51</v>
      </c>
      <c r="H68" s="125" t="s">
        <v>79</v>
      </c>
      <c r="I68" s="112">
        <v>14</v>
      </c>
      <c r="J68" s="37">
        <v>2400</v>
      </c>
      <c r="K68" s="17">
        <f t="shared" si="1"/>
        <v>171.42857142857142</v>
      </c>
      <c r="L68" s="112">
        <v>14</v>
      </c>
      <c r="M68" s="18">
        <f t="shared" si="44"/>
        <v>2294.6456692913389</v>
      </c>
      <c r="N68" s="17">
        <f t="shared" si="3"/>
        <v>163.90326209223849</v>
      </c>
      <c r="O68" s="19">
        <f t="shared" si="4"/>
        <v>0</v>
      </c>
      <c r="P68" s="20">
        <f t="shared" si="5"/>
        <v>-7.5253093363329242</v>
      </c>
      <c r="Q68" s="114">
        <f t="shared" si="6"/>
        <v>0.95610236220472455</v>
      </c>
      <c r="R68" s="489"/>
      <c r="S68" s="40">
        <v>0.17708333333333334</v>
      </c>
      <c r="T68" s="40">
        <v>0.26527777777777778</v>
      </c>
      <c r="U68" s="113">
        <f t="shared" si="46"/>
        <v>8.0000000000000107</v>
      </c>
      <c r="V68" s="115">
        <f t="shared" si="45"/>
        <v>126.99999999999997</v>
      </c>
      <c r="W68" s="23"/>
      <c r="X68" s="23"/>
      <c r="Y68" s="23"/>
      <c r="Z68" s="23"/>
      <c r="AA68" s="491"/>
      <c r="AB68" s="491"/>
      <c r="AC68" s="25"/>
      <c r="AD68" s="25"/>
      <c r="AE68" s="19">
        <f t="shared" si="8"/>
        <v>-105.35433070866111</v>
      </c>
      <c r="AF68" s="114">
        <f t="shared" si="9"/>
        <v>0.95610236220472455</v>
      </c>
      <c r="AG68" s="489"/>
    </row>
    <row r="69" spans="1:33" ht="15.75" customHeight="1">
      <c r="A69" s="497" t="s">
        <v>75</v>
      </c>
      <c r="B69" s="117" t="s">
        <v>80</v>
      </c>
      <c r="C69" s="490" t="s">
        <v>118</v>
      </c>
      <c r="D69" s="490"/>
      <c r="E69" s="42">
        <v>20.21</v>
      </c>
      <c r="F69" s="117">
        <v>3556</v>
      </c>
      <c r="G69" s="113">
        <f t="shared" si="43"/>
        <v>71866.760000000009</v>
      </c>
      <c r="H69" s="125" t="s">
        <v>79</v>
      </c>
      <c r="I69" s="112">
        <v>16</v>
      </c>
      <c r="J69" s="37">
        <v>2400</v>
      </c>
      <c r="K69" s="17">
        <f t="shared" ref="K69:K71" si="47">J69/I69</f>
        <v>150</v>
      </c>
      <c r="L69" s="112">
        <v>16</v>
      </c>
      <c r="M69" s="18">
        <f t="shared" si="44"/>
        <v>2294.1935483870971</v>
      </c>
      <c r="N69" s="17">
        <f t="shared" ref="N69:N71" si="48">M69/L69</f>
        <v>143.38709677419357</v>
      </c>
      <c r="O69" s="19">
        <f t="shared" ref="O69:O71" si="49">L69-I69</f>
        <v>0</v>
      </c>
      <c r="P69" s="20">
        <f t="shared" ref="P69:P71" si="50">N69-K69</f>
        <v>-6.6129032258064342</v>
      </c>
      <c r="Q69" s="114">
        <f t="shared" ref="Q69:Q71" si="51">N69/K69</f>
        <v>0.95591397849462378</v>
      </c>
      <c r="R69" s="489"/>
      <c r="S69" s="40">
        <v>0.26944444444444443</v>
      </c>
      <c r="T69" s="40">
        <v>0.33402777777777776</v>
      </c>
      <c r="U69" s="113">
        <f t="shared" si="46"/>
        <v>5.9999999999999787</v>
      </c>
      <c r="V69" s="115">
        <f t="shared" si="45"/>
        <v>92.999999999999986</v>
      </c>
      <c r="W69" s="23"/>
      <c r="X69" s="23"/>
      <c r="Y69" s="23"/>
      <c r="Z69" s="23"/>
      <c r="AA69" s="491"/>
      <c r="AB69" s="491"/>
      <c r="AC69" s="25"/>
      <c r="AD69" s="25"/>
      <c r="AE69" s="19">
        <f t="shared" ref="AE69:AE71" si="52">M69-J69</f>
        <v>-105.80645161290295</v>
      </c>
      <c r="AF69" s="114">
        <f t="shared" ref="AF69:AF71" si="53">M69/J69</f>
        <v>0.95591397849462378</v>
      </c>
      <c r="AG69" s="489"/>
    </row>
    <row r="70" spans="1:33" ht="15.75" customHeight="1">
      <c r="A70" s="497" t="s">
        <v>321</v>
      </c>
      <c r="B70" s="117" t="s">
        <v>80</v>
      </c>
      <c r="C70" s="490" t="s">
        <v>119</v>
      </c>
      <c r="D70" s="490"/>
      <c r="E70" s="42">
        <v>19.02</v>
      </c>
      <c r="F70" s="117">
        <v>6422</v>
      </c>
      <c r="G70" s="113">
        <f t="shared" si="43"/>
        <v>122146.44</v>
      </c>
      <c r="H70" s="125" t="s">
        <v>79</v>
      </c>
      <c r="I70" s="112">
        <v>15</v>
      </c>
      <c r="J70" s="37">
        <v>2400</v>
      </c>
      <c r="K70" s="17">
        <f t="shared" si="47"/>
        <v>160</v>
      </c>
      <c r="L70" s="112">
        <v>15</v>
      </c>
      <c r="M70" s="18">
        <f t="shared" si="44"/>
        <v>2293.5714285714289</v>
      </c>
      <c r="N70" s="17">
        <f t="shared" si="48"/>
        <v>152.90476190476193</v>
      </c>
      <c r="O70" s="19">
        <f t="shared" si="49"/>
        <v>0</v>
      </c>
      <c r="P70" s="20">
        <f t="shared" si="50"/>
        <v>-7.0952380952380736</v>
      </c>
      <c r="Q70" s="114">
        <f t="shared" si="51"/>
        <v>0.95565476190476206</v>
      </c>
      <c r="R70" s="489"/>
      <c r="S70" s="40">
        <v>0.33958333333333329</v>
      </c>
      <c r="T70" s="40">
        <v>0.45624999999999993</v>
      </c>
      <c r="U70" s="113">
        <f t="shared" si="46"/>
        <v>7.9999999999999716</v>
      </c>
      <c r="V70" s="115">
        <f t="shared" si="45"/>
        <v>167.99999999999997</v>
      </c>
      <c r="W70" s="23"/>
      <c r="X70" s="23"/>
      <c r="Y70" s="23"/>
      <c r="Z70" s="23"/>
      <c r="AA70" s="491"/>
      <c r="AB70" s="491"/>
      <c r="AC70" s="25"/>
      <c r="AD70" s="25"/>
      <c r="AE70" s="19">
        <f t="shared" si="52"/>
        <v>-106.4285714285711</v>
      </c>
      <c r="AF70" s="114">
        <f t="shared" si="53"/>
        <v>0.95565476190476206</v>
      </c>
      <c r="AG70" s="489"/>
    </row>
    <row r="71" spans="1:33" ht="16.5" customHeight="1">
      <c r="A71" s="498" t="s">
        <v>321</v>
      </c>
      <c r="B71" s="42" t="s">
        <v>318</v>
      </c>
      <c r="C71" s="492"/>
      <c r="D71" s="493"/>
      <c r="E71" s="118"/>
      <c r="F71" s="44"/>
      <c r="G71" s="17"/>
      <c r="H71" s="117"/>
      <c r="I71" s="30">
        <v>16.399999999999999</v>
      </c>
      <c r="J71" s="37">
        <v>2400</v>
      </c>
      <c r="K71" s="17">
        <f t="shared" si="47"/>
        <v>146.34146341463415</v>
      </c>
      <c r="L71" s="30">
        <v>16.399999999999999</v>
      </c>
      <c r="M71" s="18">
        <f>AVERAGE(M66:M70)</f>
        <v>2305.196414964259</v>
      </c>
      <c r="N71" s="17">
        <f t="shared" si="48"/>
        <v>140.56075701001581</v>
      </c>
      <c r="O71" s="19">
        <f t="shared" si="49"/>
        <v>0</v>
      </c>
      <c r="P71" s="20">
        <f t="shared" si="50"/>
        <v>-5.7807064046183427</v>
      </c>
      <c r="Q71" s="114">
        <f t="shared" si="51"/>
        <v>0.96049850623510802</v>
      </c>
      <c r="R71" s="489"/>
      <c r="S71" s="40"/>
      <c r="T71" s="40"/>
      <c r="U71" s="17"/>
      <c r="V71" s="115"/>
      <c r="W71" s="17"/>
      <c r="X71" s="17"/>
      <c r="Y71" s="31">
        <f>SUM(Y66:Y70)</f>
        <v>0</v>
      </c>
      <c r="Z71" s="31">
        <f>SUM(Z66:Z70)</f>
        <v>0</v>
      </c>
      <c r="AA71" s="495"/>
      <c r="AB71" s="495"/>
      <c r="AC71" s="31">
        <f>SUM(AC66:AC70)</f>
        <v>6</v>
      </c>
      <c r="AD71" s="31">
        <f>SUM(AD66:AD70)</f>
        <v>0</v>
      </c>
      <c r="AE71" s="19">
        <f t="shared" si="52"/>
        <v>-94.80358503574098</v>
      </c>
      <c r="AF71" s="114">
        <f t="shared" si="53"/>
        <v>0.96049850623510791</v>
      </c>
      <c r="AG71" s="489"/>
    </row>
    <row r="72" spans="1:33">
      <c r="D72" s="33"/>
      <c r="E72" s="33"/>
    </row>
  </sheetData>
  <mergeCells count="194">
    <mergeCell ref="AA69:AB69"/>
    <mergeCell ref="C70:D70"/>
    <mergeCell ref="AA70:AB70"/>
    <mergeCell ref="A66:A71"/>
    <mergeCell ref="C66:D66"/>
    <mergeCell ref="R66:R71"/>
    <mergeCell ref="AA66:AB66"/>
    <mergeCell ref="AG66:AG71"/>
    <mergeCell ref="C67:D67"/>
    <mergeCell ref="AA67:AB67"/>
    <mergeCell ref="C68:D68"/>
    <mergeCell ref="AA68:AB68"/>
    <mergeCell ref="C69:D69"/>
    <mergeCell ref="C71:D71"/>
    <mergeCell ref="AA71:AB71"/>
    <mergeCell ref="AG51:AG58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57:AB57"/>
    <mergeCell ref="C58:D58"/>
    <mergeCell ref="AA58:AB58"/>
    <mergeCell ref="A59:A65"/>
    <mergeCell ref="C59:D59"/>
    <mergeCell ref="R59:R65"/>
    <mergeCell ref="AA59:AB59"/>
    <mergeCell ref="AG59:AG65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44:A50"/>
    <mergeCell ref="C44:D44"/>
    <mergeCell ref="R44:R50"/>
    <mergeCell ref="AA44:AB44"/>
    <mergeCell ref="AA49:AB49"/>
    <mergeCell ref="C50:D50"/>
    <mergeCell ref="AA50:AB50"/>
    <mergeCell ref="AG44:AG50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C35:D35"/>
    <mergeCell ref="A51:A58"/>
    <mergeCell ref="C51:D51"/>
    <mergeCell ref="R51:R58"/>
    <mergeCell ref="AA51:AB51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C43:D43"/>
    <mergeCell ref="AA43:AB43"/>
    <mergeCell ref="A30:A35"/>
    <mergeCell ref="C30:D30"/>
    <mergeCell ref="R30:R35"/>
    <mergeCell ref="AA30:AB30"/>
    <mergeCell ref="AA35:AB35"/>
    <mergeCell ref="AG21:AG29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AA13:AB13"/>
    <mergeCell ref="C20:D20"/>
    <mergeCell ref="AA20:AB20"/>
    <mergeCell ref="A21:A29"/>
    <mergeCell ref="C21:D21"/>
    <mergeCell ref="R21:R29"/>
    <mergeCell ref="AA21:AB21"/>
    <mergeCell ref="AA26:AB26"/>
    <mergeCell ref="C27:D27"/>
    <mergeCell ref="AA27:AB27"/>
    <mergeCell ref="C28:D28"/>
    <mergeCell ref="AA28:AB28"/>
    <mergeCell ref="C29:D29"/>
    <mergeCell ref="AA29:AB29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8:D18"/>
    <mergeCell ref="AA18:AB18"/>
    <mergeCell ref="AA19:AB19"/>
    <mergeCell ref="A13:A20"/>
    <mergeCell ref="C13:D13"/>
    <mergeCell ref="R13:R20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58:O59 O5:O10 O12:O14 O20:O56 O62:O71">
    <cfRule type="cellIs" dxfId="205" priority="49" operator="greaterThan">
      <formula>0</formula>
    </cfRule>
  </conditionalFormatting>
  <conditionalFormatting sqref="P5:P8 P62:P64 AE62:AE64 P30:P34 P59 P10 P12:P14 P21:P28 P51:P56 P36:P49 AE5:AE59 P66:P70 AE66:AE71">
    <cfRule type="cellIs" dxfId="204" priority="53" operator="lessThan">
      <formula>0</formula>
    </cfRule>
  </conditionalFormatting>
  <conditionalFormatting sqref="AF62:AF64 Q58:Q59 Q5:Q10 Q12:Q14 Q20:Q56 AF5:AF59 Q62:Q71 AF66:AF71">
    <cfRule type="cellIs" dxfId="203" priority="50" operator="greaterThan">
      <formula>1</formula>
    </cfRule>
    <cfRule type="cellIs" dxfId="202" priority="51" operator="lessThan">
      <formula>0.8</formula>
    </cfRule>
  </conditionalFormatting>
  <conditionalFormatting sqref="AG13:AG14 R13:R14 AG62 R20:R26 AG20:AG26 AG58:AG59 R58:R59 AG5:AG10 R5:R10 AG29:AG56 R29:R56 R62:R71">
    <cfRule type="cellIs" dxfId="201" priority="55" operator="lessThan">
      <formula>0.8</formula>
    </cfRule>
  </conditionalFormatting>
  <conditionalFormatting sqref="AG44">
    <cfRule type="cellIs" dxfId="200" priority="57" operator="lessThan">
      <formula>0.8</formula>
    </cfRule>
  </conditionalFormatting>
  <conditionalFormatting sqref="AG21:AG26">
    <cfRule type="cellIs" dxfId="199" priority="54" operator="lessThan">
      <formula>0.8</formula>
    </cfRule>
  </conditionalFormatting>
  <conditionalFormatting sqref="AG30">
    <cfRule type="cellIs" dxfId="198" priority="56" operator="lessThan">
      <formula>0.8</formula>
    </cfRule>
  </conditionalFormatting>
  <conditionalFormatting sqref="AG36:AG42">
    <cfRule type="cellIs" dxfId="197" priority="52" operator="lessThan">
      <formula>0.8</formula>
    </cfRule>
  </conditionalFormatting>
  <conditionalFormatting sqref="AE65">
    <cfRule type="cellIs" dxfId="196" priority="48" operator="lessThan">
      <formula>0</formula>
    </cfRule>
  </conditionalFormatting>
  <conditionalFormatting sqref="AF65">
    <cfRule type="cellIs" dxfId="195" priority="46" operator="greaterThan">
      <formula>1</formula>
    </cfRule>
    <cfRule type="cellIs" dxfId="194" priority="47" operator="lessThan">
      <formula>0.8</formula>
    </cfRule>
  </conditionalFormatting>
  <conditionalFormatting sqref="O15:O16">
    <cfRule type="cellIs" dxfId="193" priority="41" operator="greaterThan">
      <formula>0</formula>
    </cfRule>
  </conditionalFormatting>
  <conditionalFormatting sqref="P15:P16">
    <cfRule type="cellIs" dxfId="192" priority="44" operator="lessThan">
      <formula>0</formula>
    </cfRule>
  </conditionalFormatting>
  <conditionalFormatting sqref="Q15:Q16">
    <cfRule type="cellIs" dxfId="191" priority="42" operator="greaterThan">
      <formula>1</formula>
    </cfRule>
    <cfRule type="cellIs" dxfId="190" priority="43" operator="lessThan">
      <formula>0.8</formula>
    </cfRule>
  </conditionalFormatting>
  <conditionalFormatting sqref="R15:R16 AG15:AG16">
    <cfRule type="cellIs" dxfId="189" priority="45" operator="lessThan">
      <formula>0.8</formula>
    </cfRule>
  </conditionalFormatting>
  <conditionalFormatting sqref="O11">
    <cfRule type="cellIs" dxfId="188" priority="37" operator="greaterThan">
      <formula>0</formula>
    </cfRule>
  </conditionalFormatting>
  <conditionalFormatting sqref="P11">
    <cfRule type="cellIs" dxfId="187" priority="40" operator="lessThan">
      <formula>0</formula>
    </cfRule>
  </conditionalFormatting>
  <conditionalFormatting sqref="Q11">
    <cfRule type="cellIs" dxfId="186" priority="38" operator="greaterThan">
      <formula>1</formula>
    </cfRule>
    <cfRule type="cellIs" dxfId="185" priority="39" operator="lessThan">
      <formula>0.8</formula>
    </cfRule>
  </conditionalFormatting>
  <conditionalFormatting sqref="O57">
    <cfRule type="cellIs" dxfId="184" priority="32" operator="greaterThan">
      <formula>0</formula>
    </cfRule>
  </conditionalFormatting>
  <conditionalFormatting sqref="P57">
    <cfRule type="cellIs" dxfId="183" priority="35" operator="lessThan">
      <formula>0</formula>
    </cfRule>
  </conditionalFormatting>
  <conditionalFormatting sqref="Q57">
    <cfRule type="cellIs" dxfId="182" priority="33" operator="greaterThan">
      <formula>1</formula>
    </cfRule>
    <cfRule type="cellIs" dxfId="181" priority="34" operator="lessThan">
      <formula>0.8</formula>
    </cfRule>
  </conditionalFormatting>
  <conditionalFormatting sqref="R57 AG57">
    <cfRule type="cellIs" dxfId="180" priority="36" operator="lessThan">
      <formula>0.8</formula>
    </cfRule>
  </conditionalFormatting>
  <conditionalFormatting sqref="AG28 R28">
    <cfRule type="cellIs" dxfId="179" priority="31" operator="lessThan">
      <formula>0.8</formula>
    </cfRule>
  </conditionalFormatting>
  <conditionalFormatting sqref="O61">
    <cfRule type="cellIs" dxfId="178" priority="26" operator="greaterThan">
      <formula>0</formula>
    </cfRule>
  </conditionalFormatting>
  <conditionalFormatting sqref="P61 AE61">
    <cfRule type="cellIs" dxfId="177" priority="29" operator="lessThan">
      <formula>0</formula>
    </cfRule>
  </conditionalFormatting>
  <conditionalFormatting sqref="Q61 AF61">
    <cfRule type="cellIs" dxfId="176" priority="27" operator="greaterThan">
      <formula>1</formula>
    </cfRule>
    <cfRule type="cellIs" dxfId="175" priority="28" operator="lessThan">
      <formula>0.8</formula>
    </cfRule>
  </conditionalFormatting>
  <conditionalFormatting sqref="R61 AG61">
    <cfRule type="cellIs" dxfId="174" priority="30" operator="lessThan">
      <formula>0.8</formula>
    </cfRule>
  </conditionalFormatting>
  <conditionalFormatting sqref="O17:O18">
    <cfRule type="cellIs" dxfId="173" priority="21" operator="greaterThan">
      <formula>0</formula>
    </cfRule>
  </conditionalFormatting>
  <conditionalFormatting sqref="P17:P18">
    <cfRule type="cellIs" dxfId="172" priority="24" operator="lessThan">
      <formula>0</formula>
    </cfRule>
  </conditionalFormatting>
  <conditionalFormatting sqref="Q17:Q18">
    <cfRule type="cellIs" dxfId="171" priority="22" operator="greaterThan">
      <formula>1</formula>
    </cfRule>
    <cfRule type="cellIs" dxfId="170" priority="23" operator="lessThan">
      <formula>0.8</formula>
    </cfRule>
  </conditionalFormatting>
  <conditionalFormatting sqref="R17:R18 AG17:AG18">
    <cfRule type="cellIs" dxfId="169" priority="25" operator="lessThan">
      <formula>0.8</formula>
    </cfRule>
  </conditionalFormatting>
  <conditionalFormatting sqref="R27 AG27">
    <cfRule type="cellIs" dxfId="168" priority="20" operator="lessThan">
      <formula>0.8</formula>
    </cfRule>
  </conditionalFormatting>
  <conditionalFormatting sqref="AG27">
    <cfRule type="cellIs" dxfId="167" priority="19" operator="lessThan">
      <formula>0.8</formula>
    </cfRule>
  </conditionalFormatting>
  <conditionalFormatting sqref="O60">
    <cfRule type="cellIs" dxfId="166" priority="14" operator="greaterThan">
      <formula>0</formula>
    </cfRule>
  </conditionalFormatting>
  <conditionalFormatting sqref="P60 AE60">
    <cfRule type="cellIs" dxfId="165" priority="17" operator="lessThan">
      <formula>0</formula>
    </cfRule>
  </conditionalFormatting>
  <conditionalFormatting sqref="Q60 AF60">
    <cfRule type="cellIs" dxfId="164" priority="15" operator="greaterThan">
      <formula>1</formula>
    </cfRule>
    <cfRule type="cellIs" dxfId="163" priority="16" operator="lessThan">
      <formula>0.8</formula>
    </cfRule>
  </conditionalFormatting>
  <conditionalFormatting sqref="R60 AG60">
    <cfRule type="cellIs" dxfId="162" priority="18" operator="lessThan">
      <formula>0.8</formula>
    </cfRule>
  </conditionalFormatting>
  <conditionalFormatting sqref="O19">
    <cfRule type="cellIs" dxfId="161" priority="9" operator="greaterThan">
      <formula>0</formula>
    </cfRule>
  </conditionalFormatting>
  <conditionalFormatting sqref="P19">
    <cfRule type="cellIs" dxfId="160" priority="12" operator="lessThan">
      <formula>0</formula>
    </cfRule>
  </conditionalFormatting>
  <conditionalFormatting sqref="Q19">
    <cfRule type="cellIs" dxfId="159" priority="10" operator="greaterThan">
      <formula>1</formula>
    </cfRule>
    <cfRule type="cellIs" dxfId="158" priority="11" operator="lessThan">
      <formula>0.8</formula>
    </cfRule>
  </conditionalFormatting>
  <conditionalFormatting sqref="AG19 R19">
    <cfRule type="cellIs" dxfId="157" priority="13" operator="lessThan">
      <formula>0.8</formula>
    </cfRule>
  </conditionalFormatting>
  <conditionalFormatting sqref="P9">
    <cfRule type="cellIs" dxfId="156" priority="8" operator="lessThan">
      <formula>0</formula>
    </cfRule>
  </conditionalFormatting>
  <conditionalFormatting sqref="P20">
    <cfRule type="cellIs" dxfId="155" priority="7" operator="lessThan">
      <formula>0</formula>
    </cfRule>
  </conditionalFormatting>
  <conditionalFormatting sqref="P29">
    <cfRule type="cellIs" dxfId="154" priority="6" operator="lessThan">
      <formula>0</formula>
    </cfRule>
  </conditionalFormatting>
  <conditionalFormatting sqref="P35">
    <cfRule type="cellIs" dxfId="153" priority="5" operator="lessThan">
      <formula>0</formula>
    </cfRule>
  </conditionalFormatting>
  <conditionalFormatting sqref="P50">
    <cfRule type="cellIs" dxfId="152" priority="4" operator="lessThan">
      <formula>0</formula>
    </cfRule>
  </conditionalFormatting>
  <conditionalFormatting sqref="P58">
    <cfRule type="cellIs" dxfId="151" priority="3" operator="lessThan">
      <formula>0</formula>
    </cfRule>
  </conditionalFormatting>
  <conditionalFormatting sqref="P65">
    <cfRule type="cellIs" dxfId="150" priority="2" operator="lessThan">
      <formula>0</formula>
    </cfRule>
  </conditionalFormatting>
  <conditionalFormatting sqref="P71">
    <cfRule type="cellIs" dxfId="149" priority="1" operator="lessThan">
      <formula>0</formula>
    </cfRule>
  </conditionalFormatting>
  <dataValidations count="1">
    <dataValidation type="list" allowBlank="1" showInputMessage="1" showErrorMessage="1" sqref="AB9 AA5:AB8 AB63:AB64 AA9:AA64 AB11:AB59 AA65:AB71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2" zoomScale="85" zoomScaleNormal="85" workbookViewId="0">
      <selection activeCell="G7" sqref="G7:H7"/>
    </sheetView>
  </sheetViews>
  <sheetFormatPr defaultColWidth="8.75" defaultRowHeight="15.75"/>
  <cols>
    <col min="1" max="1" width="8.75" style="54"/>
    <col min="2" max="2" width="17.875" style="54" customWidth="1"/>
    <col min="3" max="3" width="9.25" style="62" customWidth="1"/>
    <col min="4" max="13" width="12.625" style="54" customWidth="1"/>
    <col min="14" max="14" width="11" style="54" bestFit="1" customWidth="1"/>
    <col min="15" max="15" width="17.75" style="54" bestFit="1" customWidth="1"/>
    <col min="16" max="16" width="12.25" style="54" bestFit="1" customWidth="1"/>
    <col min="17" max="22" width="9.25" style="54" customWidth="1"/>
    <col min="23" max="23" width="10.75" style="54" customWidth="1"/>
    <col min="24" max="24" width="11" style="54" customWidth="1"/>
    <col min="25" max="16384" width="8.75" style="54"/>
  </cols>
  <sheetData>
    <row r="1" spans="2:17" ht="27.75" customHeight="1">
      <c r="B1" s="476" t="s">
        <v>160</v>
      </c>
      <c r="C1" s="476"/>
      <c r="D1" s="476"/>
      <c r="E1" s="476"/>
      <c r="F1" s="476"/>
      <c r="G1" s="476"/>
      <c r="H1" s="476"/>
      <c r="I1" s="476"/>
      <c r="J1" s="476"/>
      <c r="K1" s="53"/>
      <c r="L1" s="53"/>
      <c r="M1" s="53"/>
      <c r="N1" s="53"/>
      <c r="O1" s="53"/>
      <c r="P1" s="53"/>
    </row>
    <row r="2" spans="2:17" ht="27.75" customHeight="1">
      <c r="B2" s="477"/>
      <c r="C2" s="477"/>
      <c r="D2" s="477"/>
      <c r="E2" s="477"/>
      <c r="F2" s="477"/>
      <c r="G2" s="477"/>
      <c r="H2" s="477"/>
      <c r="I2" s="477"/>
      <c r="J2" s="477"/>
      <c r="K2" s="55"/>
      <c r="L2" s="55"/>
      <c r="M2" s="55"/>
      <c r="N2" s="53"/>
      <c r="O2" s="53"/>
      <c r="P2" s="53"/>
    </row>
    <row r="3" spans="2:17" ht="46.5" customHeight="1">
      <c r="B3" s="56" t="s">
        <v>161</v>
      </c>
      <c r="C3" s="478" t="str">
        <f>TEXT('0101 4度C'!A2,"yyyy.mm.ddaaaa")</f>
        <v>2026.01.01星期四</v>
      </c>
      <c r="D3" s="479"/>
      <c r="E3" s="56" t="s">
        <v>162</v>
      </c>
      <c r="F3" s="480">
        <f>'0101 4度C'!D1</f>
        <v>152630</v>
      </c>
      <c r="G3" s="481"/>
      <c r="H3" s="56" t="s">
        <v>163</v>
      </c>
      <c r="I3" s="482">
        <f>'0101 4度C'!F1</f>
        <v>5202501.8</v>
      </c>
      <c r="J3" s="483"/>
      <c r="K3" s="57"/>
      <c r="L3" s="58"/>
      <c r="M3" s="59"/>
      <c r="N3" s="59"/>
    </row>
    <row r="4" spans="2:17" ht="28.5" customHeight="1">
      <c r="B4" s="484" t="s">
        <v>164</v>
      </c>
      <c r="C4" s="470" t="s">
        <v>165</v>
      </c>
      <c r="D4" s="471"/>
      <c r="E4" s="487" t="s">
        <v>166</v>
      </c>
      <c r="F4" s="488"/>
      <c r="G4" s="487" t="s">
        <v>167</v>
      </c>
      <c r="H4" s="488"/>
      <c r="I4" s="487" t="s">
        <v>168</v>
      </c>
      <c r="J4" s="488"/>
      <c r="K4" s="468" t="s">
        <v>169</v>
      </c>
      <c r="L4" s="469"/>
      <c r="M4" s="469" t="s">
        <v>170</v>
      </c>
      <c r="N4" s="469"/>
    </row>
    <row r="5" spans="2:17" ht="28.5" customHeight="1">
      <c r="B5" s="485"/>
      <c r="C5" s="470" t="s">
        <v>171</v>
      </c>
      <c r="D5" s="471"/>
      <c r="E5" s="470" t="s">
        <v>172</v>
      </c>
      <c r="F5" s="471"/>
      <c r="G5" s="472" t="s">
        <v>173</v>
      </c>
      <c r="H5" s="473"/>
      <c r="I5" s="474" t="s">
        <v>174</v>
      </c>
      <c r="J5" s="475"/>
      <c r="K5" s="60" t="s">
        <v>175</v>
      </c>
      <c r="L5" s="61" t="s">
        <v>176</v>
      </c>
      <c r="M5" s="60" t="s">
        <v>143</v>
      </c>
      <c r="N5" s="61" t="s">
        <v>177</v>
      </c>
    </row>
    <row r="6" spans="2:17" ht="28.5" customHeight="1">
      <c r="B6" s="485"/>
      <c r="C6" s="470" t="s">
        <v>144</v>
      </c>
      <c r="D6" s="471"/>
      <c r="E6" s="462">
        <f>AVERAGE(D13:M13)</f>
        <v>147.66786596715673</v>
      </c>
      <c r="F6" s="463">
        <f>AVERAGE(D31:O31,D13:J13)</f>
        <v>151.20143452117691</v>
      </c>
      <c r="G6" s="464">
        <f>AVERAGE(D13:J13)</f>
        <v>151.20143452117691</v>
      </c>
      <c r="H6" s="465"/>
      <c r="I6" s="464">
        <f>AVERAGE(K13:M13)</f>
        <v>139.42287267444294</v>
      </c>
      <c r="J6" s="465"/>
      <c r="K6" s="466">
        <f>'0101 4度C'!Y2</f>
        <v>0</v>
      </c>
      <c r="L6" s="451">
        <f>'0101 4度C'!Z2</f>
        <v>0</v>
      </c>
      <c r="M6" s="467">
        <f>'0101 4度C'!AC2</f>
        <v>34</v>
      </c>
      <c r="N6" s="451">
        <f>'0101 4度C'!AD2</f>
        <v>0</v>
      </c>
    </row>
    <row r="7" spans="2:17" ht="28.5" customHeight="1">
      <c r="B7" s="485"/>
      <c r="C7" s="452" t="s">
        <v>145</v>
      </c>
      <c r="D7" s="453"/>
      <c r="E7" s="454">
        <f>AVERAGE(D14:M14)</f>
        <v>140.96583579979958</v>
      </c>
      <c r="F7" s="455">
        <f>AVERAGE(D32:O32,D14:J14)</f>
        <v>144.20838234414239</v>
      </c>
      <c r="G7" s="456">
        <f>AVERAGE(D14:J14)</f>
        <v>144.20838234414239</v>
      </c>
      <c r="H7" s="457"/>
      <c r="I7" s="456">
        <f>AVERAGE(K14:M14)</f>
        <v>133.39989386299979</v>
      </c>
      <c r="J7" s="457"/>
      <c r="K7" s="466"/>
      <c r="L7" s="451"/>
      <c r="M7" s="467"/>
      <c r="N7" s="451"/>
    </row>
    <row r="8" spans="2:17" ht="28.5" customHeight="1">
      <c r="B8" s="486"/>
      <c r="C8" s="452" t="s">
        <v>146</v>
      </c>
      <c r="D8" s="453"/>
      <c r="E8" s="458">
        <f>AVERAGE(D15:M15)</f>
        <v>0.95233730275555162</v>
      </c>
      <c r="F8" s="459">
        <f>AVERAGE(D15:J15,D33:O33)</f>
        <v>0.95042551307103806</v>
      </c>
      <c r="G8" s="460">
        <f>AVERAGE(D15:J15)</f>
        <v>0.95042551307103806</v>
      </c>
      <c r="H8" s="461"/>
      <c r="I8" s="460">
        <f>AVERAGE(K15:M15)</f>
        <v>0.95679814535275043</v>
      </c>
      <c r="J8" s="461"/>
      <c r="K8" s="466"/>
      <c r="L8" s="451"/>
      <c r="M8" s="467"/>
      <c r="N8" s="451"/>
    </row>
    <row r="9" spans="2:17" ht="28.5" customHeight="1" thickBot="1">
      <c r="H9" s="63"/>
      <c r="K9" s="64" t="s">
        <v>178</v>
      </c>
      <c r="N9" s="59"/>
      <c r="O9" s="59"/>
      <c r="P9" s="59"/>
      <c r="Q9" s="59"/>
    </row>
    <row r="10" spans="2:17" ht="30" customHeight="1">
      <c r="B10" s="434" t="s">
        <v>179</v>
      </c>
      <c r="C10" s="435"/>
      <c r="D10" s="436" t="s">
        <v>180</v>
      </c>
      <c r="E10" s="437"/>
      <c r="F10" s="437"/>
      <c r="G10" s="437"/>
      <c r="H10" s="437"/>
      <c r="I10" s="437"/>
      <c r="J10" s="438"/>
      <c r="K10" s="439" t="s">
        <v>181</v>
      </c>
      <c r="L10" s="440"/>
      <c r="M10" s="441"/>
      <c r="P10" s="65"/>
      <c r="Q10" s="65"/>
    </row>
    <row r="11" spans="2:17" ht="17.25" customHeight="1">
      <c r="B11" s="442" t="s">
        <v>182</v>
      </c>
      <c r="C11" s="443"/>
      <c r="D11" s="66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8">
        <v>7</v>
      </c>
      <c r="K11" s="66">
        <v>1</v>
      </c>
      <c r="L11" s="67">
        <v>2</v>
      </c>
      <c r="M11" s="68">
        <v>3</v>
      </c>
      <c r="P11" s="65"/>
      <c r="Q11" s="65"/>
    </row>
    <row r="12" spans="2:17" ht="34.15" customHeight="1">
      <c r="B12" s="444"/>
      <c r="C12" s="445"/>
      <c r="D12" s="69" t="s">
        <v>147</v>
      </c>
      <c r="E12" s="70" t="s">
        <v>148</v>
      </c>
      <c r="F12" s="70" t="s">
        <v>149</v>
      </c>
      <c r="G12" s="70" t="s">
        <v>150</v>
      </c>
      <c r="H12" s="70" t="s">
        <v>151</v>
      </c>
      <c r="I12" s="70" t="s">
        <v>152</v>
      </c>
      <c r="J12" s="71" t="s">
        <v>153</v>
      </c>
      <c r="K12" s="69" t="s">
        <v>154</v>
      </c>
      <c r="L12" s="70" t="s">
        <v>155</v>
      </c>
      <c r="M12" s="71" t="s">
        <v>156</v>
      </c>
    </row>
    <row r="13" spans="2:17" ht="40.15" customHeight="1">
      <c r="B13" s="446" t="s">
        <v>183</v>
      </c>
      <c r="C13" s="72" t="s">
        <v>184</v>
      </c>
      <c r="D13" s="73">
        <f>SUMIFS('0101 4度C'!$K:$K,'0101 4度C'!$A:$A,"新豐6線",'0101 4度C'!$B:$B,"平均")</f>
        <v>117.64705882352941</v>
      </c>
      <c r="E13" s="74">
        <f>SUMIFS('0101 4度C'!$K:$K,'0101 4度C'!$A:$A,"新豐2線",'0101 4度C'!$B:$B,"平均")</f>
        <v>83.333333333333329</v>
      </c>
      <c r="F13" s="75">
        <f>SUMIFS('0101 4度C'!$K:$K,'0101 4度C'!$A:$A,"新豐5線",'0101 4度C'!$B:$B,"平均")</f>
        <v>105.0420168067227</v>
      </c>
      <c r="G13" s="75">
        <f>SUMIFS('0101 4度C'!$K:$K,'0101 4度C'!$A:$A,"新豐7線",'0101 4度C'!$B:$B,"平均")</f>
        <v>117.1875</v>
      </c>
      <c r="H13" s="75">
        <f>SUMIFS('0101 4度C'!$K:$K,'0101 4度C'!$A:$A,"新豐3線",'0101 4度C'!$B:$B,"平均")</f>
        <v>235.29411764705881</v>
      </c>
      <c r="I13" s="75">
        <f>SUMIFS('0101 4度C'!$K:$K,'0101 4度C'!$A:$A,"新豐1線",'0101 4度C'!$B:$B,"平均")</f>
        <v>105.26315789473684</v>
      </c>
      <c r="J13" s="76">
        <f>SUMIFS('0101 4度C'!$K:$K,'0101 4度C'!$A:$A,"新豐10線",'0101 4度C'!$B:$B,"平均")</f>
        <v>294.64285714285711</v>
      </c>
      <c r="K13" s="77">
        <f>SUMIFS('0101 4度C'!$K:$K,'0101 4度C'!$A:$A,"新豐8線",'0101 4度C'!$B:$B,"平均")</f>
        <v>132.11009174311926</v>
      </c>
      <c r="L13" s="78">
        <f>SUMIFS('0101 4度C'!$K:$K,'0101 4度C'!$A:$A,"新豐9線",'0101 4度C'!$B:$B,"平均")</f>
        <v>137.70491803278691</v>
      </c>
      <c r="M13" s="76">
        <f>SUMIFS('0101 4度C'!$K:$K,'0101 4度C'!$A:$A,"新豐4線",'0101 4度C'!$B:$B,"平均")</f>
        <v>148.45360824742266</v>
      </c>
    </row>
    <row r="14" spans="2:17" ht="39.6" customHeight="1">
      <c r="B14" s="447"/>
      <c r="C14" s="79" t="s">
        <v>185</v>
      </c>
      <c r="D14" s="80">
        <f>SUMIFS('0101 4度C'!$N:$N,'0101 4度C'!$A:$A,"新豐6線",'0101 4度C'!$B:$B,"平均")</f>
        <v>113.33686399683529</v>
      </c>
      <c r="E14" s="81">
        <f>SUMIFS('0101 4度C'!$N:$N,'0101 4度C'!$A:$A,"新豐2線",'0101 4度C'!$B:$B,"平均")</f>
        <v>79.692425508214967</v>
      </c>
      <c r="F14" s="81">
        <f>SUMIFS('0101 4度C'!$N:$N,'0101 4度C'!$A:$A,"新豐5線",'0101 4度C'!$B:$B,"平均")</f>
        <v>101.85481036896225</v>
      </c>
      <c r="G14" s="81">
        <f>SUMIFS('0101 4度C'!$N:$N,'0101 4度C'!$A:$A,"新豐7線",'0101 4度C'!$B:$B,"平均")</f>
        <v>112.97548378480839</v>
      </c>
      <c r="H14" s="81">
        <f>SUMIFS('0101 4度C'!$N:$N,'0101 4度C'!$A:$A,"新豐3線",'0101 4度C'!$B:$B,"平均")</f>
        <v>224.98928877997267</v>
      </c>
      <c r="I14" s="81">
        <f>SUMIFS('0101 4度C'!$N:$N,'0101 4度C'!$A:$A,"新豐1線",'0101 4度C'!$B:$B,"平均")</f>
        <v>92.563044226675999</v>
      </c>
      <c r="J14" s="82">
        <f>SUMIFS('0101 4度C'!$N:$N,'0101 4度C'!$A:$A,"新豐10線",'0101 4度C'!$B:$B,"平均")</f>
        <v>284.0467597435271</v>
      </c>
      <c r="K14" s="83">
        <f>SUMIFS('0101 4度C'!$N:$N,'0101 4度C'!$A:$A,"新豐8線",'0101 4度C'!$B:$B,"平均")</f>
        <v>126.41929881964823</v>
      </c>
      <c r="L14" s="84">
        <f>SUMIFS('0101 4度C'!$N:$N,'0101 4度C'!$A:$A,"新豐9線",'0101 4度C'!$B:$B,"平均")</f>
        <v>131.71611801680618</v>
      </c>
      <c r="M14" s="82">
        <f>SUMIFS('0101 4度C'!$N:$N,'0101 4度C'!$A:$A,"新豐4線",'0101 4度C'!$B:$B,"平均")</f>
        <v>142.06426475254494</v>
      </c>
    </row>
    <row r="15" spans="2:17" ht="40.15" customHeight="1">
      <c r="B15" s="448"/>
      <c r="C15" s="85" t="s">
        <v>186</v>
      </c>
      <c r="D15" s="86">
        <f t="shared" ref="D15:M15" si="0">D14/D13</f>
        <v>0.96336334397309997</v>
      </c>
      <c r="E15" s="87">
        <f t="shared" si="0"/>
        <v>0.95630910609857966</v>
      </c>
      <c r="F15" s="87">
        <f t="shared" si="0"/>
        <v>0.96965779471252045</v>
      </c>
      <c r="G15" s="87">
        <f t="shared" si="0"/>
        <v>0.96405746163036488</v>
      </c>
      <c r="H15" s="87">
        <f t="shared" si="0"/>
        <v>0.95620447731488389</v>
      </c>
      <c r="I15" s="87">
        <f t="shared" si="0"/>
        <v>0.87934892015342203</v>
      </c>
      <c r="J15" s="88">
        <f t="shared" si="0"/>
        <v>0.96403748761439512</v>
      </c>
      <c r="K15" s="86">
        <f t="shared" si="0"/>
        <v>0.95692385912094846</v>
      </c>
      <c r="L15" s="87">
        <f t="shared" si="0"/>
        <v>0.95650990464585428</v>
      </c>
      <c r="M15" s="88">
        <f t="shared" si="0"/>
        <v>0.95696067229144866</v>
      </c>
    </row>
    <row r="16" spans="2:17" ht="17.25" customHeight="1">
      <c r="B16" s="449" t="s">
        <v>187</v>
      </c>
      <c r="C16" s="89" t="s">
        <v>188</v>
      </c>
      <c r="D16" s="90">
        <f>VLOOKUP("新豐6線",'0101 4度C'!$A:$T,19,0)</f>
        <v>0.70833333333333337</v>
      </c>
      <c r="E16" s="91">
        <f>VLOOKUP("新豐2線",'0101 4度C'!$A:$T,19,0)</f>
        <v>0.16666666666666666</v>
      </c>
      <c r="F16" s="91">
        <f>VLOOKUP("新豐5線",'0101 4度C'!$A:$T,19,0)</f>
        <v>0.20833333333333334</v>
      </c>
      <c r="G16" s="91">
        <f>VLOOKUP("新豐7線",'0101 4度C'!$A:$T,19,0)</f>
        <v>0.20833333333333334</v>
      </c>
      <c r="H16" s="91">
        <f>VLOOKUP("新豐3線",'0101 4度C'!$A:$T,19,0)</f>
        <v>8.3333333333333329E-2</v>
      </c>
      <c r="I16" s="91">
        <f>VLOOKUP("新豐1線",'0101 4度C'!$A:$T,19,0)</f>
        <v>0.20833333333333334</v>
      </c>
      <c r="J16" s="92">
        <f>VLOOKUP("新豐10線",'0101 4度C'!$A:$T,19,0)</f>
        <v>0.20833333333333334</v>
      </c>
      <c r="K16" s="93">
        <f>VLOOKUP("新豐8線",'0101 4度C'!$A:$T,19,0)</f>
        <v>8.3333333333333329E-2</v>
      </c>
      <c r="L16" s="94">
        <f>VLOOKUP("新豐9線",'0101 4度C'!$A:$T,19,0)</f>
        <v>8.3333333333333329E-2</v>
      </c>
      <c r="M16" s="95">
        <f>VLOOKUP("新豐4線",'0101 4度C'!$A:$T,19,0)</f>
        <v>8.3333333333333329E-2</v>
      </c>
    </row>
    <row r="17" spans="2:13" ht="17.25" customHeight="1">
      <c r="B17" s="450"/>
      <c r="C17" s="89" t="s">
        <v>189</v>
      </c>
      <c r="D17" s="93">
        <f>LOOKUP(2,1/(('0101 4度C'!$A:$A="新豐6線")*('0101 4度C'!$T:$T&lt;&gt;"")),'0101 4度C'!$T:$T)</f>
        <v>0.84791666666666665</v>
      </c>
      <c r="E17" s="91">
        <f>LOOKUP(2,1/(('0101 4度C'!$A:$A="新豐2線")*('0101 4度C'!$T:$T&lt;&gt;"")),'0101 4度C'!$T:$T)</f>
        <v>0.40347222222222223</v>
      </c>
      <c r="F17" s="91">
        <f>LOOKUP(2,1/(('0101 4度C'!$A:$A="新豐5線")*('0101 4度C'!$T:$T&lt;&gt;"")),'0101 4度C'!$T:$T)</f>
        <v>0.84652777777777766</v>
      </c>
      <c r="G17" s="91">
        <f>LOOKUP(2,1/(('0101 4度C'!$A:$A="新豐7線")*('0101 4度C'!$T:$T&lt;&gt;"")),'0101 4度C'!$T:$T)</f>
        <v>0.83819444444444446</v>
      </c>
      <c r="H17" s="91">
        <f>LOOKUP(2,1/(('0101 4度C'!$A:$A="新豐3線")*('0101 4度C'!$T:$T&lt;&gt;"")),'0101 4度C'!$T:$T)</f>
        <v>0.47638888888888881</v>
      </c>
      <c r="I17" s="91">
        <f>LOOKUP(2,1/(('0101 4度C'!$A:$A="新豐1線")*('0101 4度C'!$T:$T&lt;&gt;"")),'0101 4度C'!$T:$T)</f>
        <v>0.85138888888888886</v>
      </c>
      <c r="J17" s="92">
        <f>LOOKUP(2,1/(('0101 4度C'!$A:$A="新豐10線")*('0101 4度C'!$T:$T&lt;&gt;"")),'0101 4度C'!$T:$T)</f>
        <v>0.45555555555555549</v>
      </c>
      <c r="K17" s="90">
        <f>LOOKUP(2,1/(('0101 4度C'!$A:$A="新豐8線")*('0101 4度C'!$T:$T&lt;&gt;"")),'0101 4度C'!$T:$T)</f>
        <v>0.59097222222222223</v>
      </c>
      <c r="L17" s="91">
        <f>LOOKUP(2,1/(('0101 4度C'!$A:$A="新豐9線")*('0101 4度C'!$T:$T&lt;&gt;"")),'0101 4度C'!$T:$T)</f>
        <v>0.49791666666666662</v>
      </c>
      <c r="M17" s="92">
        <f>LOOKUP(2,1/(('0101 4度C'!$A:$A="新豐4線")*('0101 4度C'!$T:$T&lt;&gt;"")),'0101 4度C'!$T:$T)</f>
        <v>0.59097222222222212</v>
      </c>
    </row>
    <row r="18" spans="2:13" ht="17.25" customHeight="1">
      <c r="B18" s="428" t="s">
        <v>190</v>
      </c>
      <c r="C18" s="96" t="s">
        <v>191</v>
      </c>
      <c r="D18" s="97">
        <f>SUMIFS('0101 4度C'!$Y:$Y,'0101 4度C'!$A:$A,"新豐6線",'0101 4度C'!$B:$B,"平均")</f>
        <v>0</v>
      </c>
      <c r="E18" s="98">
        <f>SUMIFS('0101 4度C'!$Y:$Y,'0101 4度C'!$A:$A,"新豐2線",'0101 4度C'!$B:$B,"平均")</f>
        <v>0</v>
      </c>
      <c r="F18" s="98">
        <f>SUMIFS('0101 4度C'!$Y:$Y,'0101 4度C'!$A:$A,"新豐5線",'0101 4度C'!$B:$B,"平均")</f>
        <v>0</v>
      </c>
      <c r="G18" s="98">
        <f>SUMIFS('0101 4度C'!$Y:$Y,'0101 4度C'!$A:$A,"新豐7線",'0101 4度C'!$B:$B,"平均")</f>
        <v>0</v>
      </c>
      <c r="H18" s="98">
        <f>SUMIFS('0101 4度C'!$Y:$Y,'0101 4度C'!$A:$A,"新豐3線",'0101 4度C'!$B:$B,"平均")</f>
        <v>0</v>
      </c>
      <c r="I18" s="98">
        <f>SUMIFS('0101 4度C'!$Y:$Y,'0101 4度C'!$A:$A,"新豐1線",'0101 4度C'!$B:$B,"平均")</f>
        <v>0</v>
      </c>
      <c r="J18" s="99">
        <f>SUMIFS('0101 4度C'!$Y:$Y,'0101 4度C'!$A:$A,"新豐10線",'0101 4度C'!$B:$B,"平均")</f>
        <v>0</v>
      </c>
      <c r="K18" s="100">
        <f>SUMIFS('0101 4度C'!$Y:$Y,'0101 4度C'!$A:$A,"新豐8線",'0101 4度C'!$B:$B,"平均")</f>
        <v>0</v>
      </c>
      <c r="L18" s="98">
        <f>SUMIFS('0101 4度C'!$Y:$Y,'0101 4度C'!$A:$A,"新豐9線",'0101 4度C'!$B:$B,"平均")</f>
        <v>0</v>
      </c>
      <c r="M18" s="99">
        <f>SUMIFS('0101 4度C'!$Y:$Y,'0101 4度C'!$A:$A,"新豐4線",'0101 4度C'!$B:$B,"平均")</f>
        <v>0</v>
      </c>
    </row>
    <row r="19" spans="2:13" ht="17.25" customHeight="1">
      <c r="B19" s="429"/>
      <c r="C19" s="96" t="s">
        <v>192</v>
      </c>
      <c r="D19" s="97">
        <f>SUMIFS('0101 4度C'!$Z:$Z,'0101 4度C'!$A:$A,"新豐6線",'0101 4度C'!$B:$B,"平均")</f>
        <v>0</v>
      </c>
      <c r="E19" s="98">
        <f>SUMIFS('0101 4度C'!$Z:$Z,'0101 4度C'!$A:$A,"新豐2線",'0101 4度C'!$B:$B,"平均")</f>
        <v>0</v>
      </c>
      <c r="F19" s="98">
        <f>SUMIFS('0101 4度C'!$Z:$Z,'0101 4度C'!$A:$A,"新豐5線",'0101 4度C'!$B:$B,"平均")</f>
        <v>0</v>
      </c>
      <c r="G19" s="98">
        <f>SUMIFS('0101 4度C'!$Z:$Z,'0101 4度C'!$A:$A,"新豐7線",'0101 4度C'!$B:$B,"平均")</f>
        <v>0</v>
      </c>
      <c r="H19" s="98">
        <f>SUMIFS('0101 4度C'!$Z:$Z,'0101 4度C'!$A:$A,"新豐3線",'0101 4度C'!$B:$B,"平均")</f>
        <v>0</v>
      </c>
      <c r="I19" s="98">
        <f>SUMIFS('0101 4度C'!$Z:$Z,'0101 4度C'!$A:$A,"新豐1線",'0101 4度C'!$B:$B,"平均")</f>
        <v>0</v>
      </c>
      <c r="J19" s="99">
        <f>SUMIFS('0101 4度C'!$Z:$Z,'0101 4度C'!$A:$A,"新豐10線",'0101 4度C'!$B:$B,"平均")</f>
        <v>0</v>
      </c>
      <c r="K19" s="100">
        <f>SUMIFS('0101 4度C'!$Z:$Z,'0101 4度C'!$A:$A,"新豐8線",'0101 4度C'!$B:$B,"平均")</f>
        <v>0</v>
      </c>
      <c r="L19" s="98">
        <f>SUMIFS('0101 4度C'!$Z:$Z,'0101 4度C'!$A:$A,"新豐9線",'0101 4度C'!$B:$B,"平均")</f>
        <v>0</v>
      </c>
      <c r="M19" s="99">
        <f>SUMIFS('0101 4度C'!$Z:$Z,'0101 4度C'!$A:$A,"新豐4線",'0101 4度C'!$B:$B,"平均")</f>
        <v>0</v>
      </c>
    </row>
    <row r="20" spans="2:13" ht="17.25" customHeight="1">
      <c r="B20" s="428" t="s">
        <v>193</v>
      </c>
      <c r="C20" s="96" t="s">
        <v>191</v>
      </c>
      <c r="D20" s="97">
        <f>SUMIFS('0101 4度C'!$AC:$AC,'0101 4度C'!$A:$A,"新豐6線",'0101 4度C'!$B:$B,"平均")</f>
        <v>1</v>
      </c>
      <c r="E20" s="98">
        <f>SUMIFS('0101 4度C'!$AC:$AC,'0101 4度C'!$A:$A,"新豐2線",'0101 4度C'!$B:$B,"平均")</f>
        <v>2</v>
      </c>
      <c r="F20" s="98">
        <f>SUMIFS('0101 4度C'!$AC:$AC,'0101 4度C'!$A:$A,"新豐5線",'0101 4度C'!$B:$B,"平均")</f>
        <v>3</v>
      </c>
      <c r="G20" s="98">
        <f>SUMIFS('0101 4度C'!$AC:$AC,'0101 4度C'!$A:$A,"新豐7線",'0101 4度C'!$B:$B,"平均")</f>
        <v>3</v>
      </c>
      <c r="H20" s="98">
        <f>SUMIFS('0101 4度C'!$AC:$AC,'0101 4度C'!$A:$A,"新豐3線",'0101 4度C'!$B:$B,"平均")</f>
        <v>1</v>
      </c>
      <c r="I20" s="98">
        <f>SUMIFS('0101 4度C'!$AC:$AC,'0101 4度C'!$A:$A,"新豐1線",'0101 4度C'!$B:$B,"平均")</f>
        <v>4</v>
      </c>
      <c r="J20" s="99">
        <f>SUMIFS('0101 4度C'!$AC:$AC,'0101 4度C'!$A:$A,"新豐10線",'0101 4度C'!$B:$B,"平均")</f>
        <v>0</v>
      </c>
      <c r="K20" s="100">
        <f>SUMIFS('0101 4度C'!$AC:$AC,'0101 4度C'!$A:$A,"新豐8線",'0101 4度C'!$B:$B,"平均")</f>
        <v>7</v>
      </c>
      <c r="L20" s="98">
        <f>SUMIFS('0101 4度C'!$AC:$AC,'0101 4度C'!$A:$A,"新豐9線",'0101 4度C'!$B:$B,"平均")</f>
        <v>6</v>
      </c>
      <c r="M20" s="99">
        <f>SUMIFS('0101 4度C'!$AC:$AC,'0101 4度C'!$A:$A,"新豐4線",'0101 4度C'!$B:$B,"平均")</f>
        <v>7</v>
      </c>
    </row>
    <row r="21" spans="2:13" ht="17.25" customHeight="1">
      <c r="B21" s="429"/>
      <c r="C21" s="96" t="s">
        <v>194</v>
      </c>
      <c r="D21" s="97">
        <f>SUMIFS('0101 4度C'!$AD:$AD,'0101 4度C'!$A:$A,"新豐6線",'0101 4度C'!$B:$B,"平均")</f>
        <v>0</v>
      </c>
      <c r="E21" s="98">
        <f>SUMIFS('0101 4度C'!$AD:$AD,'0101 4度C'!$A:$A,"新豐2線",'0101 4度C'!$B:$B,"平均")</f>
        <v>0</v>
      </c>
      <c r="F21" s="98">
        <f>SUMIFS('0101 4度C'!$AD:$AD,'0101 4度C'!$A:$A,"新豐5線",'0101 4度C'!$B:$B,"平均")</f>
        <v>0</v>
      </c>
      <c r="G21" s="98">
        <f>SUMIFS('0101 4度C'!$AD:$AD,'0101 4度C'!$A:$A,"新豐7線",'0101 4度C'!$B:$B,"平均")</f>
        <v>0</v>
      </c>
      <c r="H21" s="98">
        <f>SUMIFS('0101 4度C'!$AD:$AD,'0101 4度C'!$A:$A,"新豐3線",'0101 4度C'!$B:$B,"平均")</f>
        <v>0</v>
      </c>
      <c r="I21" s="98">
        <f>SUMIFS('0101 4度C'!$AD:$AD,'0101 4度C'!$A:$A,"新豐1線",'0101 4度C'!$B:$B,"平均")</f>
        <v>0</v>
      </c>
      <c r="J21" s="99">
        <f>SUMIFS('0101 4度C'!$AD:$AD,'0101 4度C'!$A:$A,"新豐10線",'0101 4度C'!$B:$B,"平均")</f>
        <v>0</v>
      </c>
      <c r="K21" s="100">
        <f>SUMIFS('0101 4度C'!$AD:$AD,'0101 4度C'!$A:$A,"新豐8線",'0101 4度C'!$B:$B,"平均")</f>
        <v>0</v>
      </c>
      <c r="L21" s="98">
        <f>SUMIFS('0101 4度C'!$AD:$AD,'0101 4度C'!$A:$A,"新豐9線",'0101 4度C'!$B:$B,"平均")</f>
        <v>0</v>
      </c>
      <c r="M21" s="99">
        <f>SUMIFS('0101 4度C'!$AD:$AD,'0101 4度C'!$A:$A,"新豐4線",'0101 4度C'!$B:$B,"平均")</f>
        <v>0</v>
      </c>
    </row>
    <row r="22" spans="2:13" ht="17.25" customHeight="1">
      <c r="B22" s="430" t="s">
        <v>195</v>
      </c>
      <c r="C22" s="431"/>
      <c r="D22" s="101">
        <f>SUMIFS('0101 4度C'!$I:$I,'0101 4度C'!$A:$A,"新豐6線",'0101 4度C'!$B:$B,"平均")</f>
        <v>17</v>
      </c>
      <c r="E22" s="102">
        <f>SUMIFS('0101 4度C'!$I:$I,'0101 4度C'!$A:$A,"新豐2線",'0101 4度C'!$B:$B,"平均")</f>
        <v>18</v>
      </c>
      <c r="F22" s="102">
        <f>SUMIFS('0101 4度C'!$I:$I,'0101 4度C'!$A:$A,"新豐5線",'0101 4度C'!$B:$B,"平均")</f>
        <v>17</v>
      </c>
      <c r="G22" s="102">
        <f>SUMIFS('0101 4度C'!$I:$I,'0101 4度C'!$A:$A,"新豐7線",'0101 4度C'!$B:$B,"平均")</f>
        <v>16</v>
      </c>
      <c r="H22" s="102">
        <f>SUMIFS('0101 4度C'!$I:$I,'0101 4度C'!$A:$A,"新豐3線",'0101 4度C'!$B:$B,"平均")</f>
        <v>11.333333333333334</v>
      </c>
      <c r="I22" s="102">
        <f>SUMIFS('0101 4度C'!$I:$I,'0101 4度C'!$A:$A,"新豐1線",'0101 4度C'!$B:$B,"平均")</f>
        <v>19</v>
      </c>
      <c r="J22" s="103">
        <f>SUMIFS('0101 4度C'!$I:$I,'0101 4度C'!$A:$A,"新豐10線",'0101 4度C'!$B:$B,"平均")</f>
        <v>9.3333333333333339</v>
      </c>
      <c r="K22" s="101">
        <f>SUMIFS('0101 4度C'!$I:$I,'0101 4度C'!$A:$A,"新豐8線",'0101 4度C'!$B:$B,"平均")</f>
        <v>18.166666666666668</v>
      </c>
      <c r="L22" s="102">
        <f>SUMIFS('0101 4度C'!$I:$I,'0101 4度C'!$A:$A,"新豐9線",'0101 4度C'!$B:$B,"平均")</f>
        <v>17.428571428571427</v>
      </c>
      <c r="M22" s="103">
        <f>SUMIFS('0101 4度C'!$I:$I,'0101 4度C'!$A:$A,"新豐4線",'0101 4度C'!$B:$B,"平均")</f>
        <v>16.166666666666668</v>
      </c>
    </row>
    <row r="23" spans="2:13" ht="17.25" customHeight="1">
      <c r="B23" s="430" t="s">
        <v>196</v>
      </c>
      <c r="C23" s="431"/>
      <c r="D23" s="104" t="s">
        <v>157</v>
      </c>
      <c r="E23" s="105" t="s">
        <v>158</v>
      </c>
      <c r="F23" s="105" t="s">
        <v>197</v>
      </c>
      <c r="G23" s="105" t="s">
        <v>198</v>
      </c>
      <c r="H23" s="105" t="s">
        <v>159</v>
      </c>
      <c r="I23" s="105" t="s">
        <v>157</v>
      </c>
      <c r="J23" s="106" t="s">
        <v>159</v>
      </c>
      <c r="K23" s="104" t="s">
        <v>199</v>
      </c>
      <c r="L23" s="105" t="s">
        <v>199</v>
      </c>
      <c r="M23" s="106" t="s">
        <v>199</v>
      </c>
    </row>
    <row r="24" spans="2:13" ht="17.25" customHeight="1">
      <c r="B24" s="430" t="s">
        <v>200</v>
      </c>
      <c r="C24" s="431"/>
      <c r="D24" s="104"/>
      <c r="E24" s="105"/>
      <c r="F24" s="105" t="s">
        <v>201</v>
      </c>
      <c r="G24" s="105" t="s">
        <v>157</v>
      </c>
      <c r="H24" s="105"/>
      <c r="I24" s="105"/>
      <c r="J24" s="106"/>
      <c r="K24" s="104"/>
      <c r="L24" s="105"/>
      <c r="M24" s="106"/>
    </row>
    <row r="25" spans="2:13" ht="17.25" customHeight="1" thickBot="1">
      <c r="B25" s="432" t="s">
        <v>202</v>
      </c>
      <c r="C25" s="433"/>
      <c r="D25" s="107"/>
      <c r="E25" s="108" t="s">
        <v>203</v>
      </c>
      <c r="F25" s="426" t="s">
        <v>204</v>
      </c>
      <c r="G25" s="427"/>
      <c r="H25" s="108" t="s">
        <v>205</v>
      </c>
      <c r="I25" s="108" t="s">
        <v>206</v>
      </c>
      <c r="J25" s="109" t="s">
        <v>205</v>
      </c>
      <c r="K25" s="110"/>
      <c r="L25" s="108"/>
      <c r="M25" s="109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topLeftCell="Q1" zoomScale="75" zoomScaleNormal="75" workbookViewId="0">
      <pane ySplit="4" topLeftCell="A5" activePane="bottomLeft" state="frozen"/>
      <selection activeCell="J13" sqref="J13"/>
      <selection pane="bottomLeft" activeCell="AC5" sqref="AC5:AC7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38" customWidth="1"/>
    <col min="20" max="20" width="7.625" style="38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SUM(F5:F73)</f>
        <v>152630</v>
      </c>
      <c r="E1" s="4" t="s">
        <v>2</v>
      </c>
      <c r="F1" s="1">
        <f>SUM(G5:G73)</f>
        <v>5202501.8</v>
      </c>
      <c r="G1" s="1" t="s">
        <v>3</v>
      </c>
      <c r="H1" s="5">
        <f>L9+L12+L51+L59+L20+L66+L36+L44+L29+L73</f>
        <v>159.42857142857142</v>
      </c>
      <c r="I1" s="542" t="s">
        <v>4</v>
      </c>
      <c r="J1" s="542"/>
      <c r="K1" s="542"/>
      <c r="L1" s="542" t="s">
        <v>5</v>
      </c>
      <c r="M1" s="542"/>
      <c r="N1" s="542"/>
      <c r="O1" s="542" t="s">
        <v>6</v>
      </c>
      <c r="P1" s="542"/>
      <c r="Q1" s="542"/>
      <c r="R1" s="542"/>
      <c r="S1" s="542" t="s">
        <v>7</v>
      </c>
      <c r="T1" s="542"/>
      <c r="U1" s="542"/>
      <c r="V1" s="542"/>
      <c r="W1" s="542"/>
      <c r="X1" s="542"/>
      <c r="Y1" s="6" t="s">
        <v>8</v>
      </c>
      <c r="Z1" s="7" t="s">
        <v>9</v>
      </c>
      <c r="AA1" s="543" t="s">
        <v>10</v>
      </c>
      <c r="AB1" s="543"/>
      <c r="AC1" s="8" t="s">
        <v>8</v>
      </c>
      <c r="AD1" s="7" t="s">
        <v>11</v>
      </c>
      <c r="AE1" s="542" t="s">
        <v>12</v>
      </c>
      <c r="AF1" s="544"/>
      <c r="AG1" s="544"/>
    </row>
    <row r="2" spans="1:33" ht="26.25" customHeight="1">
      <c r="A2" s="49">
        <v>46023</v>
      </c>
      <c r="B2" s="50" t="s">
        <v>78</v>
      </c>
      <c r="C2" s="2" t="s">
        <v>13</v>
      </c>
      <c r="D2" s="10">
        <f>AVERAGE(N9,N12,N51,N59,N20,N66,N29,N36,N44,N73)</f>
        <v>140.96583579979958</v>
      </c>
      <c r="E2" s="11" t="s">
        <v>14</v>
      </c>
      <c r="F2" s="12">
        <f>F1/D1</f>
        <v>34.085709231474809</v>
      </c>
      <c r="G2" s="1" t="s">
        <v>15</v>
      </c>
      <c r="H2" s="13">
        <f>COUNT(H5:H73)</f>
        <v>3</v>
      </c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14">
        <f>SUM(Y9+Y12+Y20+Y29+Y36+Y44+Y51+Y59+Y66+Y73)</f>
        <v>0</v>
      </c>
      <c r="Z2" s="14">
        <f>SUM(Z9+Z12+Z20+Z29+Z36+Z44+Z51+Z59+Z66+Z73)</f>
        <v>0</v>
      </c>
      <c r="AA2" s="543"/>
      <c r="AB2" s="543"/>
      <c r="AC2" s="14">
        <f>SUM(AC9+AC12+AC20+AC29+AC36+AC44+AC51+AC59+AC66+AC73)</f>
        <v>34</v>
      </c>
      <c r="AD2" s="14">
        <f>SUM(AD9+AD12+AD20+AD29+AD36+AD44+AD51+AD59+AD66+AD73)</f>
        <v>0</v>
      </c>
      <c r="AE2" s="544"/>
      <c r="AF2" s="544"/>
      <c r="AG2" s="544"/>
    </row>
    <row r="3" spans="1:33" ht="40.5" customHeight="1">
      <c r="A3" s="491" t="s">
        <v>16</v>
      </c>
      <c r="B3" s="491" t="s">
        <v>17</v>
      </c>
      <c r="C3" s="491" t="s">
        <v>18</v>
      </c>
      <c r="D3" s="491"/>
      <c r="E3" s="540" t="s">
        <v>19</v>
      </c>
      <c r="F3" s="491" t="s">
        <v>20</v>
      </c>
      <c r="G3" s="540" t="s">
        <v>21</v>
      </c>
      <c r="H3" s="533" t="s">
        <v>22</v>
      </c>
      <c r="I3" s="531" t="s">
        <v>23</v>
      </c>
      <c r="J3" s="528" t="s">
        <v>24</v>
      </c>
      <c r="K3" s="538" t="s">
        <v>13</v>
      </c>
      <c r="L3" s="531" t="s">
        <v>23</v>
      </c>
      <c r="M3" s="528" t="s">
        <v>24</v>
      </c>
      <c r="N3" s="538" t="s">
        <v>13</v>
      </c>
      <c r="O3" s="531" t="s">
        <v>23</v>
      </c>
      <c r="P3" s="538" t="s">
        <v>13</v>
      </c>
      <c r="Q3" s="529" t="s">
        <v>25</v>
      </c>
      <c r="R3" s="507" t="s">
        <v>26</v>
      </c>
      <c r="S3" s="539" t="s">
        <v>27</v>
      </c>
      <c r="T3" s="539"/>
      <c r="U3" s="533" t="s">
        <v>28</v>
      </c>
      <c r="V3" s="533" t="s">
        <v>29</v>
      </c>
      <c r="W3" s="491" t="s">
        <v>30</v>
      </c>
      <c r="X3" s="491"/>
      <c r="Y3" s="534" t="s">
        <v>31</v>
      </c>
      <c r="Z3" s="495"/>
      <c r="AA3" s="535" t="s">
        <v>32</v>
      </c>
      <c r="AB3" s="536"/>
      <c r="AC3" s="534" t="s">
        <v>33</v>
      </c>
      <c r="AD3" s="495"/>
      <c r="AE3" s="528" t="s">
        <v>34</v>
      </c>
      <c r="AF3" s="529" t="s">
        <v>35</v>
      </c>
      <c r="AG3" s="507" t="s">
        <v>36</v>
      </c>
    </row>
    <row r="4" spans="1:33" ht="15.75" customHeight="1">
      <c r="A4" s="491"/>
      <c r="B4" s="491"/>
      <c r="C4" s="491"/>
      <c r="D4" s="491"/>
      <c r="E4" s="541"/>
      <c r="F4" s="491"/>
      <c r="G4" s="541"/>
      <c r="H4" s="533"/>
      <c r="I4" s="531"/>
      <c r="J4" s="528"/>
      <c r="K4" s="538"/>
      <c r="L4" s="531"/>
      <c r="M4" s="528"/>
      <c r="N4" s="538"/>
      <c r="O4" s="531"/>
      <c r="P4" s="538"/>
      <c r="Q4" s="529"/>
      <c r="R4" s="507"/>
      <c r="S4" s="39" t="s">
        <v>37</v>
      </c>
      <c r="T4" s="39" t="s">
        <v>38</v>
      </c>
      <c r="U4" s="533"/>
      <c r="V4" s="533"/>
      <c r="W4" s="4" t="s">
        <v>39</v>
      </c>
      <c r="X4" s="4" t="s">
        <v>40</v>
      </c>
      <c r="Y4" s="15" t="s">
        <v>41</v>
      </c>
      <c r="Z4" s="15" t="s">
        <v>42</v>
      </c>
      <c r="AA4" s="537"/>
      <c r="AB4" s="536"/>
      <c r="AC4" s="15" t="s">
        <v>43</v>
      </c>
      <c r="AD4" s="15" t="s">
        <v>44</v>
      </c>
      <c r="AE4" s="528"/>
      <c r="AF4" s="529"/>
      <c r="AG4" s="507"/>
    </row>
    <row r="5" spans="1:33">
      <c r="A5" s="530" t="s">
        <v>45</v>
      </c>
      <c r="B5" s="42" t="s">
        <v>103</v>
      </c>
      <c r="C5" s="532" t="s">
        <v>120</v>
      </c>
      <c r="D5" s="532"/>
      <c r="E5" s="42">
        <v>50.67</v>
      </c>
      <c r="F5" s="39">
        <v>1253</v>
      </c>
      <c r="G5" s="4">
        <f t="shared" ref="G5:G8" si="0">E5*F5</f>
        <v>63489.51</v>
      </c>
      <c r="H5" s="35" t="s">
        <v>79</v>
      </c>
      <c r="I5" s="16">
        <v>17</v>
      </c>
      <c r="J5" s="37">
        <v>2000</v>
      </c>
      <c r="K5" s="17">
        <f t="shared" ref="K5:K28" si="1">J5/I5</f>
        <v>117.64705882352941</v>
      </c>
      <c r="L5" s="16">
        <v>17</v>
      </c>
      <c r="M5" s="18">
        <f t="shared" ref="M5:M8" si="2">F5/V5*60</f>
        <v>1927.6923076923067</v>
      </c>
      <c r="N5" s="17">
        <f t="shared" ref="N5:N28" si="3">M5/L5</f>
        <v>113.39366515837098</v>
      </c>
      <c r="O5" s="19">
        <f t="shared" ref="O5:O28" si="4">L5-I5</f>
        <v>0</v>
      </c>
      <c r="P5" s="20">
        <f t="shared" ref="P5:P28" si="5">N5-K5</f>
        <v>-4.253393665158427</v>
      </c>
      <c r="Q5" s="21">
        <f t="shared" ref="Q5:Q28" si="6">N5/K5</f>
        <v>0.96384615384615335</v>
      </c>
      <c r="R5" s="489">
        <f>Q9</f>
        <v>0.96336334397309997</v>
      </c>
      <c r="S5" s="40">
        <v>0.70833333333333337</v>
      </c>
      <c r="T5" s="40">
        <v>0.73541666666666672</v>
      </c>
      <c r="U5" s="4"/>
      <c r="V5" s="22">
        <f t="shared" ref="V5:V8" si="7">(T5-S5)*24*60</f>
        <v>39.000000000000021</v>
      </c>
      <c r="W5" s="23"/>
      <c r="X5" s="24"/>
      <c r="Y5" s="24"/>
      <c r="Z5" s="24"/>
      <c r="AA5" s="491"/>
      <c r="AB5" s="491"/>
      <c r="AC5" s="25">
        <v>1</v>
      </c>
      <c r="AD5" s="25"/>
      <c r="AE5" s="19">
        <f t="shared" ref="AE5:AE28" si="8">M5-J5</f>
        <v>-72.307692307693287</v>
      </c>
      <c r="AF5" s="21">
        <f t="shared" ref="AF5:AF28" si="9">M5/J5</f>
        <v>0.96384615384615335</v>
      </c>
      <c r="AG5" s="489">
        <f>AF9</f>
        <v>0.96336334397309997</v>
      </c>
    </row>
    <row r="6" spans="1:33">
      <c r="A6" s="531" t="s">
        <v>46</v>
      </c>
      <c r="B6" s="42" t="s">
        <v>103</v>
      </c>
      <c r="C6" s="532" t="s">
        <v>121</v>
      </c>
      <c r="D6" s="532"/>
      <c r="E6" s="42">
        <v>54.09</v>
      </c>
      <c r="F6" s="39">
        <v>1323</v>
      </c>
      <c r="G6" s="4">
        <f t="shared" si="0"/>
        <v>71561.070000000007</v>
      </c>
      <c r="H6" s="35" t="s">
        <v>79</v>
      </c>
      <c r="I6" s="16">
        <v>19</v>
      </c>
      <c r="J6" s="37">
        <v>2000</v>
      </c>
      <c r="K6" s="17">
        <f t="shared" si="1"/>
        <v>105.26315789473684</v>
      </c>
      <c r="L6" s="16">
        <v>19</v>
      </c>
      <c r="M6" s="18">
        <f t="shared" si="2"/>
        <v>1936.0975609756092</v>
      </c>
      <c r="N6" s="17">
        <f t="shared" si="3"/>
        <v>101.89987163029522</v>
      </c>
      <c r="O6" s="19">
        <f t="shared" si="4"/>
        <v>0</v>
      </c>
      <c r="P6" s="20">
        <f t="shared" si="5"/>
        <v>-3.3632862644416122</v>
      </c>
      <c r="Q6" s="21">
        <f t="shared" si="6"/>
        <v>0.96804878048780463</v>
      </c>
      <c r="R6" s="489"/>
      <c r="S6" s="40">
        <v>0.74097222222222225</v>
      </c>
      <c r="T6" s="40">
        <v>0.76944444444444449</v>
      </c>
      <c r="U6" s="4">
        <f t="shared" ref="U6:U8" si="10">IF(S6=TIME(17,0,0),"",(S6-T5)*24*60)</f>
        <v>7.9999999999999716</v>
      </c>
      <c r="V6" s="22">
        <f t="shared" si="7"/>
        <v>41.000000000000014</v>
      </c>
      <c r="W6" s="23"/>
      <c r="X6" s="23"/>
      <c r="Y6" s="23"/>
      <c r="Z6" s="23"/>
      <c r="AA6" s="491"/>
      <c r="AB6" s="491"/>
      <c r="AC6" s="25"/>
      <c r="AD6" s="25"/>
      <c r="AE6" s="19">
        <f t="shared" si="8"/>
        <v>-63.902439024390787</v>
      </c>
      <c r="AF6" s="21">
        <f t="shared" si="9"/>
        <v>0.96804878048780463</v>
      </c>
      <c r="AG6" s="489"/>
    </row>
    <row r="7" spans="1:33">
      <c r="A7" s="531" t="s">
        <v>47</v>
      </c>
      <c r="B7" s="42" t="s">
        <v>103</v>
      </c>
      <c r="C7" s="523" t="s">
        <v>122</v>
      </c>
      <c r="D7" s="524"/>
      <c r="E7" s="42">
        <v>50.29</v>
      </c>
      <c r="F7" s="39">
        <v>1350</v>
      </c>
      <c r="G7" s="4">
        <f t="shared" si="0"/>
        <v>67891.5</v>
      </c>
      <c r="H7" s="35" t="s">
        <v>79</v>
      </c>
      <c r="I7" s="16">
        <v>16</v>
      </c>
      <c r="J7" s="37">
        <v>2000</v>
      </c>
      <c r="K7" s="17">
        <f t="shared" si="1"/>
        <v>125</v>
      </c>
      <c r="L7" s="16">
        <v>16</v>
      </c>
      <c r="M7" s="18">
        <f t="shared" si="2"/>
        <v>1928.571428571428</v>
      </c>
      <c r="N7" s="17">
        <f t="shared" si="3"/>
        <v>120.53571428571425</v>
      </c>
      <c r="O7" s="19">
        <f t="shared" si="4"/>
        <v>0</v>
      </c>
      <c r="P7" s="20">
        <f t="shared" si="5"/>
        <v>-4.4642857142857508</v>
      </c>
      <c r="Q7" s="21">
        <f t="shared" si="6"/>
        <v>0.96428571428571397</v>
      </c>
      <c r="R7" s="489"/>
      <c r="S7" s="40">
        <v>0.77500000000000002</v>
      </c>
      <c r="T7" s="40">
        <v>0.8041666666666667</v>
      </c>
      <c r="U7" s="4">
        <f t="shared" si="10"/>
        <v>7.9999999999999716</v>
      </c>
      <c r="V7" s="22">
        <f t="shared" si="7"/>
        <v>42.000000000000014</v>
      </c>
      <c r="W7" s="23"/>
      <c r="X7" s="23"/>
      <c r="Y7" s="26"/>
      <c r="Z7" s="26"/>
      <c r="AA7" s="503"/>
      <c r="AB7" s="504"/>
      <c r="AC7" s="27"/>
      <c r="AD7" s="27"/>
      <c r="AE7" s="19">
        <f t="shared" si="8"/>
        <v>-71.428571428572013</v>
      </c>
      <c r="AF7" s="21">
        <f t="shared" si="9"/>
        <v>0.96428571428571397</v>
      </c>
      <c r="AG7" s="489"/>
    </row>
    <row r="8" spans="1:33">
      <c r="A8" s="531" t="s">
        <v>47</v>
      </c>
      <c r="B8" s="42" t="s">
        <v>103</v>
      </c>
      <c r="C8" s="523" t="s">
        <v>123</v>
      </c>
      <c r="D8" s="524"/>
      <c r="E8" s="42">
        <v>50.98</v>
      </c>
      <c r="F8" s="39">
        <v>1755</v>
      </c>
      <c r="G8" s="4">
        <f t="shared" si="0"/>
        <v>89469.9</v>
      </c>
      <c r="H8" s="35" t="s">
        <v>79</v>
      </c>
      <c r="I8" s="16">
        <v>16</v>
      </c>
      <c r="J8" s="37">
        <v>2000</v>
      </c>
      <c r="K8" s="17">
        <f t="shared" si="1"/>
        <v>125</v>
      </c>
      <c r="L8" s="16">
        <v>16</v>
      </c>
      <c r="M8" s="18">
        <f t="shared" si="2"/>
        <v>1914.5454545454559</v>
      </c>
      <c r="N8" s="17">
        <f t="shared" si="3"/>
        <v>119.65909090909099</v>
      </c>
      <c r="O8" s="19">
        <f t="shared" si="4"/>
        <v>0</v>
      </c>
      <c r="P8" s="20">
        <f t="shared" si="5"/>
        <v>-5.3409090909090082</v>
      </c>
      <c r="Q8" s="21">
        <f t="shared" si="6"/>
        <v>0.95727272727272794</v>
      </c>
      <c r="R8" s="489"/>
      <c r="S8" s="40">
        <v>0.80972222222222223</v>
      </c>
      <c r="T8" s="40">
        <v>0.84791666666666665</v>
      </c>
      <c r="U8" s="4">
        <f t="shared" si="10"/>
        <v>7.9999999999999716</v>
      </c>
      <c r="V8" s="22">
        <f t="shared" si="7"/>
        <v>54.999999999999964</v>
      </c>
      <c r="W8" s="28"/>
      <c r="X8" s="28"/>
      <c r="Y8" s="29"/>
      <c r="Z8" s="29"/>
      <c r="AA8" s="503"/>
      <c r="AB8" s="504"/>
      <c r="AC8" s="27"/>
      <c r="AD8" s="27"/>
      <c r="AE8" s="19">
        <f t="shared" si="8"/>
        <v>-85.454545454544132</v>
      </c>
      <c r="AF8" s="21">
        <f t="shared" si="9"/>
        <v>0.95727272727272794</v>
      </c>
      <c r="AG8" s="489"/>
    </row>
    <row r="9" spans="1:33">
      <c r="A9" s="531" t="s">
        <v>48</v>
      </c>
      <c r="B9" s="42" t="s">
        <v>49</v>
      </c>
      <c r="C9" s="494"/>
      <c r="D9" s="494"/>
      <c r="E9" s="43"/>
      <c r="F9" s="44"/>
      <c r="G9" s="17"/>
      <c r="H9" s="36"/>
      <c r="I9" s="30">
        <v>17</v>
      </c>
      <c r="J9" s="37">
        <v>2000</v>
      </c>
      <c r="K9" s="17">
        <f t="shared" si="1"/>
        <v>117.64705882352941</v>
      </c>
      <c r="L9" s="30">
        <v>17</v>
      </c>
      <c r="M9" s="18">
        <f>AVERAGE(M5:M8)</f>
        <v>1926.7266879461999</v>
      </c>
      <c r="N9" s="17">
        <f t="shared" si="3"/>
        <v>113.33686399683529</v>
      </c>
      <c r="O9" s="19">
        <f t="shared" si="4"/>
        <v>0</v>
      </c>
      <c r="P9" s="20">
        <f t="shared" si="5"/>
        <v>-4.310194826694115</v>
      </c>
      <c r="Q9" s="21">
        <f t="shared" si="6"/>
        <v>0.96336334397309997</v>
      </c>
      <c r="R9" s="489"/>
      <c r="S9" s="40"/>
      <c r="T9" s="40"/>
      <c r="U9" s="4"/>
      <c r="V9" s="22"/>
      <c r="W9" s="17"/>
      <c r="X9" s="17"/>
      <c r="Y9" s="31">
        <f>SUM(Y5:Y8)</f>
        <v>0</v>
      </c>
      <c r="Z9" s="31">
        <f>SUM(Z5:Z8)</f>
        <v>0</v>
      </c>
      <c r="AA9" s="495"/>
      <c r="AB9" s="495"/>
      <c r="AC9" s="31">
        <f>SUM(AC5:AC8)</f>
        <v>1</v>
      </c>
      <c r="AD9" s="31">
        <f>SUM(AD5:AD8)</f>
        <v>0</v>
      </c>
      <c r="AE9" s="19">
        <f t="shared" si="8"/>
        <v>-73.273312053800055</v>
      </c>
      <c r="AF9" s="21">
        <f t="shared" si="9"/>
        <v>0.96336334397309997</v>
      </c>
      <c r="AG9" s="489"/>
    </row>
    <row r="10" spans="1:33" ht="15.75" customHeight="1">
      <c r="A10" s="527" t="s">
        <v>50</v>
      </c>
      <c r="B10" s="42" t="s">
        <v>100</v>
      </c>
      <c r="C10" s="523" t="s">
        <v>124</v>
      </c>
      <c r="D10" s="524"/>
      <c r="E10" s="42">
        <v>39.619999999999997</v>
      </c>
      <c r="F10" s="39">
        <v>3016</v>
      </c>
      <c r="G10" s="4">
        <f t="shared" ref="G10:G11" si="11">E10*F10</f>
        <v>119493.92</v>
      </c>
      <c r="H10" s="35" t="s">
        <v>79</v>
      </c>
      <c r="I10" s="16">
        <v>19</v>
      </c>
      <c r="J10" s="37">
        <v>1500</v>
      </c>
      <c r="K10" s="17">
        <f t="shared" si="1"/>
        <v>78.94736842105263</v>
      </c>
      <c r="L10" s="16">
        <v>19</v>
      </c>
      <c r="M10" s="18">
        <f t="shared" ref="M10:M11" si="12">F10/V10*60</f>
        <v>1436.1904761904764</v>
      </c>
      <c r="N10" s="17">
        <f t="shared" si="3"/>
        <v>75.588972431077707</v>
      </c>
      <c r="O10" s="19">
        <f t="shared" si="4"/>
        <v>0</v>
      </c>
      <c r="P10" s="20">
        <f t="shared" si="5"/>
        <v>-3.3583959899749232</v>
      </c>
      <c r="Q10" s="21">
        <f t="shared" si="6"/>
        <v>0.95746031746031768</v>
      </c>
      <c r="R10" s="489">
        <f>Q12</f>
        <v>0.95630910609857966</v>
      </c>
      <c r="S10" s="40">
        <v>0.16666666666666666</v>
      </c>
      <c r="T10" s="40">
        <v>0.25416666666666665</v>
      </c>
      <c r="U10" s="4"/>
      <c r="V10" s="22">
        <f t="shared" ref="V10:V11" si="13">(T10-S10)*24*60</f>
        <v>125.99999999999997</v>
      </c>
      <c r="W10" s="23">
        <f>T10</f>
        <v>0.25416666666666665</v>
      </c>
      <c r="X10" s="23">
        <f>S11</f>
        <v>0.27152777777777776</v>
      </c>
      <c r="Y10" s="23"/>
      <c r="Z10" s="23"/>
      <c r="AA10" s="491"/>
      <c r="AB10" s="491"/>
      <c r="AC10" s="25">
        <v>2</v>
      </c>
      <c r="AD10" s="25"/>
      <c r="AE10" s="19">
        <f t="shared" si="8"/>
        <v>-63.809523809523625</v>
      </c>
      <c r="AF10" s="21">
        <f t="shared" si="9"/>
        <v>0.95746031746031757</v>
      </c>
      <c r="AG10" s="489">
        <f>AF12</f>
        <v>0.95630910609857966</v>
      </c>
    </row>
    <row r="11" spans="1:33" ht="15.75" customHeight="1">
      <c r="A11" s="527" t="s">
        <v>50</v>
      </c>
      <c r="B11" s="42" t="s">
        <v>100</v>
      </c>
      <c r="C11" s="523" t="s">
        <v>125</v>
      </c>
      <c r="D11" s="524"/>
      <c r="E11" s="42">
        <v>39.799999999999997</v>
      </c>
      <c r="F11" s="39">
        <v>4537</v>
      </c>
      <c r="G11" s="4">
        <f t="shared" si="11"/>
        <v>180572.59999999998</v>
      </c>
      <c r="H11" s="35" t="s">
        <v>79</v>
      </c>
      <c r="I11" s="16">
        <v>17</v>
      </c>
      <c r="J11" s="37">
        <v>1500</v>
      </c>
      <c r="K11" s="17">
        <f t="shared" si="1"/>
        <v>88.235294117647058</v>
      </c>
      <c r="L11" s="16">
        <v>17</v>
      </c>
      <c r="M11" s="18">
        <f t="shared" si="12"/>
        <v>1432.7368421052627</v>
      </c>
      <c r="N11" s="17">
        <f t="shared" si="3"/>
        <v>84.278637770897802</v>
      </c>
      <c r="O11" s="19">
        <f t="shared" si="4"/>
        <v>0</v>
      </c>
      <c r="P11" s="20">
        <f t="shared" si="5"/>
        <v>-3.9566563467492557</v>
      </c>
      <c r="Q11" s="21">
        <f t="shared" si="6"/>
        <v>0.95515789473684176</v>
      </c>
      <c r="R11" s="489"/>
      <c r="S11" s="40">
        <v>0.27152777777777776</v>
      </c>
      <c r="T11" s="40">
        <v>0.40347222222222223</v>
      </c>
      <c r="U11" s="4">
        <f t="shared" ref="U11" si="14">IF(S11=TIME(17,0,0),"",(S11-T10)*24*60)</f>
        <v>24.999999999999993</v>
      </c>
      <c r="V11" s="22">
        <f t="shared" si="13"/>
        <v>190.00000000000006</v>
      </c>
      <c r="W11" s="23"/>
      <c r="X11" s="23"/>
      <c r="Y11" s="23"/>
      <c r="Z11" s="23"/>
      <c r="AA11" s="491"/>
      <c r="AB11" s="491"/>
      <c r="AC11" s="25"/>
      <c r="AD11" s="25"/>
      <c r="AE11" s="19">
        <f t="shared" si="8"/>
        <v>-67.263157894737333</v>
      </c>
      <c r="AF11" s="21">
        <f t="shared" si="9"/>
        <v>0.95515789473684176</v>
      </c>
      <c r="AG11" s="489"/>
    </row>
    <row r="12" spans="1:33" ht="16.5" customHeight="1">
      <c r="A12" s="527" t="s">
        <v>51</v>
      </c>
      <c r="B12" s="42" t="s">
        <v>49</v>
      </c>
      <c r="C12" s="494"/>
      <c r="D12" s="494"/>
      <c r="E12" s="43"/>
      <c r="F12" s="37"/>
      <c r="G12" s="18"/>
      <c r="H12" s="36"/>
      <c r="I12" s="30">
        <v>18</v>
      </c>
      <c r="J12" s="37">
        <v>1500</v>
      </c>
      <c r="K12" s="17">
        <f t="shared" si="1"/>
        <v>83.333333333333329</v>
      </c>
      <c r="L12" s="30">
        <v>18</v>
      </c>
      <c r="M12" s="18">
        <f>AVERAGE(M10:M11)</f>
        <v>1434.4636591478695</v>
      </c>
      <c r="N12" s="17">
        <f t="shared" si="3"/>
        <v>79.692425508214967</v>
      </c>
      <c r="O12" s="19">
        <f t="shared" si="4"/>
        <v>0</v>
      </c>
      <c r="P12" s="20">
        <f t="shared" si="5"/>
        <v>-3.6409078251183615</v>
      </c>
      <c r="Q12" s="21">
        <f t="shared" si="6"/>
        <v>0.95630910609857966</v>
      </c>
      <c r="R12" s="489"/>
      <c r="S12" s="40"/>
      <c r="T12" s="40"/>
      <c r="U12" s="17"/>
      <c r="V12" s="22"/>
      <c r="W12" s="17"/>
      <c r="X12" s="17"/>
      <c r="Y12" s="31">
        <f>SUM(Y10:Y11)</f>
        <v>0</v>
      </c>
      <c r="Z12" s="31">
        <f>SUM(Z10:Z11)</f>
        <v>0</v>
      </c>
      <c r="AA12" s="495"/>
      <c r="AB12" s="495"/>
      <c r="AC12" s="31">
        <f>SUM(AC10:AC11)</f>
        <v>2</v>
      </c>
      <c r="AD12" s="31">
        <f>SUM(AD10:AD11)</f>
        <v>0</v>
      </c>
      <c r="AE12" s="19">
        <f t="shared" si="8"/>
        <v>-65.536340852130479</v>
      </c>
      <c r="AF12" s="21">
        <f t="shared" si="9"/>
        <v>0.95630910609857966</v>
      </c>
      <c r="AG12" s="489"/>
    </row>
    <row r="13" spans="1:33" ht="16.5" customHeight="1">
      <c r="A13" s="525" t="s">
        <v>52</v>
      </c>
      <c r="B13" s="39" t="s">
        <v>126</v>
      </c>
      <c r="C13" s="515" t="s">
        <v>127</v>
      </c>
      <c r="D13" s="515"/>
      <c r="E13" s="42">
        <v>41</v>
      </c>
      <c r="F13" s="39">
        <v>2305</v>
      </c>
      <c r="G13" s="4">
        <f t="shared" ref="G13:G19" si="15">E13*F13</f>
        <v>94505</v>
      </c>
      <c r="H13" s="35" t="s">
        <v>79</v>
      </c>
      <c r="I13" s="16">
        <v>26</v>
      </c>
      <c r="J13" s="37">
        <v>1500</v>
      </c>
      <c r="K13" s="17">
        <f t="shared" si="1"/>
        <v>57.692307692307693</v>
      </c>
      <c r="L13" s="16">
        <v>26</v>
      </c>
      <c r="M13" s="18">
        <f t="shared" ref="M13:M19" si="16">F13/V13*60</f>
        <v>1440.6249999999998</v>
      </c>
      <c r="N13" s="17">
        <f t="shared" si="3"/>
        <v>55.40865384615384</v>
      </c>
      <c r="O13" s="19">
        <f t="shared" si="4"/>
        <v>0</v>
      </c>
      <c r="P13" s="20">
        <f t="shared" si="5"/>
        <v>-2.2836538461538538</v>
      </c>
      <c r="Q13" s="21">
        <f t="shared" si="6"/>
        <v>0.96041666666666659</v>
      </c>
      <c r="R13" s="489">
        <f>Q20</f>
        <v>0.96965779471252045</v>
      </c>
      <c r="S13" s="40">
        <v>0.20833333333333334</v>
      </c>
      <c r="T13" s="40">
        <v>0.27500000000000002</v>
      </c>
      <c r="U13" s="4"/>
      <c r="V13" s="22">
        <f t="shared" ref="V13:V19" si="17">(T13-S13)*24*60</f>
        <v>96.000000000000014</v>
      </c>
      <c r="W13" s="28"/>
      <c r="X13" s="28"/>
      <c r="Y13" s="28"/>
      <c r="Z13" s="28"/>
      <c r="AA13" s="491"/>
      <c r="AB13" s="491"/>
      <c r="AC13" s="25">
        <v>3</v>
      </c>
      <c r="AD13" s="25"/>
      <c r="AE13" s="19">
        <f t="shared" si="8"/>
        <v>-59.375000000000227</v>
      </c>
      <c r="AF13" s="21">
        <f t="shared" si="9"/>
        <v>0.96041666666666647</v>
      </c>
      <c r="AG13" s="489">
        <f>AF20</f>
        <v>0.96965779471252056</v>
      </c>
    </row>
    <row r="14" spans="1:33" ht="16.5" customHeight="1">
      <c r="A14" s="526" t="s">
        <v>53</v>
      </c>
      <c r="B14" s="39" t="s">
        <v>128</v>
      </c>
      <c r="C14" s="515" t="s">
        <v>129</v>
      </c>
      <c r="D14" s="515"/>
      <c r="E14" s="42">
        <v>72.400000000000006</v>
      </c>
      <c r="F14" s="39">
        <v>1019</v>
      </c>
      <c r="G14" s="4">
        <f t="shared" si="15"/>
        <v>73775.600000000006</v>
      </c>
      <c r="H14" s="35" t="s">
        <v>79</v>
      </c>
      <c r="I14" s="16">
        <v>18</v>
      </c>
      <c r="J14" s="37">
        <v>1500</v>
      </c>
      <c r="K14" s="17">
        <f t="shared" si="1"/>
        <v>83.333333333333329</v>
      </c>
      <c r="L14" s="16">
        <v>18</v>
      </c>
      <c r="M14" s="18">
        <f t="shared" si="16"/>
        <v>1455.7142857142851</v>
      </c>
      <c r="N14" s="17">
        <f t="shared" si="3"/>
        <v>80.873015873015845</v>
      </c>
      <c r="O14" s="19">
        <f t="shared" si="4"/>
        <v>0</v>
      </c>
      <c r="P14" s="20">
        <f t="shared" si="5"/>
        <v>-2.4603174603174836</v>
      </c>
      <c r="Q14" s="21">
        <f t="shared" si="6"/>
        <v>0.97047619047619016</v>
      </c>
      <c r="R14" s="489"/>
      <c r="S14" s="40">
        <v>0.28055555555555556</v>
      </c>
      <c r="T14" s="40">
        <v>0.30972222222222223</v>
      </c>
      <c r="U14" s="4">
        <f t="shared" ref="U14:U19" si="18">IF(S14=TIME(17,0,0),"",(S14-T13)*24*60)</f>
        <v>7.9999999999999716</v>
      </c>
      <c r="V14" s="22">
        <f t="shared" si="17"/>
        <v>42.000000000000014</v>
      </c>
      <c r="W14" s="23"/>
      <c r="X14" s="23"/>
      <c r="Y14" s="23"/>
      <c r="Z14" s="23"/>
      <c r="AA14" s="491"/>
      <c r="AB14" s="491"/>
      <c r="AC14" s="25"/>
      <c r="AD14" s="25"/>
      <c r="AE14" s="19">
        <f t="shared" si="8"/>
        <v>-44.285714285714903</v>
      </c>
      <c r="AF14" s="21">
        <f t="shared" si="9"/>
        <v>0.97047619047619005</v>
      </c>
      <c r="AG14" s="489"/>
    </row>
    <row r="15" spans="1:33" ht="16.5" customHeight="1">
      <c r="A15" s="526" t="s">
        <v>52</v>
      </c>
      <c r="B15" s="39" t="s">
        <v>130</v>
      </c>
      <c r="C15" s="515" t="s">
        <v>131</v>
      </c>
      <c r="D15" s="515"/>
      <c r="E15" s="42">
        <v>50.67</v>
      </c>
      <c r="F15" s="39">
        <v>1465</v>
      </c>
      <c r="G15" s="4">
        <f t="shared" si="15"/>
        <v>74231.55</v>
      </c>
      <c r="H15" s="35" t="s">
        <v>79</v>
      </c>
      <c r="I15" s="16">
        <v>16</v>
      </c>
      <c r="J15" s="37">
        <v>1500</v>
      </c>
      <c r="K15" s="17">
        <f t="shared" si="1"/>
        <v>93.75</v>
      </c>
      <c r="L15" s="16">
        <v>16</v>
      </c>
      <c r="M15" s="18">
        <f t="shared" si="16"/>
        <v>1440.9836065573766</v>
      </c>
      <c r="N15" s="17">
        <f t="shared" si="3"/>
        <v>90.061475409836035</v>
      </c>
      <c r="O15" s="19">
        <f t="shared" si="4"/>
        <v>0</v>
      </c>
      <c r="P15" s="20">
        <f t="shared" si="5"/>
        <v>-3.6885245901639649</v>
      </c>
      <c r="Q15" s="21">
        <f t="shared" si="6"/>
        <v>0.96065573770491774</v>
      </c>
      <c r="R15" s="489"/>
      <c r="S15" s="40">
        <v>0.31319444444444444</v>
      </c>
      <c r="T15" s="40">
        <v>0.35555555555555557</v>
      </c>
      <c r="U15" s="4">
        <f t="shared" si="18"/>
        <v>4.9999999999999822</v>
      </c>
      <c r="V15" s="22">
        <f t="shared" si="17"/>
        <v>61.000000000000021</v>
      </c>
      <c r="W15" s="23"/>
      <c r="X15" s="23"/>
      <c r="Y15" s="23"/>
      <c r="Z15" s="23"/>
      <c r="AA15" s="491"/>
      <c r="AB15" s="491"/>
      <c r="AC15" s="25"/>
      <c r="AD15" s="25"/>
      <c r="AE15" s="19">
        <f t="shared" si="8"/>
        <v>-59.016393442623439</v>
      </c>
      <c r="AF15" s="21">
        <f t="shared" si="9"/>
        <v>0.96065573770491774</v>
      </c>
      <c r="AG15" s="489"/>
    </row>
    <row r="16" spans="1:33" ht="16.5" customHeight="1">
      <c r="A16" s="526" t="s">
        <v>52</v>
      </c>
      <c r="B16" s="39" t="s">
        <v>103</v>
      </c>
      <c r="C16" s="515" t="s">
        <v>123</v>
      </c>
      <c r="D16" s="515"/>
      <c r="E16" s="42">
        <v>50.98</v>
      </c>
      <c r="F16" s="39">
        <v>500</v>
      </c>
      <c r="G16" s="4">
        <f t="shared" si="15"/>
        <v>25490</v>
      </c>
      <c r="H16" s="35">
        <v>2</v>
      </c>
      <c r="I16" s="16">
        <v>16</v>
      </c>
      <c r="J16" s="37">
        <v>2000</v>
      </c>
      <c r="K16" s="17">
        <f t="shared" si="1"/>
        <v>125</v>
      </c>
      <c r="L16" s="16">
        <v>16</v>
      </c>
      <c r="M16" s="18">
        <f t="shared" si="16"/>
        <v>2000.000000000007</v>
      </c>
      <c r="N16" s="17">
        <f t="shared" si="3"/>
        <v>125.00000000000044</v>
      </c>
      <c r="O16" s="19">
        <f t="shared" si="4"/>
        <v>0</v>
      </c>
      <c r="P16" s="20">
        <f t="shared" si="5"/>
        <v>4.4053649617126212E-13</v>
      </c>
      <c r="Q16" s="21">
        <f t="shared" si="6"/>
        <v>1.0000000000000036</v>
      </c>
      <c r="R16" s="489"/>
      <c r="S16" s="40">
        <v>0.70833333333333337</v>
      </c>
      <c r="T16" s="40">
        <v>0.71875</v>
      </c>
      <c r="U16" s="4" t="str">
        <f t="shared" si="18"/>
        <v/>
      </c>
      <c r="V16" s="22">
        <f t="shared" si="17"/>
        <v>14.999999999999947</v>
      </c>
      <c r="W16" s="23"/>
      <c r="X16" s="23"/>
      <c r="Y16" s="23"/>
      <c r="Z16" s="23"/>
      <c r="AA16" s="491"/>
      <c r="AB16" s="491"/>
      <c r="AC16" s="25"/>
      <c r="AD16" s="25"/>
      <c r="AE16" s="19">
        <f t="shared" si="8"/>
        <v>7.0485839387401938E-12</v>
      </c>
      <c r="AF16" s="21">
        <f t="shared" si="9"/>
        <v>1.0000000000000036</v>
      </c>
      <c r="AG16" s="489"/>
    </row>
    <row r="17" spans="1:33" ht="16.5" customHeight="1">
      <c r="A17" s="526" t="s">
        <v>54</v>
      </c>
      <c r="B17" s="39" t="s">
        <v>103</v>
      </c>
      <c r="C17" s="515" t="s">
        <v>132</v>
      </c>
      <c r="D17" s="515"/>
      <c r="E17" s="42">
        <v>50.92</v>
      </c>
      <c r="F17" s="39">
        <v>2180</v>
      </c>
      <c r="G17" s="4">
        <f t="shared" si="15"/>
        <v>111005.6</v>
      </c>
      <c r="H17" s="35" t="s">
        <v>79</v>
      </c>
      <c r="I17" s="16">
        <v>15</v>
      </c>
      <c r="J17" s="37">
        <v>2000</v>
      </c>
      <c r="K17" s="17">
        <f t="shared" si="1"/>
        <v>133.33333333333334</v>
      </c>
      <c r="L17" s="16">
        <v>15</v>
      </c>
      <c r="M17" s="18">
        <f t="shared" si="16"/>
        <v>1923.5294117647081</v>
      </c>
      <c r="N17" s="17">
        <f t="shared" si="3"/>
        <v>128.23529411764721</v>
      </c>
      <c r="O17" s="19">
        <f t="shared" si="4"/>
        <v>0</v>
      </c>
      <c r="P17" s="20">
        <f t="shared" si="5"/>
        <v>-5.0980392156861285</v>
      </c>
      <c r="Q17" s="21">
        <f t="shared" si="6"/>
        <v>0.96176470588235408</v>
      </c>
      <c r="R17" s="489"/>
      <c r="S17" s="40">
        <v>0.72222222222222221</v>
      </c>
      <c r="T17" s="40">
        <v>0.76944444444444438</v>
      </c>
      <c r="U17" s="4">
        <f t="shared" si="18"/>
        <v>4.9999999999999822</v>
      </c>
      <c r="V17" s="22">
        <f t="shared" si="17"/>
        <v>67.999999999999915</v>
      </c>
      <c r="W17" s="23"/>
      <c r="X17" s="23"/>
      <c r="Y17" s="23"/>
      <c r="Z17" s="23"/>
      <c r="AA17" s="491"/>
      <c r="AB17" s="491"/>
      <c r="AC17" s="25"/>
      <c r="AD17" s="25"/>
      <c r="AE17" s="19">
        <f t="shared" si="8"/>
        <v>-76.470588235291871</v>
      </c>
      <c r="AF17" s="21">
        <f t="shared" si="9"/>
        <v>0.96176470588235408</v>
      </c>
      <c r="AG17" s="489"/>
    </row>
    <row r="18" spans="1:33" ht="16.5" customHeight="1">
      <c r="A18" s="526" t="s">
        <v>52</v>
      </c>
      <c r="B18" s="39" t="s">
        <v>103</v>
      </c>
      <c r="C18" s="521" t="s">
        <v>133</v>
      </c>
      <c r="D18" s="522"/>
      <c r="E18" s="42">
        <v>50.67</v>
      </c>
      <c r="F18" s="39">
        <v>1410</v>
      </c>
      <c r="G18" s="4">
        <f t="shared" si="15"/>
        <v>71444.7</v>
      </c>
      <c r="H18" s="35" t="s">
        <v>79</v>
      </c>
      <c r="I18" s="16">
        <v>15</v>
      </c>
      <c r="J18" s="37">
        <v>2000</v>
      </c>
      <c r="K18" s="17">
        <f t="shared" si="1"/>
        <v>133.33333333333334</v>
      </c>
      <c r="L18" s="16">
        <v>15</v>
      </c>
      <c r="M18" s="18">
        <f t="shared" si="16"/>
        <v>1922.7272727272727</v>
      </c>
      <c r="N18" s="17">
        <f t="shared" si="3"/>
        <v>128.18181818181819</v>
      </c>
      <c r="O18" s="19">
        <f t="shared" si="4"/>
        <v>0</v>
      </c>
      <c r="P18" s="20">
        <f t="shared" si="5"/>
        <v>-5.1515151515151558</v>
      </c>
      <c r="Q18" s="21">
        <f t="shared" si="6"/>
        <v>0.96136363636363631</v>
      </c>
      <c r="R18" s="489"/>
      <c r="S18" s="40">
        <v>0.77291666666666659</v>
      </c>
      <c r="T18" s="40">
        <v>0.80347222222222214</v>
      </c>
      <c r="U18" s="4">
        <f t="shared" si="18"/>
        <v>4.9999999999999822</v>
      </c>
      <c r="V18" s="22">
        <f t="shared" si="17"/>
        <v>44</v>
      </c>
      <c r="W18" s="23"/>
      <c r="X18" s="23"/>
      <c r="Y18" s="26"/>
      <c r="Z18" s="26"/>
      <c r="AA18" s="503"/>
      <c r="AB18" s="504"/>
      <c r="AC18" s="25"/>
      <c r="AD18" s="25"/>
      <c r="AE18" s="19">
        <f t="shared" si="8"/>
        <v>-77.272727272727252</v>
      </c>
      <c r="AF18" s="21">
        <f t="shared" si="9"/>
        <v>0.96136363636363642</v>
      </c>
      <c r="AG18" s="489"/>
    </row>
    <row r="19" spans="1:33" ht="16.5" customHeight="1">
      <c r="A19" s="526" t="s">
        <v>55</v>
      </c>
      <c r="B19" s="39" t="s">
        <v>103</v>
      </c>
      <c r="C19" s="51" t="s">
        <v>134</v>
      </c>
      <c r="D19" s="52"/>
      <c r="E19" s="42">
        <v>57.3</v>
      </c>
      <c r="F19" s="39">
        <v>1808</v>
      </c>
      <c r="G19" s="4">
        <f t="shared" si="15"/>
        <v>103598.39999999999</v>
      </c>
      <c r="H19" s="35" t="s">
        <v>79</v>
      </c>
      <c r="I19" s="16">
        <v>13</v>
      </c>
      <c r="J19" s="37">
        <v>2000</v>
      </c>
      <c r="K19" s="17">
        <f t="shared" si="1"/>
        <v>153.84615384615384</v>
      </c>
      <c r="L19" s="16">
        <v>13</v>
      </c>
      <c r="M19" s="18">
        <f t="shared" si="16"/>
        <v>1937.1428571428587</v>
      </c>
      <c r="N19" s="17">
        <f t="shared" si="3"/>
        <v>149.01098901098914</v>
      </c>
      <c r="O19" s="19">
        <f t="shared" si="4"/>
        <v>0</v>
      </c>
      <c r="P19" s="20">
        <f t="shared" si="5"/>
        <v>-4.8351648351647043</v>
      </c>
      <c r="Q19" s="21">
        <f t="shared" si="6"/>
        <v>0.96857142857142942</v>
      </c>
      <c r="R19" s="489"/>
      <c r="S19" s="40">
        <v>0.8076388888888888</v>
      </c>
      <c r="T19" s="40">
        <v>0.84652777777777766</v>
      </c>
      <c r="U19" s="4">
        <f t="shared" si="18"/>
        <v>5.9999999999999787</v>
      </c>
      <c r="V19" s="22">
        <f t="shared" si="17"/>
        <v>55.999999999999957</v>
      </c>
      <c r="W19" s="23"/>
      <c r="X19" s="23"/>
      <c r="Y19" s="26"/>
      <c r="Z19" s="26"/>
      <c r="AA19" s="503"/>
      <c r="AB19" s="504"/>
      <c r="AC19" s="25"/>
      <c r="AD19" s="25"/>
      <c r="AE19" s="19">
        <f t="shared" si="8"/>
        <v>-62.857142857141298</v>
      </c>
      <c r="AF19" s="21">
        <f t="shared" si="9"/>
        <v>0.9685714285714293</v>
      </c>
      <c r="AG19" s="489"/>
    </row>
    <row r="20" spans="1:33" ht="16.5" customHeight="1">
      <c r="A20" s="526" t="s">
        <v>52</v>
      </c>
      <c r="B20" s="42" t="s">
        <v>49</v>
      </c>
      <c r="C20" s="494"/>
      <c r="D20" s="494"/>
      <c r="E20" s="43"/>
      <c r="F20" s="44"/>
      <c r="G20" s="17"/>
      <c r="H20" s="36"/>
      <c r="I20" s="30">
        <v>17</v>
      </c>
      <c r="J20" s="37">
        <v>1785.7142857142858</v>
      </c>
      <c r="K20" s="17">
        <f t="shared" si="1"/>
        <v>105.0420168067227</v>
      </c>
      <c r="L20" s="30">
        <v>17</v>
      </c>
      <c r="M20" s="18">
        <f>AVERAGE(M13:M19)</f>
        <v>1731.5317762723582</v>
      </c>
      <c r="N20" s="17">
        <f t="shared" si="3"/>
        <v>101.85481036896225</v>
      </c>
      <c r="O20" s="19">
        <f t="shared" si="4"/>
        <v>0</v>
      </c>
      <c r="P20" s="20">
        <f t="shared" si="5"/>
        <v>-3.1872064377604516</v>
      </c>
      <c r="Q20" s="21">
        <f t="shared" si="6"/>
        <v>0.96965779471252045</v>
      </c>
      <c r="R20" s="489"/>
      <c r="S20" s="40"/>
      <c r="T20" s="40"/>
      <c r="U20" s="4"/>
      <c r="V20" s="22"/>
      <c r="W20" s="17"/>
      <c r="X20" s="17"/>
      <c r="Y20" s="31">
        <f>SUM(Y13:Y19)</f>
        <v>0</v>
      </c>
      <c r="Z20" s="31">
        <f>SUM(Z13:Z19)</f>
        <v>0</v>
      </c>
      <c r="AA20" s="495"/>
      <c r="AB20" s="495"/>
      <c r="AC20" s="31">
        <f>SUM(AC13:AC19)</f>
        <v>3</v>
      </c>
      <c r="AD20" s="31">
        <f>SUM(AD13:AD19)</f>
        <v>0</v>
      </c>
      <c r="AE20" s="19">
        <f t="shared" si="8"/>
        <v>-54.18250944192755</v>
      </c>
      <c r="AF20" s="21">
        <f t="shared" si="9"/>
        <v>0.96965779471252056</v>
      </c>
      <c r="AG20" s="489"/>
    </row>
    <row r="21" spans="1:33" ht="15.75" customHeight="1">
      <c r="A21" s="519" t="s">
        <v>56</v>
      </c>
      <c r="B21" s="42" t="s">
        <v>126</v>
      </c>
      <c r="C21" s="515" t="s">
        <v>135</v>
      </c>
      <c r="D21" s="515"/>
      <c r="E21" s="42">
        <v>43.14</v>
      </c>
      <c r="F21" s="39">
        <v>989</v>
      </c>
      <c r="G21" s="4">
        <f t="shared" ref="G21:G28" si="19">E21*F21</f>
        <v>42665.46</v>
      </c>
      <c r="H21" s="35" t="s">
        <v>79</v>
      </c>
      <c r="I21" s="16">
        <v>17</v>
      </c>
      <c r="J21" s="37">
        <v>2000</v>
      </c>
      <c r="K21" s="17">
        <f t="shared" si="1"/>
        <v>117.64705882352941</v>
      </c>
      <c r="L21" s="16">
        <v>17</v>
      </c>
      <c r="M21" s="18">
        <f t="shared" ref="M21:M28" si="20">F21/V21*60</f>
        <v>1914.1935483870961</v>
      </c>
      <c r="N21" s="17">
        <f t="shared" si="3"/>
        <v>112.5996204933586</v>
      </c>
      <c r="O21" s="19">
        <f t="shared" si="4"/>
        <v>0</v>
      </c>
      <c r="P21" s="20">
        <f t="shared" si="5"/>
        <v>-5.0474383301708059</v>
      </c>
      <c r="Q21" s="21">
        <f t="shared" si="6"/>
        <v>0.95709677419354811</v>
      </c>
      <c r="R21" s="489">
        <f>Q29</f>
        <v>0.96405746163036488</v>
      </c>
      <c r="S21" s="40">
        <v>0.20833333333333334</v>
      </c>
      <c r="T21" s="40">
        <v>0.22986111111111113</v>
      </c>
      <c r="U21" s="4"/>
      <c r="V21" s="22">
        <f t="shared" ref="V21:V28" si="21">(T21-S21)*24*60</f>
        <v>31.000000000000011</v>
      </c>
      <c r="W21" s="28"/>
      <c r="X21" s="28"/>
      <c r="Y21" s="28"/>
      <c r="Z21" s="28"/>
      <c r="AA21" s="491"/>
      <c r="AB21" s="491"/>
      <c r="AC21" s="25">
        <v>3</v>
      </c>
      <c r="AD21" s="25"/>
      <c r="AE21" s="19">
        <f t="shared" si="8"/>
        <v>-85.806451612903857</v>
      </c>
      <c r="AF21" s="21">
        <f t="shared" si="9"/>
        <v>0.95709677419354811</v>
      </c>
      <c r="AG21" s="489">
        <f>AF29</f>
        <v>0.96405746163036488</v>
      </c>
    </row>
    <row r="22" spans="1:33" ht="15.75" customHeight="1">
      <c r="A22" s="520" t="s">
        <v>57</v>
      </c>
      <c r="B22" s="42" t="s">
        <v>130</v>
      </c>
      <c r="C22" s="515" t="s">
        <v>136</v>
      </c>
      <c r="D22" s="515"/>
      <c r="E22" s="42">
        <v>49.9</v>
      </c>
      <c r="F22" s="39">
        <v>1167</v>
      </c>
      <c r="G22" s="4">
        <f t="shared" si="19"/>
        <v>58233.299999999996</v>
      </c>
      <c r="H22" s="35" t="s">
        <v>79</v>
      </c>
      <c r="I22" s="16">
        <v>17</v>
      </c>
      <c r="J22" s="37">
        <v>2000</v>
      </c>
      <c r="K22" s="17">
        <f t="shared" si="1"/>
        <v>117.64705882352941</v>
      </c>
      <c r="L22" s="16">
        <v>17</v>
      </c>
      <c r="M22" s="18">
        <f t="shared" si="20"/>
        <v>1945.0000000000002</v>
      </c>
      <c r="N22" s="17">
        <f t="shared" si="3"/>
        <v>114.41176470588236</v>
      </c>
      <c r="O22" s="19">
        <f t="shared" si="4"/>
        <v>0</v>
      </c>
      <c r="P22" s="20">
        <f t="shared" si="5"/>
        <v>-3.2352941176470438</v>
      </c>
      <c r="Q22" s="21">
        <f t="shared" si="6"/>
        <v>0.97250000000000014</v>
      </c>
      <c r="R22" s="489"/>
      <c r="S22" s="40">
        <v>0.23472222222222225</v>
      </c>
      <c r="T22" s="40">
        <v>0.25972222222222224</v>
      </c>
      <c r="U22" s="4">
        <f t="shared" ref="U22:U28" si="22">IF(S22=TIME(17,0,0),"",(S22-T21)*24*60)</f>
        <v>7.0000000000000151</v>
      </c>
      <c r="V22" s="22">
        <f t="shared" si="21"/>
        <v>35.999999999999993</v>
      </c>
      <c r="W22" s="23"/>
      <c r="X22" s="4"/>
      <c r="Y22" s="4"/>
      <c r="Z22" s="4"/>
      <c r="AA22" s="491"/>
      <c r="AB22" s="491"/>
      <c r="AC22" s="25"/>
      <c r="AD22" s="25"/>
      <c r="AE22" s="19">
        <f t="shared" si="8"/>
        <v>-54.999999999999773</v>
      </c>
      <c r="AF22" s="21">
        <f t="shared" si="9"/>
        <v>0.97250000000000014</v>
      </c>
      <c r="AG22" s="489"/>
    </row>
    <row r="23" spans="1:33" ht="15.75" customHeight="1">
      <c r="A23" s="520" t="s">
        <v>56</v>
      </c>
      <c r="B23" s="42" t="s">
        <v>103</v>
      </c>
      <c r="C23" s="515" t="s">
        <v>137</v>
      </c>
      <c r="D23" s="515"/>
      <c r="E23" s="42">
        <v>57.73</v>
      </c>
      <c r="F23" s="39">
        <v>2396</v>
      </c>
      <c r="G23" s="4">
        <f t="shared" si="19"/>
        <v>138321.07999999999</v>
      </c>
      <c r="H23" s="35" t="s">
        <v>79</v>
      </c>
      <c r="I23" s="16">
        <v>14</v>
      </c>
      <c r="J23" s="37">
        <v>2000</v>
      </c>
      <c r="K23" s="17">
        <f t="shared" si="1"/>
        <v>142.85714285714286</v>
      </c>
      <c r="L23" s="16">
        <v>14</v>
      </c>
      <c r="M23" s="18">
        <f t="shared" si="20"/>
        <v>1916.8000000000009</v>
      </c>
      <c r="N23" s="17">
        <f t="shared" si="3"/>
        <v>136.91428571428577</v>
      </c>
      <c r="O23" s="19">
        <f t="shared" si="4"/>
        <v>0</v>
      </c>
      <c r="P23" s="20">
        <f t="shared" si="5"/>
        <v>-5.9428571428570933</v>
      </c>
      <c r="Q23" s="21">
        <f t="shared" si="6"/>
        <v>0.95840000000000036</v>
      </c>
      <c r="R23" s="489"/>
      <c r="S23" s="40">
        <v>0.26458333333333334</v>
      </c>
      <c r="T23" s="40">
        <v>0.31666666666666665</v>
      </c>
      <c r="U23" s="4">
        <f t="shared" si="22"/>
        <v>6.9999999999999751</v>
      </c>
      <c r="V23" s="22">
        <f t="shared" si="21"/>
        <v>74.999999999999972</v>
      </c>
      <c r="W23" s="23"/>
      <c r="X23" s="4"/>
      <c r="Y23" s="4"/>
      <c r="Z23" s="4"/>
      <c r="AA23" s="491"/>
      <c r="AB23" s="491"/>
      <c r="AC23" s="25"/>
      <c r="AD23" s="25"/>
      <c r="AE23" s="19">
        <f t="shared" si="8"/>
        <v>-83.199999999999136</v>
      </c>
      <c r="AF23" s="21">
        <f t="shared" si="9"/>
        <v>0.95840000000000047</v>
      </c>
      <c r="AG23" s="489"/>
    </row>
    <row r="24" spans="1:33" ht="15.75" customHeight="1">
      <c r="A24" s="520" t="s">
        <v>56</v>
      </c>
      <c r="B24" s="42" t="s">
        <v>103</v>
      </c>
      <c r="C24" s="515" t="s">
        <v>138</v>
      </c>
      <c r="D24" s="515"/>
      <c r="E24" s="42">
        <v>53.68</v>
      </c>
      <c r="F24" s="39">
        <v>1609</v>
      </c>
      <c r="G24" s="4">
        <f t="shared" si="19"/>
        <v>86371.12</v>
      </c>
      <c r="H24" s="35" t="s">
        <v>79</v>
      </c>
      <c r="I24" s="16">
        <v>16</v>
      </c>
      <c r="J24" s="37">
        <v>2000</v>
      </c>
      <c r="K24" s="17">
        <f t="shared" si="1"/>
        <v>125</v>
      </c>
      <c r="L24" s="16">
        <v>16</v>
      </c>
      <c r="M24" s="18">
        <f t="shared" si="20"/>
        <v>1930.8000000000004</v>
      </c>
      <c r="N24" s="17">
        <f t="shared" si="3"/>
        <v>120.67500000000003</v>
      </c>
      <c r="O24" s="19">
        <f t="shared" si="4"/>
        <v>0</v>
      </c>
      <c r="P24" s="20">
        <f t="shared" si="5"/>
        <v>-4.3249999999999744</v>
      </c>
      <c r="Q24" s="21">
        <f t="shared" si="6"/>
        <v>0.96540000000000026</v>
      </c>
      <c r="R24" s="489"/>
      <c r="S24" s="40">
        <v>0.3208333333333333</v>
      </c>
      <c r="T24" s="40">
        <v>0.35555555555555551</v>
      </c>
      <c r="U24" s="4">
        <f t="shared" si="22"/>
        <v>5.9999999999999787</v>
      </c>
      <c r="V24" s="22">
        <f t="shared" si="21"/>
        <v>49.999999999999986</v>
      </c>
      <c r="W24" s="23"/>
      <c r="X24" s="4"/>
      <c r="Y24" s="4"/>
      <c r="Z24" s="4"/>
      <c r="AA24" s="491"/>
      <c r="AB24" s="491"/>
      <c r="AC24" s="25"/>
      <c r="AD24" s="25"/>
      <c r="AE24" s="19">
        <f t="shared" si="8"/>
        <v>-69.199999999999591</v>
      </c>
      <c r="AF24" s="21">
        <f t="shared" si="9"/>
        <v>0.96540000000000026</v>
      </c>
      <c r="AG24" s="489"/>
    </row>
    <row r="25" spans="1:33" ht="15.75" customHeight="1">
      <c r="A25" s="520" t="s">
        <v>58</v>
      </c>
      <c r="B25" s="42" t="s">
        <v>103</v>
      </c>
      <c r="C25" s="515" t="s">
        <v>139</v>
      </c>
      <c r="D25" s="515"/>
      <c r="E25" s="42">
        <v>49.91</v>
      </c>
      <c r="F25" s="39">
        <v>964</v>
      </c>
      <c r="G25" s="4">
        <f t="shared" si="19"/>
        <v>48113.24</v>
      </c>
      <c r="H25" s="35" t="s">
        <v>79</v>
      </c>
      <c r="I25" s="16">
        <v>17</v>
      </c>
      <c r="J25" s="37">
        <v>2000</v>
      </c>
      <c r="K25" s="17">
        <f t="shared" si="1"/>
        <v>117.64705882352941</v>
      </c>
      <c r="L25" s="16">
        <v>17</v>
      </c>
      <c r="M25" s="18">
        <f t="shared" si="20"/>
        <v>1928.0000000000016</v>
      </c>
      <c r="N25" s="17">
        <f t="shared" si="3"/>
        <v>113.41176470588245</v>
      </c>
      <c r="O25" s="19">
        <f t="shared" si="4"/>
        <v>0</v>
      </c>
      <c r="P25" s="20">
        <f t="shared" si="5"/>
        <v>-4.2352941176469585</v>
      </c>
      <c r="Q25" s="21">
        <f t="shared" si="6"/>
        <v>0.96400000000000086</v>
      </c>
      <c r="R25" s="489"/>
      <c r="S25" s="40">
        <v>0.35972222222222217</v>
      </c>
      <c r="T25" s="40">
        <v>0.38055555555555548</v>
      </c>
      <c r="U25" s="4">
        <f t="shared" si="22"/>
        <v>5.9999999999999787</v>
      </c>
      <c r="V25" s="22">
        <f t="shared" si="21"/>
        <v>29.999999999999972</v>
      </c>
      <c r="W25" s="23"/>
      <c r="X25" s="4"/>
      <c r="Y25" s="4"/>
      <c r="Z25" s="4"/>
      <c r="AA25" s="491"/>
      <c r="AB25" s="491"/>
      <c r="AC25" s="25"/>
      <c r="AD25" s="25"/>
      <c r="AE25" s="19">
        <f t="shared" si="8"/>
        <v>-71.999999999998408</v>
      </c>
      <c r="AF25" s="21">
        <f t="shared" si="9"/>
        <v>0.96400000000000075</v>
      </c>
      <c r="AG25" s="489"/>
    </row>
    <row r="26" spans="1:33" ht="15.75" customHeight="1">
      <c r="A26" s="520" t="s">
        <v>57</v>
      </c>
      <c r="B26" s="42" t="s">
        <v>103</v>
      </c>
      <c r="C26" s="515" t="s">
        <v>140</v>
      </c>
      <c r="D26" s="515"/>
      <c r="E26" s="42">
        <v>50.49</v>
      </c>
      <c r="F26" s="39">
        <v>1742</v>
      </c>
      <c r="G26" s="4">
        <f t="shared" si="19"/>
        <v>87953.58</v>
      </c>
      <c r="H26" s="35" t="s">
        <v>79</v>
      </c>
      <c r="I26" s="16">
        <v>15</v>
      </c>
      <c r="J26" s="37">
        <v>2000</v>
      </c>
      <c r="K26" s="17">
        <f t="shared" si="1"/>
        <v>133.33333333333334</v>
      </c>
      <c r="L26" s="16">
        <v>15</v>
      </c>
      <c r="M26" s="18">
        <f t="shared" si="20"/>
        <v>1935.5555555555563</v>
      </c>
      <c r="N26" s="17">
        <f t="shared" si="3"/>
        <v>129.03703703703709</v>
      </c>
      <c r="O26" s="19">
        <f t="shared" si="4"/>
        <v>0</v>
      </c>
      <c r="P26" s="20">
        <f t="shared" si="5"/>
        <v>-4.2962962962962479</v>
      </c>
      <c r="Q26" s="21">
        <f t="shared" si="6"/>
        <v>0.96777777777777818</v>
      </c>
      <c r="R26" s="489"/>
      <c r="S26" s="40">
        <v>0.70833333333333337</v>
      </c>
      <c r="T26" s="40">
        <v>0.74583333333333335</v>
      </c>
      <c r="U26" s="4" t="str">
        <f t="shared" si="22"/>
        <v/>
      </c>
      <c r="V26" s="22">
        <f t="shared" si="21"/>
        <v>53.999999999999972</v>
      </c>
      <c r="W26" s="23"/>
      <c r="X26" s="28"/>
      <c r="Y26" s="28"/>
      <c r="Z26" s="28"/>
      <c r="AA26" s="491"/>
      <c r="AB26" s="491"/>
      <c r="AC26" s="25"/>
      <c r="AD26" s="25"/>
      <c r="AE26" s="19">
        <f t="shared" si="8"/>
        <v>-64.444444444443661</v>
      </c>
      <c r="AF26" s="21">
        <f t="shared" si="9"/>
        <v>0.96777777777777818</v>
      </c>
      <c r="AG26" s="489"/>
    </row>
    <row r="27" spans="1:33" ht="15.75" customHeight="1">
      <c r="A27" s="520" t="s">
        <v>56</v>
      </c>
      <c r="B27" s="42" t="s">
        <v>103</v>
      </c>
      <c r="C27" s="515" t="s">
        <v>141</v>
      </c>
      <c r="D27" s="515"/>
      <c r="E27" s="42">
        <v>57.73</v>
      </c>
      <c r="F27" s="39">
        <v>1085</v>
      </c>
      <c r="G27" s="4">
        <f t="shared" si="19"/>
        <v>62637.049999999996</v>
      </c>
      <c r="H27" s="35" t="s">
        <v>79</v>
      </c>
      <c r="I27" s="16">
        <v>16</v>
      </c>
      <c r="J27" s="37">
        <v>1500</v>
      </c>
      <c r="K27" s="17">
        <f t="shared" si="1"/>
        <v>93.75</v>
      </c>
      <c r="L27" s="16">
        <v>16</v>
      </c>
      <c r="M27" s="18">
        <f t="shared" si="20"/>
        <v>1446.6666666666667</v>
      </c>
      <c r="N27" s="17">
        <f t="shared" si="3"/>
        <v>90.416666666666671</v>
      </c>
      <c r="O27" s="19">
        <f t="shared" si="4"/>
        <v>0</v>
      </c>
      <c r="P27" s="20">
        <f t="shared" si="5"/>
        <v>-3.3333333333333286</v>
      </c>
      <c r="Q27" s="21">
        <f t="shared" si="6"/>
        <v>0.96444444444444455</v>
      </c>
      <c r="R27" s="489"/>
      <c r="S27" s="40">
        <v>0.74930555555555556</v>
      </c>
      <c r="T27" s="40">
        <v>0.78055555555555556</v>
      </c>
      <c r="U27" s="4">
        <f t="shared" si="22"/>
        <v>4.9999999999999822</v>
      </c>
      <c r="V27" s="22">
        <f t="shared" si="21"/>
        <v>45</v>
      </c>
      <c r="W27" s="23"/>
      <c r="X27" s="28"/>
      <c r="Y27" s="29"/>
      <c r="Z27" s="29"/>
      <c r="AA27" s="503"/>
      <c r="AB27" s="504"/>
      <c r="AC27" s="25"/>
      <c r="AD27" s="25"/>
      <c r="AE27" s="19">
        <f t="shared" si="8"/>
        <v>-53.333333333333258</v>
      </c>
      <c r="AF27" s="21">
        <f t="shared" si="9"/>
        <v>0.96444444444444455</v>
      </c>
      <c r="AG27" s="489"/>
    </row>
    <row r="28" spans="1:33" ht="15.75" customHeight="1">
      <c r="A28" s="520" t="s">
        <v>56</v>
      </c>
      <c r="B28" s="42" t="s">
        <v>103</v>
      </c>
      <c r="C28" s="521" t="s">
        <v>142</v>
      </c>
      <c r="D28" s="522"/>
      <c r="E28" s="42">
        <v>53.68</v>
      </c>
      <c r="F28" s="39">
        <v>1877</v>
      </c>
      <c r="G28" s="4">
        <f t="shared" si="19"/>
        <v>100757.36</v>
      </c>
      <c r="H28" s="35" t="s">
        <v>79</v>
      </c>
      <c r="I28" s="16">
        <v>16</v>
      </c>
      <c r="J28" s="37">
        <v>1500</v>
      </c>
      <c r="K28" s="17">
        <f t="shared" si="1"/>
        <v>93.75</v>
      </c>
      <c r="L28" s="16">
        <v>16</v>
      </c>
      <c r="M28" s="18">
        <f t="shared" si="20"/>
        <v>1443.8461538461531</v>
      </c>
      <c r="N28" s="17">
        <f t="shared" si="3"/>
        <v>90.240384615384571</v>
      </c>
      <c r="O28" s="19">
        <f t="shared" si="4"/>
        <v>0</v>
      </c>
      <c r="P28" s="20">
        <f t="shared" si="5"/>
        <v>-3.5096153846154294</v>
      </c>
      <c r="Q28" s="21">
        <f t="shared" si="6"/>
        <v>0.96256410256410208</v>
      </c>
      <c r="R28" s="489"/>
      <c r="S28" s="40">
        <v>0.78402777777777777</v>
      </c>
      <c r="T28" s="40">
        <v>0.83819444444444446</v>
      </c>
      <c r="U28" s="4">
        <f t="shared" si="22"/>
        <v>4.9999999999999822</v>
      </c>
      <c r="V28" s="22">
        <f t="shared" si="21"/>
        <v>78.000000000000043</v>
      </c>
      <c r="W28" s="23"/>
      <c r="X28" s="23"/>
      <c r="Y28" s="26"/>
      <c r="Z28" s="26"/>
      <c r="AA28" s="503"/>
      <c r="AB28" s="504"/>
      <c r="AC28" s="25"/>
      <c r="AD28" s="25"/>
      <c r="AE28" s="19">
        <f t="shared" si="8"/>
        <v>-56.153846153846871</v>
      </c>
      <c r="AF28" s="21">
        <f t="shared" si="9"/>
        <v>0.96256410256410208</v>
      </c>
      <c r="AG28" s="489"/>
    </row>
    <row r="29" spans="1:33" ht="15.75" customHeight="1">
      <c r="A29" s="520" t="s">
        <v>56</v>
      </c>
      <c r="B29" s="42" t="s">
        <v>49</v>
      </c>
      <c r="C29" s="494"/>
      <c r="D29" s="494"/>
      <c r="E29" s="43"/>
      <c r="F29" s="39"/>
      <c r="G29" s="4"/>
      <c r="H29" s="36"/>
      <c r="I29" s="30">
        <v>16</v>
      </c>
      <c r="J29" s="37">
        <v>1875</v>
      </c>
      <c r="K29" s="17">
        <f t="shared" ref="K29:K53" si="23">J29/I29</f>
        <v>117.1875</v>
      </c>
      <c r="L29" s="30">
        <v>16</v>
      </c>
      <c r="M29" s="18">
        <f>AVERAGE(M21:M28)</f>
        <v>1807.6077405569342</v>
      </c>
      <c r="N29" s="17">
        <f t="shared" ref="N29:N53" si="24">M29/L29</f>
        <v>112.97548378480839</v>
      </c>
      <c r="O29" s="19">
        <f t="shared" ref="O29:O53" si="25">L29-I29</f>
        <v>0</v>
      </c>
      <c r="P29" s="20">
        <f t="shared" ref="P29:P53" si="26">N29-K29</f>
        <v>-4.2120162151916105</v>
      </c>
      <c r="Q29" s="21">
        <f t="shared" ref="Q29:Q53" si="27">N29/K29</f>
        <v>0.96405746163036488</v>
      </c>
      <c r="R29" s="489"/>
      <c r="S29" s="40"/>
      <c r="T29" s="40"/>
      <c r="U29" s="17"/>
      <c r="V29" s="22"/>
      <c r="W29" s="17"/>
      <c r="X29" s="17"/>
      <c r="Y29" s="31">
        <f>SUM(Y21:Y28)</f>
        <v>0</v>
      </c>
      <c r="Z29" s="31">
        <f>SUM(Z21:Z28)</f>
        <v>0</v>
      </c>
      <c r="AA29" s="495"/>
      <c r="AB29" s="495"/>
      <c r="AC29" s="31">
        <f>SUM(AC21:AC28)</f>
        <v>3</v>
      </c>
      <c r="AD29" s="31">
        <f>SUM(AD21:AD28)</f>
        <v>0</v>
      </c>
      <c r="AE29" s="19">
        <f t="shared" ref="AE29:AE53" si="28">M29-J29</f>
        <v>-67.392259443065768</v>
      </c>
      <c r="AF29" s="21">
        <f t="shared" ref="AF29:AF53" si="29">M29/J29</f>
        <v>0.96405746163036488</v>
      </c>
      <c r="AG29" s="489"/>
    </row>
    <row r="30" spans="1:33" ht="15.75" customHeight="1">
      <c r="A30" s="518" t="s">
        <v>59</v>
      </c>
      <c r="B30" s="42" t="s">
        <v>80</v>
      </c>
      <c r="C30" s="515" t="s">
        <v>81</v>
      </c>
      <c r="D30" s="515"/>
      <c r="E30" s="42">
        <v>31.29</v>
      </c>
      <c r="F30" s="39">
        <v>4600</v>
      </c>
      <c r="G30" s="4">
        <f t="shared" ref="G30:G35" si="30">E30*F30</f>
        <v>143934</v>
      </c>
      <c r="H30" s="35">
        <v>2</v>
      </c>
      <c r="I30" s="16">
        <v>18</v>
      </c>
      <c r="J30" s="37">
        <v>2400</v>
      </c>
      <c r="K30" s="17">
        <f t="shared" si="23"/>
        <v>133.33333333333334</v>
      </c>
      <c r="L30" s="16">
        <v>18</v>
      </c>
      <c r="M30" s="18">
        <f t="shared" ref="M30:M35" si="31">F30/V30*60</f>
        <v>2300</v>
      </c>
      <c r="N30" s="17">
        <f t="shared" si="24"/>
        <v>127.77777777777777</v>
      </c>
      <c r="O30" s="19">
        <f t="shared" si="25"/>
        <v>0</v>
      </c>
      <c r="P30" s="20">
        <f t="shared" si="26"/>
        <v>-5.5555555555555713</v>
      </c>
      <c r="Q30" s="21">
        <f t="shared" si="27"/>
        <v>0.95833333333333326</v>
      </c>
      <c r="R30" s="489">
        <f>Q36</f>
        <v>0.95692385912094846</v>
      </c>
      <c r="S30" s="40">
        <v>8.3333333333333329E-2</v>
      </c>
      <c r="T30" s="40">
        <v>0.16666666666666666</v>
      </c>
      <c r="U30" s="4"/>
      <c r="V30" s="22">
        <f t="shared" ref="V30:V35" si="32">(T30-S30)*24*60</f>
        <v>120</v>
      </c>
      <c r="W30" s="23">
        <f>T30</f>
        <v>0.16666666666666666</v>
      </c>
      <c r="X30" s="23">
        <f>S31</f>
        <v>0.1875</v>
      </c>
      <c r="Y30" s="23"/>
      <c r="Z30" s="23"/>
      <c r="AA30" s="491"/>
      <c r="AB30" s="491"/>
      <c r="AC30" s="25">
        <v>7</v>
      </c>
      <c r="AD30" s="25"/>
      <c r="AE30" s="19">
        <f t="shared" si="28"/>
        <v>-100</v>
      </c>
      <c r="AF30" s="21">
        <f t="shared" si="29"/>
        <v>0.95833333333333337</v>
      </c>
      <c r="AG30" s="489">
        <f>AF36</f>
        <v>0.95692385912094857</v>
      </c>
    </row>
    <row r="31" spans="1:33" ht="15.75" customHeight="1">
      <c r="A31" s="518" t="s">
        <v>59</v>
      </c>
      <c r="B31" s="42" t="s">
        <v>80</v>
      </c>
      <c r="C31" s="515" t="s">
        <v>82</v>
      </c>
      <c r="D31" s="515"/>
      <c r="E31" s="42">
        <v>26.2</v>
      </c>
      <c r="F31" s="39">
        <v>4450</v>
      </c>
      <c r="G31" s="4">
        <f t="shared" si="30"/>
        <v>116590</v>
      </c>
      <c r="H31" s="35" t="s">
        <v>79</v>
      </c>
      <c r="I31" s="16">
        <v>20</v>
      </c>
      <c r="J31" s="37">
        <v>2400</v>
      </c>
      <c r="K31" s="17">
        <f t="shared" si="23"/>
        <v>120</v>
      </c>
      <c r="L31" s="16">
        <v>20</v>
      </c>
      <c r="M31" s="18">
        <f t="shared" si="31"/>
        <v>2301.7241379310349</v>
      </c>
      <c r="N31" s="17">
        <f t="shared" si="24"/>
        <v>115.08620689655174</v>
      </c>
      <c r="O31" s="19">
        <f t="shared" si="25"/>
        <v>0</v>
      </c>
      <c r="P31" s="20">
        <f t="shared" si="26"/>
        <v>-4.9137931034482563</v>
      </c>
      <c r="Q31" s="21">
        <f t="shared" si="27"/>
        <v>0.95905172413793116</v>
      </c>
      <c r="R31" s="489"/>
      <c r="S31" s="40">
        <v>0.1875</v>
      </c>
      <c r="T31" s="40">
        <v>0.26805555555555555</v>
      </c>
      <c r="U31" s="4">
        <f t="shared" ref="U31:U35" si="33">(S31-T30)*24*60</f>
        <v>30.000000000000014</v>
      </c>
      <c r="V31" s="22">
        <f t="shared" si="32"/>
        <v>115.99999999999999</v>
      </c>
      <c r="W31" s="23"/>
      <c r="X31" s="23"/>
      <c r="Y31" s="23"/>
      <c r="Z31" s="23"/>
      <c r="AA31" s="491"/>
      <c r="AB31" s="491"/>
      <c r="AC31" s="25"/>
      <c r="AD31" s="25"/>
      <c r="AE31" s="19">
        <f t="shared" si="28"/>
        <v>-98.275862068965125</v>
      </c>
      <c r="AF31" s="21">
        <f t="shared" si="29"/>
        <v>0.95905172413793116</v>
      </c>
      <c r="AG31" s="489"/>
    </row>
    <row r="32" spans="1:33" ht="15.75" customHeight="1">
      <c r="A32" s="518" t="s">
        <v>59</v>
      </c>
      <c r="B32" s="42" t="s">
        <v>80</v>
      </c>
      <c r="C32" s="515" t="s">
        <v>83</v>
      </c>
      <c r="D32" s="515"/>
      <c r="E32" s="42">
        <v>25.99</v>
      </c>
      <c r="F32" s="39">
        <v>4187</v>
      </c>
      <c r="G32" s="4">
        <f t="shared" si="30"/>
        <v>108820.12999999999</v>
      </c>
      <c r="H32" s="35" t="s">
        <v>79</v>
      </c>
      <c r="I32" s="16">
        <v>14</v>
      </c>
      <c r="J32" s="37">
        <v>2400</v>
      </c>
      <c r="K32" s="17">
        <f t="shared" si="23"/>
        <v>171.42857142857142</v>
      </c>
      <c r="L32" s="16">
        <v>14</v>
      </c>
      <c r="M32" s="18">
        <f t="shared" si="31"/>
        <v>2304.7706422018346</v>
      </c>
      <c r="N32" s="17">
        <f t="shared" si="24"/>
        <v>164.62647444298818</v>
      </c>
      <c r="O32" s="19">
        <f t="shared" si="25"/>
        <v>0</v>
      </c>
      <c r="P32" s="20">
        <f t="shared" si="26"/>
        <v>-6.8020969855832334</v>
      </c>
      <c r="Q32" s="21">
        <f t="shared" si="27"/>
        <v>0.96032110091743117</v>
      </c>
      <c r="R32" s="489"/>
      <c r="S32" s="40">
        <v>0.27152777777777776</v>
      </c>
      <c r="T32" s="40">
        <v>0.34722222222222221</v>
      </c>
      <c r="U32" s="4">
        <f t="shared" si="33"/>
        <v>4.9999999999999822</v>
      </c>
      <c r="V32" s="22">
        <f t="shared" si="32"/>
        <v>109.00000000000001</v>
      </c>
      <c r="W32" s="23"/>
      <c r="X32" s="23"/>
      <c r="Y32" s="23"/>
      <c r="Z32" s="23"/>
      <c r="AA32" s="491"/>
      <c r="AB32" s="491"/>
      <c r="AC32" s="25"/>
      <c r="AD32" s="25"/>
      <c r="AE32" s="19">
        <f t="shared" si="28"/>
        <v>-95.229357798165438</v>
      </c>
      <c r="AF32" s="21">
        <f t="shared" si="29"/>
        <v>0.96032110091743106</v>
      </c>
      <c r="AG32" s="489"/>
    </row>
    <row r="33" spans="1:33" ht="15.75" customHeight="1">
      <c r="A33" s="518" t="s">
        <v>59</v>
      </c>
      <c r="B33" s="42" t="s">
        <v>80</v>
      </c>
      <c r="C33" s="515" t="s">
        <v>84</v>
      </c>
      <c r="D33" s="515"/>
      <c r="E33" s="42">
        <v>20.52</v>
      </c>
      <c r="F33" s="39">
        <v>4001</v>
      </c>
      <c r="G33" s="4">
        <f t="shared" si="30"/>
        <v>82100.52</v>
      </c>
      <c r="H33" s="35" t="s">
        <v>79</v>
      </c>
      <c r="I33" s="16">
        <v>18</v>
      </c>
      <c r="J33" s="37">
        <v>2400</v>
      </c>
      <c r="K33" s="17">
        <f t="shared" si="23"/>
        <v>133.33333333333334</v>
      </c>
      <c r="L33" s="16">
        <v>18</v>
      </c>
      <c r="M33" s="18">
        <f t="shared" si="31"/>
        <v>2286.2857142857138</v>
      </c>
      <c r="N33" s="17">
        <f t="shared" si="24"/>
        <v>127.01587301587298</v>
      </c>
      <c r="O33" s="19">
        <f t="shared" si="25"/>
        <v>0</v>
      </c>
      <c r="P33" s="20">
        <f t="shared" si="26"/>
        <v>-6.317460317460359</v>
      </c>
      <c r="Q33" s="21">
        <f t="shared" si="27"/>
        <v>0.95261904761904737</v>
      </c>
      <c r="R33" s="489"/>
      <c r="S33" s="40">
        <v>0.3520833333333333</v>
      </c>
      <c r="T33" s="40">
        <v>0.42499999999999999</v>
      </c>
      <c r="U33" s="4">
        <f t="shared" si="33"/>
        <v>6.9999999999999751</v>
      </c>
      <c r="V33" s="22">
        <f t="shared" si="32"/>
        <v>105.00000000000003</v>
      </c>
      <c r="W33" s="23"/>
      <c r="X33" s="23"/>
      <c r="Y33" s="23"/>
      <c r="Z33" s="23"/>
      <c r="AA33" s="491"/>
      <c r="AB33" s="491"/>
      <c r="AC33" s="25"/>
      <c r="AD33" s="25"/>
      <c r="AE33" s="19">
        <f t="shared" si="28"/>
        <v>-113.71428571428623</v>
      </c>
      <c r="AF33" s="21">
        <f t="shared" si="29"/>
        <v>0.95261904761904737</v>
      </c>
      <c r="AG33" s="489"/>
    </row>
    <row r="34" spans="1:33" ht="15.75" customHeight="1">
      <c r="A34" s="518" t="s">
        <v>59</v>
      </c>
      <c r="B34" s="42" t="s">
        <v>80</v>
      </c>
      <c r="C34" s="515" t="s">
        <v>85</v>
      </c>
      <c r="D34" s="515"/>
      <c r="E34" s="42">
        <v>25.98</v>
      </c>
      <c r="F34" s="39">
        <v>3475</v>
      </c>
      <c r="G34" s="4">
        <f t="shared" si="30"/>
        <v>90280.5</v>
      </c>
      <c r="H34" s="35" t="s">
        <v>79</v>
      </c>
      <c r="I34" s="16">
        <v>21</v>
      </c>
      <c r="J34" s="37">
        <v>2400</v>
      </c>
      <c r="K34" s="17">
        <f t="shared" si="23"/>
        <v>114.28571428571429</v>
      </c>
      <c r="L34" s="16">
        <v>21</v>
      </c>
      <c r="M34" s="18">
        <f t="shared" si="31"/>
        <v>2291.2087912087914</v>
      </c>
      <c r="N34" s="17">
        <f t="shared" si="24"/>
        <v>109.10518053375196</v>
      </c>
      <c r="O34" s="19">
        <f t="shared" si="25"/>
        <v>0</v>
      </c>
      <c r="P34" s="20">
        <f t="shared" si="26"/>
        <v>-5.1805337519623293</v>
      </c>
      <c r="Q34" s="21">
        <f t="shared" si="27"/>
        <v>0.95467032967032961</v>
      </c>
      <c r="R34" s="489"/>
      <c r="S34" s="40">
        <v>0.42916666666666664</v>
      </c>
      <c r="T34" s="40">
        <v>0.49236111111111108</v>
      </c>
      <c r="U34" s="4">
        <f t="shared" si="33"/>
        <v>5.9999999999999787</v>
      </c>
      <c r="V34" s="22">
        <f t="shared" si="32"/>
        <v>91</v>
      </c>
      <c r="W34" s="23">
        <f>T34</f>
        <v>0.49236111111111108</v>
      </c>
      <c r="X34" s="23">
        <f>S35</f>
        <v>0.53263888888888888</v>
      </c>
      <c r="Y34" s="23"/>
      <c r="Z34" s="23"/>
      <c r="AA34" s="491"/>
      <c r="AB34" s="491"/>
      <c r="AC34" s="25"/>
      <c r="AD34" s="25"/>
      <c r="AE34" s="19">
        <f t="shared" si="28"/>
        <v>-108.79120879120865</v>
      </c>
      <c r="AF34" s="21">
        <f t="shared" si="29"/>
        <v>0.95467032967032972</v>
      </c>
      <c r="AG34" s="489"/>
    </row>
    <row r="35" spans="1:33" ht="15.75" customHeight="1">
      <c r="A35" s="518" t="s">
        <v>59</v>
      </c>
      <c r="B35" s="42" t="s">
        <v>80</v>
      </c>
      <c r="C35" s="515" t="s">
        <v>81</v>
      </c>
      <c r="D35" s="515"/>
      <c r="E35" s="42">
        <v>31.29</v>
      </c>
      <c r="F35" s="39">
        <v>3214</v>
      </c>
      <c r="G35" s="4">
        <f t="shared" si="30"/>
        <v>100566.06</v>
      </c>
      <c r="H35" s="35" t="s">
        <v>79</v>
      </c>
      <c r="I35" s="16">
        <v>18</v>
      </c>
      <c r="J35" s="37">
        <v>2400</v>
      </c>
      <c r="K35" s="17">
        <f t="shared" si="23"/>
        <v>133.33333333333334</v>
      </c>
      <c r="L35" s="16">
        <v>18</v>
      </c>
      <c r="M35" s="18">
        <f t="shared" si="31"/>
        <v>2295.7142857142853</v>
      </c>
      <c r="N35" s="17">
        <f t="shared" si="24"/>
        <v>127.53968253968252</v>
      </c>
      <c r="O35" s="19">
        <f t="shared" si="25"/>
        <v>0</v>
      </c>
      <c r="P35" s="20">
        <f t="shared" si="26"/>
        <v>-5.7936507936508264</v>
      </c>
      <c r="Q35" s="21">
        <f t="shared" si="27"/>
        <v>0.95654761904761876</v>
      </c>
      <c r="R35" s="489"/>
      <c r="S35" s="40">
        <v>0.53263888888888888</v>
      </c>
      <c r="T35" s="40">
        <v>0.59097222222222223</v>
      </c>
      <c r="U35" s="4">
        <f t="shared" si="33"/>
        <v>58.000000000000036</v>
      </c>
      <c r="V35" s="22">
        <f t="shared" si="32"/>
        <v>84.000000000000028</v>
      </c>
      <c r="W35" s="23"/>
      <c r="X35" s="23"/>
      <c r="Y35" s="23"/>
      <c r="Z35" s="23"/>
      <c r="AA35" s="491"/>
      <c r="AB35" s="491"/>
      <c r="AC35" s="25"/>
      <c r="AD35" s="25"/>
      <c r="AE35" s="19">
        <f t="shared" si="28"/>
        <v>-104.28571428571468</v>
      </c>
      <c r="AF35" s="21">
        <f t="shared" si="29"/>
        <v>0.95654761904761887</v>
      </c>
      <c r="AG35" s="489"/>
    </row>
    <row r="36" spans="1:33" ht="15.75" customHeight="1">
      <c r="A36" s="518" t="s">
        <v>60</v>
      </c>
      <c r="B36" s="42" t="s">
        <v>49</v>
      </c>
      <c r="C36" s="494"/>
      <c r="D36" s="494"/>
      <c r="E36" s="43"/>
      <c r="F36" s="39"/>
      <c r="G36" s="4"/>
      <c r="H36" s="36"/>
      <c r="I36" s="30">
        <v>18.166666666666668</v>
      </c>
      <c r="J36" s="37">
        <v>2400</v>
      </c>
      <c r="K36" s="17">
        <f t="shared" si="23"/>
        <v>132.11009174311926</v>
      </c>
      <c r="L36" s="30">
        <v>18.166666666666668</v>
      </c>
      <c r="M36" s="18">
        <f>AVERAGE(M30:M35)</f>
        <v>2296.6172618902765</v>
      </c>
      <c r="N36" s="17">
        <f t="shared" si="24"/>
        <v>126.41929881964823</v>
      </c>
      <c r="O36" s="19">
        <f t="shared" si="25"/>
        <v>0</v>
      </c>
      <c r="P36" s="20">
        <f t="shared" si="26"/>
        <v>-5.6907929234710224</v>
      </c>
      <c r="Q36" s="21">
        <f t="shared" si="27"/>
        <v>0.95692385912094846</v>
      </c>
      <c r="R36" s="489"/>
      <c r="S36" s="40"/>
      <c r="T36" s="40"/>
      <c r="U36" s="4"/>
      <c r="V36" s="22"/>
      <c r="W36" s="4"/>
      <c r="X36" s="4"/>
      <c r="Y36" s="31">
        <f>SUM(Y30:Y35)</f>
        <v>0</v>
      </c>
      <c r="Z36" s="31">
        <f>SUM(Z30:Z35)</f>
        <v>0</v>
      </c>
      <c r="AA36" s="495"/>
      <c r="AB36" s="495"/>
      <c r="AC36" s="31">
        <f>SUM(AC30:AC35)</f>
        <v>7</v>
      </c>
      <c r="AD36" s="31">
        <f>SUM(AD30:AD35)</f>
        <v>0</v>
      </c>
      <c r="AE36" s="19">
        <f t="shared" si="28"/>
        <v>-103.3827381097235</v>
      </c>
      <c r="AF36" s="21">
        <f t="shared" si="29"/>
        <v>0.95692385912094857</v>
      </c>
      <c r="AG36" s="489"/>
    </row>
    <row r="37" spans="1:33" ht="15.75" customHeight="1">
      <c r="A37" s="516" t="s">
        <v>61</v>
      </c>
      <c r="B37" s="42" t="s">
        <v>80</v>
      </c>
      <c r="C37" s="490" t="s">
        <v>86</v>
      </c>
      <c r="D37" s="490"/>
      <c r="E37" s="42">
        <v>22.69</v>
      </c>
      <c r="F37" s="39">
        <v>1045</v>
      </c>
      <c r="G37" s="4">
        <f t="shared" ref="G37:G43" si="34">E37*F37</f>
        <v>23711.050000000003</v>
      </c>
      <c r="H37" s="35" t="s">
        <v>79</v>
      </c>
      <c r="I37" s="16">
        <v>15</v>
      </c>
      <c r="J37" s="37">
        <v>2400</v>
      </c>
      <c r="K37" s="17">
        <f t="shared" si="23"/>
        <v>160</v>
      </c>
      <c r="L37" s="16">
        <v>15</v>
      </c>
      <c r="M37" s="18">
        <f t="shared" ref="M37:M43" si="35">F37/V37*60</f>
        <v>2322.2222222222217</v>
      </c>
      <c r="N37" s="17">
        <f t="shared" si="24"/>
        <v>154.81481481481478</v>
      </c>
      <c r="O37" s="19">
        <f t="shared" si="25"/>
        <v>0</v>
      </c>
      <c r="P37" s="20">
        <f t="shared" si="26"/>
        <v>-5.1851851851852189</v>
      </c>
      <c r="Q37" s="21">
        <f t="shared" si="27"/>
        <v>0.96759259259259234</v>
      </c>
      <c r="R37" s="489">
        <f>Q44</f>
        <v>0.95650990464585428</v>
      </c>
      <c r="S37" s="40">
        <v>8.3333333333333329E-2</v>
      </c>
      <c r="T37" s="40">
        <v>0.10208333333333333</v>
      </c>
      <c r="U37" s="4"/>
      <c r="V37" s="22">
        <f t="shared" ref="V37:V43" si="36">(T37-S37)*24*60</f>
        <v>27.000000000000004</v>
      </c>
      <c r="W37" s="28">
        <f>T37</f>
        <v>0.10208333333333333</v>
      </c>
      <c r="X37" s="28">
        <f>S38</f>
        <v>0.12222222222222222</v>
      </c>
      <c r="Y37" s="28"/>
      <c r="Z37" s="28"/>
      <c r="AA37" s="491"/>
      <c r="AB37" s="491"/>
      <c r="AC37" s="25">
        <v>6</v>
      </c>
      <c r="AD37" s="25"/>
      <c r="AE37" s="19">
        <f t="shared" si="28"/>
        <v>-77.777777777778283</v>
      </c>
      <c r="AF37" s="21">
        <f t="shared" si="29"/>
        <v>0.96759259259259234</v>
      </c>
      <c r="AG37" s="489">
        <f>AF44</f>
        <v>0.95650990464585428</v>
      </c>
    </row>
    <row r="38" spans="1:33" ht="15.75" customHeight="1">
      <c r="A38" s="516" t="s">
        <v>62</v>
      </c>
      <c r="B38" s="42" t="s">
        <v>80</v>
      </c>
      <c r="C38" s="490" t="s">
        <v>87</v>
      </c>
      <c r="D38" s="490"/>
      <c r="E38" s="42">
        <v>26.2</v>
      </c>
      <c r="F38" s="39">
        <v>5654</v>
      </c>
      <c r="G38" s="4">
        <f t="shared" si="34"/>
        <v>148134.79999999999</v>
      </c>
      <c r="H38" s="35" t="s">
        <v>79</v>
      </c>
      <c r="I38" s="16">
        <v>18</v>
      </c>
      <c r="J38" s="37">
        <v>2400</v>
      </c>
      <c r="K38" s="17">
        <f t="shared" si="23"/>
        <v>133.33333333333334</v>
      </c>
      <c r="L38" s="16">
        <v>18</v>
      </c>
      <c r="M38" s="18">
        <f t="shared" si="35"/>
        <v>2292.1621621621621</v>
      </c>
      <c r="N38" s="17">
        <f t="shared" si="24"/>
        <v>127.34234234234233</v>
      </c>
      <c r="O38" s="19">
        <f t="shared" si="25"/>
        <v>0</v>
      </c>
      <c r="P38" s="20">
        <f t="shared" si="26"/>
        <v>-5.9909909909910084</v>
      </c>
      <c r="Q38" s="21">
        <f t="shared" si="27"/>
        <v>0.95506756756756739</v>
      </c>
      <c r="R38" s="489"/>
      <c r="S38" s="40">
        <v>0.12222222222222222</v>
      </c>
      <c r="T38" s="40">
        <v>0.22500000000000001</v>
      </c>
      <c r="U38" s="4">
        <f t="shared" ref="U38:U43" si="37">(S38-T37)*24*60</f>
        <v>28.999999999999996</v>
      </c>
      <c r="V38" s="22">
        <f t="shared" si="36"/>
        <v>148</v>
      </c>
      <c r="W38" s="4"/>
      <c r="X38" s="4"/>
      <c r="Y38" s="4"/>
      <c r="Z38" s="4"/>
      <c r="AA38" s="491"/>
      <c r="AB38" s="491"/>
      <c r="AC38" s="25"/>
      <c r="AD38" s="25"/>
      <c r="AE38" s="19">
        <f t="shared" si="28"/>
        <v>-107.83783783783792</v>
      </c>
      <c r="AF38" s="21">
        <f t="shared" si="29"/>
        <v>0.9550675675675675</v>
      </c>
      <c r="AG38" s="489"/>
    </row>
    <row r="39" spans="1:33">
      <c r="A39" s="517" t="s">
        <v>62</v>
      </c>
      <c r="B39" s="42" t="s">
        <v>80</v>
      </c>
      <c r="C39" s="490" t="s">
        <v>88</v>
      </c>
      <c r="D39" s="490"/>
      <c r="E39" s="42">
        <v>26.18</v>
      </c>
      <c r="F39" s="39">
        <v>2267</v>
      </c>
      <c r="G39" s="4">
        <f t="shared" si="34"/>
        <v>59350.06</v>
      </c>
      <c r="H39" s="35" t="s">
        <v>79</v>
      </c>
      <c r="I39" s="16">
        <v>19</v>
      </c>
      <c r="J39" s="37">
        <v>2400</v>
      </c>
      <c r="K39" s="17">
        <f t="shared" si="23"/>
        <v>126.31578947368421</v>
      </c>
      <c r="L39" s="16">
        <v>19</v>
      </c>
      <c r="M39" s="18">
        <f t="shared" si="35"/>
        <v>2305.4237288135582</v>
      </c>
      <c r="N39" s="17">
        <f t="shared" si="24"/>
        <v>121.33809099018727</v>
      </c>
      <c r="O39" s="19">
        <f t="shared" si="25"/>
        <v>0</v>
      </c>
      <c r="P39" s="20">
        <f t="shared" si="26"/>
        <v>-4.9776984834969369</v>
      </c>
      <c r="Q39" s="21">
        <f t="shared" si="27"/>
        <v>0.96059322033898253</v>
      </c>
      <c r="R39" s="489"/>
      <c r="S39" s="40">
        <v>0.23055555555555557</v>
      </c>
      <c r="T39" s="40">
        <v>0.27152777777777781</v>
      </c>
      <c r="U39" s="4">
        <f t="shared" si="37"/>
        <v>8.0000000000000107</v>
      </c>
      <c r="V39" s="22">
        <f t="shared" si="36"/>
        <v>59.000000000000028</v>
      </c>
      <c r="W39" s="4"/>
      <c r="X39" s="4"/>
      <c r="Y39" s="4"/>
      <c r="Z39" s="4"/>
      <c r="AA39" s="491"/>
      <c r="AB39" s="491"/>
      <c r="AC39" s="25"/>
      <c r="AD39" s="25"/>
      <c r="AE39" s="19">
        <f t="shared" si="28"/>
        <v>-94.576271186441772</v>
      </c>
      <c r="AF39" s="21">
        <f t="shared" si="29"/>
        <v>0.96059322033898265</v>
      </c>
      <c r="AG39" s="489"/>
    </row>
    <row r="40" spans="1:33">
      <c r="A40" s="517" t="s">
        <v>62</v>
      </c>
      <c r="B40" s="42" t="s">
        <v>80</v>
      </c>
      <c r="C40" s="490" t="s">
        <v>89</v>
      </c>
      <c r="D40" s="490"/>
      <c r="E40" s="42">
        <v>26.39</v>
      </c>
      <c r="F40" s="39">
        <v>5496</v>
      </c>
      <c r="G40" s="4">
        <f t="shared" si="34"/>
        <v>145039.44</v>
      </c>
      <c r="H40" s="35" t="s">
        <v>79</v>
      </c>
      <c r="I40" s="16">
        <v>19</v>
      </c>
      <c r="J40" s="37">
        <v>2400</v>
      </c>
      <c r="K40" s="17">
        <f t="shared" si="23"/>
        <v>126.31578947368421</v>
      </c>
      <c r="L40" s="16">
        <v>19</v>
      </c>
      <c r="M40" s="18">
        <f t="shared" si="35"/>
        <v>2290.0000000000005</v>
      </c>
      <c r="N40" s="17">
        <f t="shared" si="24"/>
        <v>120.52631578947371</v>
      </c>
      <c r="O40" s="19">
        <f t="shared" si="25"/>
        <v>0</v>
      </c>
      <c r="P40" s="20">
        <f t="shared" si="26"/>
        <v>-5.7894736842104919</v>
      </c>
      <c r="Q40" s="21">
        <f t="shared" si="27"/>
        <v>0.95416666666666694</v>
      </c>
      <c r="R40" s="489"/>
      <c r="S40" s="40">
        <v>0.27569444444444446</v>
      </c>
      <c r="T40" s="40">
        <v>0.37569444444444444</v>
      </c>
      <c r="U40" s="4">
        <f t="shared" si="37"/>
        <v>5.9999999999999787</v>
      </c>
      <c r="V40" s="22">
        <f t="shared" si="36"/>
        <v>143.99999999999997</v>
      </c>
      <c r="W40" s="23"/>
      <c r="X40" s="23"/>
      <c r="Y40" s="23"/>
      <c r="Z40" s="23"/>
      <c r="AA40" s="491"/>
      <c r="AB40" s="491"/>
      <c r="AC40" s="25"/>
      <c r="AD40" s="25"/>
      <c r="AE40" s="19">
        <f t="shared" si="28"/>
        <v>-109.99999999999955</v>
      </c>
      <c r="AF40" s="21">
        <f t="shared" si="29"/>
        <v>0.95416666666666683</v>
      </c>
      <c r="AG40" s="489"/>
    </row>
    <row r="41" spans="1:33">
      <c r="A41" s="517" t="s">
        <v>63</v>
      </c>
      <c r="B41" s="42" t="s">
        <v>80</v>
      </c>
      <c r="C41" s="490" t="s">
        <v>90</v>
      </c>
      <c r="D41" s="490"/>
      <c r="E41" s="42">
        <v>22.69</v>
      </c>
      <c r="F41" s="39">
        <v>2971</v>
      </c>
      <c r="G41" s="4">
        <f t="shared" si="34"/>
        <v>67411.990000000005</v>
      </c>
      <c r="H41" s="35" t="s">
        <v>79</v>
      </c>
      <c r="I41" s="16">
        <v>15</v>
      </c>
      <c r="J41" s="37">
        <v>2400</v>
      </c>
      <c r="K41" s="17">
        <f t="shared" si="23"/>
        <v>160</v>
      </c>
      <c r="L41" s="16">
        <v>15</v>
      </c>
      <c r="M41" s="18">
        <f t="shared" si="35"/>
        <v>2285.3846153846143</v>
      </c>
      <c r="N41" s="17">
        <f t="shared" si="24"/>
        <v>152.35897435897428</v>
      </c>
      <c r="O41" s="19">
        <f t="shared" si="25"/>
        <v>0</v>
      </c>
      <c r="P41" s="20">
        <f t="shared" si="26"/>
        <v>-7.6410256410257205</v>
      </c>
      <c r="Q41" s="21">
        <f t="shared" si="27"/>
        <v>0.95224358974358925</v>
      </c>
      <c r="R41" s="489"/>
      <c r="S41" s="40">
        <v>0.38124999999999998</v>
      </c>
      <c r="T41" s="40">
        <v>0.43541666666666667</v>
      </c>
      <c r="U41" s="4">
        <f t="shared" si="37"/>
        <v>7.9999999999999716</v>
      </c>
      <c r="V41" s="22">
        <f t="shared" si="36"/>
        <v>78.000000000000043</v>
      </c>
      <c r="W41" s="23"/>
      <c r="X41" s="23"/>
      <c r="Y41" s="23"/>
      <c r="Z41" s="23"/>
      <c r="AA41" s="491"/>
      <c r="AB41" s="491"/>
      <c r="AC41" s="25"/>
      <c r="AD41" s="25"/>
      <c r="AE41" s="19">
        <f t="shared" si="28"/>
        <v>-114.61538461538566</v>
      </c>
      <c r="AF41" s="21">
        <f t="shared" si="29"/>
        <v>0.95224358974358936</v>
      </c>
      <c r="AG41" s="489"/>
    </row>
    <row r="42" spans="1:33">
      <c r="A42" s="517" t="s">
        <v>63</v>
      </c>
      <c r="B42" s="42" t="s">
        <v>80</v>
      </c>
      <c r="C42" s="490" t="s">
        <v>91</v>
      </c>
      <c r="D42" s="490"/>
      <c r="E42" s="42">
        <v>24.45</v>
      </c>
      <c r="F42" s="39">
        <v>2420</v>
      </c>
      <c r="G42" s="4">
        <f t="shared" si="34"/>
        <v>59169</v>
      </c>
      <c r="H42" s="35" t="s">
        <v>79</v>
      </c>
      <c r="I42" s="16">
        <v>20</v>
      </c>
      <c r="J42" s="37">
        <v>2400</v>
      </c>
      <c r="K42" s="17">
        <f t="shared" si="23"/>
        <v>120</v>
      </c>
      <c r="L42" s="16">
        <v>20</v>
      </c>
      <c r="M42" s="18">
        <f t="shared" si="35"/>
        <v>2304.7619047619041</v>
      </c>
      <c r="N42" s="17">
        <f t="shared" si="24"/>
        <v>115.23809523809521</v>
      </c>
      <c r="O42" s="19">
        <f t="shared" si="25"/>
        <v>0</v>
      </c>
      <c r="P42" s="20">
        <f t="shared" si="26"/>
        <v>-4.7619047619047876</v>
      </c>
      <c r="Q42" s="21">
        <f t="shared" si="27"/>
        <v>0.96031746031746013</v>
      </c>
      <c r="R42" s="489"/>
      <c r="S42" s="40">
        <v>0.43888888888888888</v>
      </c>
      <c r="T42" s="40">
        <v>0.4826388888888889</v>
      </c>
      <c r="U42" s="4">
        <f t="shared" si="37"/>
        <v>4.9999999999999822</v>
      </c>
      <c r="V42" s="22">
        <f t="shared" si="36"/>
        <v>63.000000000000014</v>
      </c>
      <c r="W42" s="23"/>
      <c r="X42" s="23"/>
      <c r="Y42" s="23"/>
      <c r="Z42" s="23"/>
      <c r="AA42" s="491"/>
      <c r="AB42" s="491"/>
      <c r="AC42" s="25"/>
      <c r="AD42" s="25"/>
      <c r="AE42" s="19">
        <f t="shared" si="28"/>
        <v>-95.238095238095866</v>
      </c>
      <c r="AF42" s="21">
        <f t="shared" si="29"/>
        <v>0.96031746031746001</v>
      </c>
      <c r="AG42" s="489"/>
    </row>
    <row r="43" spans="1:33">
      <c r="A43" s="517" t="s">
        <v>64</v>
      </c>
      <c r="B43" s="42" t="s">
        <v>80</v>
      </c>
      <c r="C43" s="490" t="s">
        <v>92</v>
      </c>
      <c r="D43" s="490"/>
      <c r="E43" s="42">
        <v>28.51</v>
      </c>
      <c r="F43" s="39">
        <v>643</v>
      </c>
      <c r="G43" s="4">
        <f t="shared" si="34"/>
        <v>18331.93</v>
      </c>
      <c r="H43" s="35" t="s">
        <v>79</v>
      </c>
      <c r="I43" s="16">
        <v>16</v>
      </c>
      <c r="J43" s="37">
        <v>2400</v>
      </c>
      <c r="K43" s="17">
        <f t="shared" si="23"/>
        <v>150</v>
      </c>
      <c r="L43" s="16">
        <v>16</v>
      </c>
      <c r="M43" s="18">
        <f t="shared" si="35"/>
        <v>2269.4117647058902</v>
      </c>
      <c r="N43" s="17">
        <f t="shared" si="24"/>
        <v>141.83823529411814</v>
      </c>
      <c r="O43" s="19">
        <f t="shared" si="25"/>
        <v>0</v>
      </c>
      <c r="P43" s="20">
        <f t="shared" si="26"/>
        <v>-8.1617647058818648</v>
      </c>
      <c r="Q43" s="21">
        <f t="shared" si="27"/>
        <v>0.94558823529412095</v>
      </c>
      <c r="R43" s="489"/>
      <c r="S43" s="40">
        <v>0.4861111111111111</v>
      </c>
      <c r="T43" s="40">
        <v>0.49791666666666662</v>
      </c>
      <c r="U43" s="4">
        <f t="shared" si="37"/>
        <v>4.9999999999999822</v>
      </c>
      <c r="V43" s="22">
        <f t="shared" si="36"/>
        <v>16.99999999999994</v>
      </c>
      <c r="W43" s="23"/>
      <c r="X43" s="23"/>
      <c r="Y43" s="26"/>
      <c r="Z43" s="26"/>
      <c r="AA43" s="503"/>
      <c r="AB43" s="504"/>
      <c r="AC43" s="25"/>
      <c r="AD43" s="25"/>
      <c r="AE43" s="19">
        <f t="shared" si="28"/>
        <v>-130.58823529410984</v>
      </c>
      <c r="AF43" s="21">
        <f t="shared" si="29"/>
        <v>0.94558823529412095</v>
      </c>
      <c r="AG43" s="489"/>
    </row>
    <row r="44" spans="1:33">
      <c r="A44" s="517" t="s">
        <v>64</v>
      </c>
      <c r="B44" s="44" t="s">
        <v>49</v>
      </c>
      <c r="C44" s="494"/>
      <c r="D44" s="494"/>
      <c r="E44" s="43"/>
      <c r="F44" s="44"/>
      <c r="G44" s="17"/>
      <c r="H44" s="36"/>
      <c r="I44" s="30">
        <v>17.428571428571427</v>
      </c>
      <c r="J44" s="37">
        <v>2400</v>
      </c>
      <c r="K44" s="17">
        <f t="shared" si="23"/>
        <v>137.70491803278691</v>
      </c>
      <c r="L44" s="30">
        <v>17.428571428571427</v>
      </c>
      <c r="M44" s="18">
        <f>AVERAGE(M37:M43)</f>
        <v>2295.6237711500503</v>
      </c>
      <c r="N44" s="17">
        <f t="shared" si="24"/>
        <v>131.71611801680618</v>
      </c>
      <c r="O44" s="19">
        <f t="shared" si="25"/>
        <v>0</v>
      </c>
      <c r="P44" s="20">
        <f t="shared" si="26"/>
        <v>-5.9888000159807291</v>
      </c>
      <c r="Q44" s="21">
        <f t="shared" si="27"/>
        <v>0.95650990464585428</v>
      </c>
      <c r="R44" s="489"/>
      <c r="S44" s="40"/>
      <c r="T44" s="40"/>
      <c r="U44" s="17"/>
      <c r="V44" s="22"/>
      <c r="W44" s="17"/>
      <c r="X44" s="17"/>
      <c r="Y44" s="31">
        <f>SUM(Y37:Y43)</f>
        <v>0</v>
      </c>
      <c r="Z44" s="31">
        <f>SUM(Z37:Z43)</f>
        <v>0</v>
      </c>
      <c r="AA44" s="495"/>
      <c r="AB44" s="495"/>
      <c r="AC44" s="31">
        <f>SUM(AC37:AC43)</f>
        <v>6</v>
      </c>
      <c r="AD44" s="31">
        <f>SUM(AD37:AD43)</f>
        <v>0</v>
      </c>
      <c r="AE44" s="19">
        <f t="shared" si="28"/>
        <v>-104.37622884994971</v>
      </c>
      <c r="AF44" s="21">
        <f t="shared" si="29"/>
        <v>0.95650990464585428</v>
      </c>
      <c r="AG44" s="489"/>
    </row>
    <row r="45" spans="1:33" ht="15.75" customHeight="1">
      <c r="A45" s="512" t="s">
        <v>65</v>
      </c>
      <c r="B45" s="42" t="s">
        <v>93</v>
      </c>
      <c r="C45" s="501" t="s">
        <v>94</v>
      </c>
      <c r="D45" s="502"/>
      <c r="E45" s="42">
        <v>21.13</v>
      </c>
      <c r="F45" s="39">
        <v>5102</v>
      </c>
      <c r="G45" s="4">
        <f t="shared" ref="G45:G50" si="38">E45*F45</f>
        <v>107805.26</v>
      </c>
      <c r="H45" s="35" t="s">
        <v>79</v>
      </c>
      <c r="I45" s="16">
        <v>10</v>
      </c>
      <c r="J45" s="37">
        <v>3000</v>
      </c>
      <c r="K45" s="17">
        <f t="shared" si="23"/>
        <v>300</v>
      </c>
      <c r="L45" s="16">
        <v>10</v>
      </c>
      <c r="M45" s="18">
        <f t="shared" ref="M45:M50" si="39">F45/V45*60</f>
        <v>2860.934579439252</v>
      </c>
      <c r="N45" s="18">
        <f t="shared" si="24"/>
        <v>286.09345794392522</v>
      </c>
      <c r="O45" s="19">
        <f t="shared" si="25"/>
        <v>0</v>
      </c>
      <c r="P45" s="20">
        <f t="shared" si="26"/>
        <v>-13.906542056074784</v>
      </c>
      <c r="Q45" s="21">
        <f t="shared" si="27"/>
        <v>0.953644859813084</v>
      </c>
      <c r="R45" s="509">
        <f>Q51</f>
        <v>0.95620447731488389</v>
      </c>
      <c r="S45" s="40">
        <v>8.3333333333333329E-2</v>
      </c>
      <c r="T45" s="40">
        <v>0.15763888888888888</v>
      </c>
      <c r="U45" s="28"/>
      <c r="V45" s="22">
        <f t="shared" ref="V45:V50" si="40">(T45-S45)*24*60</f>
        <v>107</v>
      </c>
      <c r="W45" s="23">
        <f>T45</f>
        <v>0.15763888888888888</v>
      </c>
      <c r="X45" s="23">
        <f>S46</f>
        <v>0.17777777777777778</v>
      </c>
      <c r="Y45" s="26"/>
      <c r="Z45" s="26"/>
      <c r="AA45" s="503"/>
      <c r="AB45" s="504"/>
      <c r="AC45" s="25" t="s">
        <v>79</v>
      </c>
      <c r="AD45" s="25"/>
      <c r="AE45" s="19">
        <f t="shared" si="28"/>
        <v>-139.06542056074795</v>
      </c>
      <c r="AF45" s="21">
        <f t="shared" si="29"/>
        <v>0.953644859813084</v>
      </c>
      <c r="AG45" s="509">
        <f>AF51</f>
        <v>0.956204477314884</v>
      </c>
    </row>
    <row r="46" spans="1:33" ht="15.75" customHeight="1">
      <c r="A46" s="513" t="s">
        <v>66</v>
      </c>
      <c r="B46" s="42" t="s">
        <v>93</v>
      </c>
      <c r="C46" s="501" t="s">
        <v>95</v>
      </c>
      <c r="D46" s="502"/>
      <c r="E46" s="42">
        <v>27.17</v>
      </c>
      <c r="F46" s="39">
        <v>6262</v>
      </c>
      <c r="G46" s="4">
        <f t="shared" si="38"/>
        <v>170138.54</v>
      </c>
      <c r="H46" s="35" t="s">
        <v>79</v>
      </c>
      <c r="I46" s="16">
        <v>10</v>
      </c>
      <c r="J46" s="37">
        <v>3000</v>
      </c>
      <c r="K46" s="17">
        <f t="shared" si="23"/>
        <v>300</v>
      </c>
      <c r="L46" s="16">
        <v>10</v>
      </c>
      <c r="M46" s="18">
        <f t="shared" si="39"/>
        <v>2868.0916030534354</v>
      </c>
      <c r="N46" s="18">
        <f t="shared" si="24"/>
        <v>286.80916030534354</v>
      </c>
      <c r="O46" s="19">
        <f t="shared" si="25"/>
        <v>0</v>
      </c>
      <c r="P46" s="20">
        <f t="shared" si="26"/>
        <v>-13.190839694656461</v>
      </c>
      <c r="Q46" s="21">
        <f t="shared" si="27"/>
        <v>0.95603053435114516</v>
      </c>
      <c r="R46" s="510"/>
      <c r="S46" s="40">
        <v>0.17777777777777778</v>
      </c>
      <c r="T46" s="40">
        <v>0.26874999999999999</v>
      </c>
      <c r="U46" s="4">
        <f t="shared" ref="U46:U50" si="41">(S46-T45)*24*60</f>
        <v>29.000000000000018</v>
      </c>
      <c r="V46" s="22">
        <f t="shared" si="40"/>
        <v>130.99999999999997</v>
      </c>
      <c r="W46" s="23"/>
      <c r="X46" s="23"/>
      <c r="Y46" s="26"/>
      <c r="Z46" s="26"/>
      <c r="AA46" s="503"/>
      <c r="AB46" s="504"/>
      <c r="AC46" s="25">
        <v>1</v>
      </c>
      <c r="AD46" s="25"/>
      <c r="AE46" s="19">
        <f t="shared" si="28"/>
        <v>-131.90839694656461</v>
      </c>
      <c r="AF46" s="21">
        <f t="shared" si="29"/>
        <v>0.95603053435114516</v>
      </c>
      <c r="AG46" s="510"/>
    </row>
    <row r="47" spans="1:33" ht="15.75" customHeight="1">
      <c r="A47" s="513" t="s">
        <v>65</v>
      </c>
      <c r="B47" s="42" t="s">
        <v>93</v>
      </c>
      <c r="C47" s="501" t="s">
        <v>96</v>
      </c>
      <c r="D47" s="502"/>
      <c r="E47" s="42">
        <v>35.119999999999997</v>
      </c>
      <c r="F47" s="39">
        <v>4205</v>
      </c>
      <c r="G47" s="4">
        <f t="shared" si="38"/>
        <v>147679.59999999998</v>
      </c>
      <c r="H47" s="35" t="s">
        <v>79</v>
      </c>
      <c r="I47" s="16">
        <v>10</v>
      </c>
      <c r="J47" s="37">
        <v>3000</v>
      </c>
      <c r="K47" s="17">
        <f t="shared" si="23"/>
        <v>300</v>
      </c>
      <c r="L47" s="16">
        <v>10</v>
      </c>
      <c r="M47" s="18">
        <f t="shared" si="39"/>
        <v>2867.0454545454545</v>
      </c>
      <c r="N47" s="18">
        <f t="shared" si="24"/>
        <v>286.70454545454544</v>
      </c>
      <c r="O47" s="19">
        <f t="shared" si="25"/>
        <v>0</v>
      </c>
      <c r="P47" s="20">
        <f t="shared" si="26"/>
        <v>-13.295454545454561</v>
      </c>
      <c r="Q47" s="21">
        <f t="shared" si="27"/>
        <v>0.95568181818181808</v>
      </c>
      <c r="R47" s="510"/>
      <c r="S47" s="40">
        <v>0.27430555555555552</v>
      </c>
      <c r="T47" s="40">
        <v>0.33541666666666664</v>
      </c>
      <c r="U47" s="4">
        <f t="shared" si="41"/>
        <v>7.9999999999999716</v>
      </c>
      <c r="V47" s="22">
        <f t="shared" si="40"/>
        <v>88</v>
      </c>
      <c r="W47" s="23"/>
      <c r="X47" s="23"/>
      <c r="Y47" s="26"/>
      <c r="Z47" s="26"/>
      <c r="AA47" s="503"/>
      <c r="AB47" s="504"/>
      <c r="AC47" s="25" t="s">
        <v>79</v>
      </c>
      <c r="AD47" s="25"/>
      <c r="AE47" s="19">
        <f t="shared" si="28"/>
        <v>-132.9545454545455</v>
      </c>
      <c r="AF47" s="21">
        <f t="shared" si="29"/>
        <v>0.95568181818181819</v>
      </c>
      <c r="AG47" s="510"/>
    </row>
    <row r="48" spans="1:33" ht="15.75" customHeight="1">
      <c r="A48" s="513" t="s">
        <v>66</v>
      </c>
      <c r="B48" s="42" t="s">
        <v>93</v>
      </c>
      <c r="C48" s="501" t="s">
        <v>97</v>
      </c>
      <c r="D48" s="502"/>
      <c r="E48" s="42">
        <v>31</v>
      </c>
      <c r="F48" s="39">
        <v>1591</v>
      </c>
      <c r="G48" s="4">
        <f t="shared" si="38"/>
        <v>49321</v>
      </c>
      <c r="H48" s="35" t="s">
        <v>79</v>
      </c>
      <c r="I48" s="16">
        <v>13</v>
      </c>
      <c r="J48" s="37">
        <v>2000</v>
      </c>
      <c r="K48" s="17">
        <f t="shared" si="23"/>
        <v>153.84615384615384</v>
      </c>
      <c r="L48" s="16">
        <v>13</v>
      </c>
      <c r="M48" s="18">
        <f t="shared" si="39"/>
        <v>1909.2000000000005</v>
      </c>
      <c r="N48" s="18">
        <f t="shared" si="24"/>
        <v>146.86153846153849</v>
      </c>
      <c r="O48" s="19">
        <f t="shared" si="25"/>
        <v>0</v>
      </c>
      <c r="P48" s="20">
        <f t="shared" si="26"/>
        <v>-6.9846153846153527</v>
      </c>
      <c r="Q48" s="21">
        <f t="shared" si="27"/>
        <v>0.95460000000000023</v>
      </c>
      <c r="R48" s="510"/>
      <c r="S48" s="40">
        <v>0.34097222222222218</v>
      </c>
      <c r="T48" s="40">
        <v>0.37569444444444439</v>
      </c>
      <c r="U48" s="4">
        <f t="shared" si="41"/>
        <v>7.9999999999999716</v>
      </c>
      <c r="V48" s="22">
        <f t="shared" si="40"/>
        <v>49.999999999999986</v>
      </c>
      <c r="W48" s="23"/>
      <c r="X48" s="23"/>
      <c r="Y48" s="26"/>
      <c r="Z48" s="26"/>
      <c r="AA48" s="503"/>
      <c r="AB48" s="504"/>
      <c r="AC48" s="25" t="s">
        <v>79</v>
      </c>
      <c r="AD48" s="25"/>
      <c r="AE48" s="19">
        <f t="shared" si="28"/>
        <v>-90.7999999999995</v>
      </c>
      <c r="AF48" s="21">
        <f t="shared" si="29"/>
        <v>0.95460000000000023</v>
      </c>
      <c r="AG48" s="510"/>
    </row>
    <row r="49" spans="1:33" ht="15.75" customHeight="1">
      <c r="A49" s="513" t="s">
        <v>65</v>
      </c>
      <c r="B49" s="42" t="s">
        <v>93</v>
      </c>
      <c r="C49" s="501" t="s">
        <v>98</v>
      </c>
      <c r="D49" s="502"/>
      <c r="E49" s="42">
        <v>37.880000000000003</v>
      </c>
      <c r="F49" s="39">
        <v>2007</v>
      </c>
      <c r="G49" s="4">
        <f t="shared" si="38"/>
        <v>76025.16</v>
      </c>
      <c r="H49" s="35" t="s">
        <v>79</v>
      </c>
      <c r="I49" s="16">
        <v>14</v>
      </c>
      <c r="J49" s="37">
        <v>2000</v>
      </c>
      <c r="K49" s="17">
        <f t="shared" si="23"/>
        <v>142.85714285714286</v>
      </c>
      <c r="L49" s="16">
        <v>14</v>
      </c>
      <c r="M49" s="18">
        <f t="shared" si="39"/>
        <v>1911.4285714285711</v>
      </c>
      <c r="N49" s="18">
        <f t="shared" si="24"/>
        <v>136.53061224489792</v>
      </c>
      <c r="O49" s="19">
        <f t="shared" si="25"/>
        <v>0</v>
      </c>
      <c r="P49" s="20">
        <f t="shared" si="26"/>
        <v>-6.3265306122449374</v>
      </c>
      <c r="Q49" s="21">
        <f t="shared" si="27"/>
        <v>0.95571428571428541</v>
      </c>
      <c r="R49" s="510"/>
      <c r="S49" s="40">
        <v>0.3791666666666666</v>
      </c>
      <c r="T49" s="40">
        <v>0.42291666666666661</v>
      </c>
      <c r="U49" s="4">
        <f t="shared" si="41"/>
        <v>4.9999999999999822</v>
      </c>
      <c r="V49" s="22">
        <f t="shared" si="40"/>
        <v>63.000000000000014</v>
      </c>
      <c r="W49" s="23"/>
      <c r="X49" s="23"/>
      <c r="Y49" s="26"/>
      <c r="Z49" s="26"/>
      <c r="AA49" s="503"/>
      <c r="AB49" s="504"/>
      <c r="AC49" s="25" t="s">
        <v>79</v>
      </c>
      <c r="AD49" s="25"/>
      <c r="AE49" s="19">
        <f t="shared" si="28"/>
        <v>-88.571428571428896</v>
      </c>
      <c r="AF49" s="21">
        <f t="shared" si="29"/>
        <v>0.95571428571428552</v>
      </c>
      <c r="AG49" s="510"/>
    </row>
    <row r="50" spans="1:33" ht="15.75" customHeight="1">
      <c r="A50" s="513" t="s">
        <v>65</v>
      </c>
      <c r="B50" s="42" t="s">
        <v>93</v>
      </c>
      <c r="C50" s="501" t="s">
        <v>99</v>
      </c>
      <c r="D50" s="502"/>
      <c r="E50" s="42">
        <v>32.020000000000003</v>
      </c>
      <c r="F50" s="39">
        <v>3363</v>
      </c>
      <c r="G50" s="4">
        <f t="shared" si="38"/>
        <v>107683.26000000001</v>
      </c>
      <c r="H50" s="35" t="s">
        <v>79</v>
      </c>
      <c r="I50" s="16">
        <v>11</v>
      </c>
      <c r="J50" s="37">
        <v>3000</v>
      </c>
      <c r="K50" s="17">
        <f t="shared" si="23"/>
        <v>272.72727272727275</v>
      </c>
      <c r="L50" s="16">
        <v>11</v>
      </c>
      <c r="M50" s="18">
        <f t="shared" si="39"/>
        <v>2882.5714285714289</v>
      </c>
      <c r="N50" s="18">
        <f t="shared" si="24"/>
        <v>262.0519480519481</v>
      </c>
      <c r="O50" s="19">
        <f t="shared" si="25"/>
        <v>0</v>
      </c>
      <c r="P50" s="20">
        <f t="shared" si="26"/>
        <v>-10.675324675324646</v>
      </c>
      <c r="Q50" s="21">
        <f t="shared" si="27"/>
        <v>0.96085714285714297</v>
      </c>
      <c r="R50" s="510"/>
      <c r="S50" s="40">
        <v>0.4277777777777777</v>
      </c>
      <c r="T50" s="40">
        <v>0.47638888888888881</v>
      </c>
      <c r="U50" s="4">
        <f t="shared" si="41"/>
        <v>6.9999999999999751</v>
      </c>
      <c r="V50" s="22">
        <f t="shared" si="40"/>
        <v>69.999999999999986</v>
      </c>
      <c r="W50" s="23"/>
      <c r="X50" s="23"/>
      <c r="Y50" s="26"/>
      <c r="Z50" s="26"/>
      <c r="AA50" s="503"/>
      <c r="AB50" s="504"/>
      <c r="AC50" s="25" t="s">
        <v>79</v>
      </c>
      <c r="AD50" s="25"/>
      <c r="AE50" s="19">
        <f t="shared" si="28"/>
        <v>-117.4285714285711</v>
      </c>
      <c r="AF50" s="21">
        <f t="shared" si="29"/>
        <v>0.96085714285714297</v>
      </c>
      <c r="AG50" s="510"/>
    </row>
    <row r="51" spans="1:33" ht="15.75" customHeight="1">
      <c r="A51" s="514" t="s">
        <v>66</v>
      </c>
      <c r="B51" s="42" t="s">
        <v>49</v>
      </c>
      <c r="C51" s="492"/>
      <c r="D51" s="493"/>
      <c r="E51" s="45"/>
      <c r="F51" s="39"/>
      <c r="G51" s="4"/>
      <c r="H51" s="36"/>
      <c r="I51" s="30">
        <v>11.333333333333334</v>
      </c>
      <c r="J51" s="37">
        <v>2666.6666666666665</v>
      </c>
      <c r="K51" s="17">
        <f t="shared" si="23"/>
        <v>235.29411764705881</v>
      </c>
      <c r="L51" s="30">
        <v>11.333333333333334</v>
      </c>
      <c r="M51" s="18">
        <f>AVERAGE(M45:M50)</f>
        <v>2549.8786061730239</v>
      </c>
      <c r="N51" s="17">
        <f t="shared" si="24"/>
        <v>224.98928877997267</v>
      </c>
      <c r="O51" s="19">
        <f t="shared" si="25"/>
        <v>0</v>
      </c>
      <c r="P51" s="20">
        <f t="shared" si="26"/>
        <v>-10.304828867086144</v>
      </c>
      <c r="Q51" s="21">
        <f t="shared" si="27"/>
        <v>0.95620447731488389</v>
      </c>
      <c r="R51" s="511"/>
      <c r="S51" s="40"/>
      <c r="T51" s="40"/>
      <c r="U51" s="4"/>
      <c r="V51" s="22"/>
      <c r="W51" s="23"/>
      <c r="X51" s="23"/>
      <c r="Y51" s="31">
        <f>SUM(Y45:Y50)</f>
        <v>0</v>
      </c>
      <c r="Z51" s="31">
        <f>SUM(Z45:Z50)</f>
        <v>0</v>
      </c>
      <c r="AA51" s="505"/>
      <c r="AB51" s="506"/>
      <c r="AC51" s="31">
        <f>SUM(AC45:AC50)</f>
        <v>1</v>
      </c>
      <c r="AD51" s="31">
        <f>SUM(AD45:AD50)</f>
        <v>0</v>
      </c>
      <c r="AE51" s="19">
        <f t="shared" si="28"/>
        <v>-116.78806049364266</v>
      </c>
      <c r="AF51" s="21">
        <f t="shared" si="29"/>
        <v>0.956204477314884</v>
      </c>
      <c r="AG51" s="511"/>
    </row>
    <row r="52" spans="1:33" ht="15.75" customHeight="1">
      <c r="A52" s="507" t="s">
        <v>67</v>
      </c>
      <c r="B52" s="42" t="s">
        <v>100</v>
      </c>
      <c r="C52" s="490" t="s">
        <v>101</v>
      </c>
      <c r="D52" s="490"/>
      <c r="E52" s="42">
        <v>46</v>
      </c>
      <c r="F52" s="46">
        <v>1609</v>
      </c>
      <c r="G52" s="4">
        <f t="shared" ref="G52:G58" si="42">E52*F52</f>
        <v>74014</v>
      </c>
      <c r="H52" s="35" t="s">
        <v>79</v>
      </c>
      <c r="I52" s="16">
        <v>17</v>
      </c>
      <c r="J52" s="37">
        <v>2000</v>
      </c>
      <c r="K52" s="17">
        <f t="shared" si="23"/>
        <v>117.64705882352941</v>
      </c>
      <c r="L52" s="16">
        <v>17</v>
      </c>
      <c r="M52" s="18">
        <f t="shared" ref="M52:M58" si="43">F52/V52*60</f>
        <v>1930.799999999999</v>
      </c>
      <c r="N52" s="18">
        <f t="shared" si="24"/>
        <v>113.57647058823524</v>
      </c>
      <c r="O52" s="19">
        <f t="shared" si="25"/>
        <v>0</v>
      </c>
      <c r="P52" s="20">
        <f t="shared" si="26"/>
        <v>-4.0705882352941671</v>
      </c>
      <c r="Q52" s="21">
        <f t="shared" si="27"/>
        <v>0.96539999999999959</v>
      </c>
      <c r="R52" s="489">
        <f>Q59</f>
        <v>0.87934892015342203</v>
      </c>
      <c r="S52" s="40">
        <v>0.20833333333333334</v>
      </c>
      <c r="T52" s="40">
        <v>0.24305555555555558</v>
      </c>
      <c r="U52" s="28"/>
      <c r="V52" s="22">
        <f t="shared" ref="V52:V58" si="44">(T52-S52)*24*60</f>
        <v>50.000000000000021</v>
      </c>
      <c r="W52" s="28"/>
      <c r="X52" s="28"/>
      <c r="Y52" s="28"/>
      <c r="Z52" s="28"/>
      <c r="AA52" s="491"/>
      <c r="AB52" s="491"/>
      <c r="AC52" s="25">
        <v>4</v>
      </c>
      <c r="AD52" s="25"/>
      <c r="AE52" s="19">
        <f t="shared" si="28"/>
        <v>-69.200000000000955</v>
      </c>
      <c r="AF52" s="21">
        <f t="shared" si="29"/>
        <v>0.96539999999999948</v>
      </c>
      <c r="AG52" s="489">
        <f>AF59</f>
        <v>0.87934892015342203</v>
      </c>
    </row>
    <row r="53" spans="1:33" ht="15.75" customHeight="1">
      <c r="A53" s="507" t="s">
        <v>67</v>
      </c>
      <c r="B53" s="42" t="s">
        <v>100</v>
      </c>
      <c r="C53" s="490" t="s">
        <v>102</v>
      </c>
      <c r="D53" s="490"/>
      <c r="E53" s="42">
        <v>46</v>
      </c>
      <c r="F53" s="46">
        <v>1771</v>
      </c>
      <c r="G53" s="4">
        <f t="shared" si="42"/>
        <v>81466</v>
      </c>
      <c r="H53" s="35" t="s">
        <v>79</v>
      </c>
      <c r="I53" s="16">
        <v>17</v>
      </c>
      <c r="J53" s="37">
        <v>2000</v>
      </c>
      <c r="K53" s="17">
        <f t="shared" si="23"/>
        <v>117.64705882352941</v>
      </c>
      <c r="L53" s="16">
        <v>17</v>
      </c>
      <c r="M53" s="18">
        <f t="shared" si="43"/>
        <v>1931.9999999999998</v>
      </c>
      <c r="N53" s="18">
        <f t="shared" si="24"/>
        <v>113.64705882352939</v>
      </c>
      <c r="O53" s="19">
        <f t="shared" si="25"/>
        <v>0</v>
      </c>
      <c r="P53" s="20">
        <f t="shared" si="26"/>
        <v>-4.0000000000000142</v>
      </c>
      <c r="Q53" s="21">
        <f t="shared" si="27"/>
        <v>0.96599999999999986</v>
      </c>
      <c r="R53" s="489"/>
      <c r="S53" s="40">
        <v>0.24861111111111114</v>
      </c>
      <c r="T53" s="40">
        <v>0.28680555555555559</v>
      </c>
      <c r="U53" s="4">
        <f t="shared" ref="U53:U58" si="45">IF(S53=TIME(17,0,0),"",(S53-T52)*24*60)</f>
        <v>8.0000000000000107</v>
      </c>
      <c r="V53" s="22">
        <f t="shared" si="44"/>
        <v>55.000000000000007</v>
      </c>
      <c r="W53" s="23"/>
      <c r="X53" s="23"/>
      <c r="Y53" s="23"/>
      <c r="Z53" s="23"/>
      <c r="AA53" s="491"/>
      <c r="AB53" s="491"/>
      <c r="AC53" s="25"/>
      <c r="AD53" s="25"/>
      <c r="AE53" s="19">
        <f t="shared" si="28"/>
        <v>-68.000000000000227</v>
      </c>
      <c r="AF53" s="21">
        <f t="shared" si="29"/>
        <v>0.96599999999999986</v>
      </c>
      <c r="AG53" s="489"/>
    </row>
    <row r="54" spans="1:33" ht="15.75" customHeight="1">
      <c r="A54" s="507" t="s">
        <v>67</v>
      </c>
      <c r="B54" s="42" t="s">
        <v>103</v>
      </c>
      <c r="C54" s="501" t="s">
        <v>104</v>
      </c>
      <c r="D54" s="502"/>
      <c r="E54" s="42">
        <v>51.86</v>
      </c>
      <c r="F54" s="46">
        <v>1256</v>
      </c>
      <c r="G54" s="4">
        <f t="shared" si="42"/>
        <v>65136.159999999996</v>
      </c>
      <c r="H54" s="35" t="s">
        <v>79</v>
      </c>
      <c r="I54" s="16">
        <v>25</v>
      </c>
      <c r="J54" s="37">
        <v>2000</v>
      </c>
      <c r="K54" s="17">
        <f t="shared" ref="K54:K73" si="46">J54/I54</f>
        <v>80</v>
      </c>
      <c r="L54" s="16">
        <v>25</v>
      </c>
      <c r="M54" s="18">
        <f t="shared" si="43"/>
        <v>1235.4098360655732</v>
      </c>
      <c r="N54" s="18">
        <f t="shared" ref="N54:N73" si="47">M54/L54</f>
        <v>49.416393442622933</v>
      </c>
      <c r="O54" s="19">
        <f t="shared" ref="O54:O73" si="48">L54-I54</f>
        <v>0</v>
      </c>
      <c r="P54" s="20">
        <f t="shared" ref="P54:P73" si="49">N54-K54</f>
        <v>-30.583606557377067</v>
      </c>
      <c r="Q54" s="21">
        <f t="shared" ref="Q54:Q73" si="50">N54/K54</f>
        <v>0.61770491803278671</v>
      </c>
      <c r="R54" s="489"/>
      <c r="S54" s="40">
        <v>0.2902777777777778</v>
      </c>
      <c r="T54" s="40">
        <v>0.33263888888888893</v>
      </c>
      <c r="U54" s="4">
        <f t="shared" si="45"/>
        <v>4.9999999999999822</v>
      </c>
      <c r="V54" s="22">
        <f t="shared" si="44"/>
        <v>61.000000000000021</v>
      </c>
      <c r="W54" s="23"/>
      <c r="X54" s="23"/>
      <c r="Y54" s="26"/>
      <c r="Z54" s="26"/>
      <c r="AA54" s="491"/>
      <c r="AB54" s="491"/>
      <c r="AC54" s="25"/>
      <c r="AD54" s="25"/>
      <c r="AE54" s="19">
        <f t="shared" ref="AE54:AE73" si="51">M54-J54</f>
        <v>-764.59016393442676</v>
      </c>
      <c r="AF54" s="21">
        <f t="shared" ref="AF54:AF73" si="52">M54/J54</f>
        <v>0.6177049180327866</v>
      </c>
      <c r="AG54" s="489"/>
    </row>
    <row r="55" spans="1:33" ht="15.75" customHeight="1">
      <c r="A55" s="507" t="s">
        <v>68</v>
      </c>
      <c r="B55" s="42" t="s">
        <v>103</v>
      </c>
      <c r="C55" s="47" t="s">
        <v>105</v>
      </c>
      <c r="D55" s="48"/>
      <c r="E55" s="42">
        <v>56.43</v>
      </c>
      <c r="F55" s="46">
        <v>2052</v>
      </c>
      <c r="G55" s="4">
        <f t="shared" si="42"/>
        <v>115794.36</v>
      </c>
      <c r="H55" s="35" t="s">
        <v>79</v>
      </c>
      <c r="I55" s="16">
        <v>22</v>
      </c>
      <c r="J55" s="37">
        <v>2000</v>
      </c>
      <c r="K55" s="17">
        <f t="shared" si="46"/>
        <v>90.909090909090907</v>
      </c>
      <c r="L55" s="16">
        <v>22</v>
      </c>
      <c r="M55" s="18">
        <f t="shared" si="43"/>
        <v>1483.3734939759031</v>
      </c>
      <c r="N55" s="18">
        <f t="shared" si="47"/>
        <v>67.426067907995602</v>
      </c>
      <c r="O55" s="19">
        <f t="shared" si="48"/>
        <v>0</v>
      </c>
      <c r="P55" s="20">
        <f t="shared" si="49"/>
        <v>-23.483023001095304</v>
      </c>
      <c r="Q55" s="21">
        <f t="shared" si="50"/>
        <v>0.74168674698795167</v>
      </c>
      <c r="R55" s="489"/>
      <c r="S55" s="40">
        <v>0.33611111111111114</v>
      </c>
      <c r="T55" s="40">
        <v>0.39375000000000004</v>
      </c>
      <c r="U55" s="4">
        <f t="shared" si="45"/>
        <v>4.9999999999999822</v>
      </c>
      <c r="V55" s="22">
        <f t="shared" si="44"/>
        <v>83.000000000000028</v>
      </c>
      <c r="W55" s="23"/>
      <c r="X55" s="23"/>
      <c r="Y55" s="26"/>
      <c r="Z55" s="26"/>
      <c r="AA55" s="491"/>
      <c r="AB55" s="491"/>
      <c r="AC55" s="25"/>
      <c r="AD55" s="25"/>
      <c r="AE55" s="19">
        <f t="shared" si="51"/>
        <v>-516.6265060240969</v>
      </c>
      <c r="AF55" s="21">
        <f t="shared" si="52"/>
        <v>0.74168674698795156</v>
      </c>
      <c r="AG55" s="489"/>
    </row>
    <row r="56" spans="1:33" ht="15.75" customHeight="1">
      <c r="A56" s="507" t="s">
        <v>69</v>
      </c>
      <c r="B56" s="42" t="s">
        <v>103</v>
      </c>
      <c r="C56" s="47" t="s">
        <v>106</v>
      </c>
      <c r="D56" s="48"/>
      <c r="E56" s="42">
        <v>55.56</v>
      </c>
      <c r="F56" s="46">
        <v>1778</v>
      </c>
      <c r="G56" s="4">
        <f t="shared" si="42"/>
        <v>98785.680000000008</v>
      </c>
      <c r="H56" s="35" t="s">
        <v>79</v>
      </c>
      <c r="I56" s="16">
        <v>17</v>
      </c>
      <c r="J56" s="37">
        <v>2000</v>
      </c>
      <c r="K56" s="17">
        <f t="shared" si="46"/>
        <v>117.64705882352941</v>
      </c>
      <c r="L56" s="16">
        <v>17</v>
      </c>
      <c r="M56" s="18">
        <f t="shared" si="43"/>
        <v>1905.0000000000016</v>
      </c>
      <c r="N56" s="18">
        <f t="shared" si="47"/>
        <v>112.05882352941185</v>
      </c>
      <c r="O56" s="19">
        <f t="shared" si="48"/>
        <v>0</v>
      </c>
      <c r="P56" s="20">
        <f t="shared" si="49"/>
        <v>-5.5882352941175526</v>
      </c>
      <c r="Q56" s="21">
        <f t="shared" si="50"/>
        <v>0.95250000000000079</v>
      </c>
      <c r="R56" s="489"/>
      <c r="S56" s="40">
        <v>0.70833333333333337</v>
      </c>
      <c r="T56" s="40">
        <v>0.74722222222222223</v>
      </c>
      <c r="U56" s="4" t="str">
        <f t="shared" si="45"/>
        <v/>
      </c>
      <c r="V56" s="22">
        <f t="shared" si="44"/>
        <v>55.999999999999957</v>
      </c>
      <c r="W56" s="23"/>
      <c r="X56" s="23"/>
      <c r="Y56" s="26"/>
      <c r="Z56" s="26"/>
      <c r="AA56" s="491"/>
      <c r="AB56" s="491"/>
      <c r="AC56" s="25"/>
      <c r="AD56" s="25"/>
      <c r="AE56" s="19">
        <f t="shared" si="51"/>
        <v>-94.999999999998408</v>
      </c>
      <c r="AF56" s="21">
        <f t="shared" si="52"/>
        <v>0.95250000000000079</v>
      </c>
      <c r="AG56" s="489"/>
    </row>
    <row r="57" spans="1:33" ht="15.75" customHeight="1">
      <c r="A57" s="507" t="s">
        <v>67</v>
      </c>
      <c r="B57" s="42" t="s">
        <v>103</v>
      </c>
      <c r="C57" s="501" t="s">
        <v>107</v>
      </c>
      <c r="D57" s="502"/>
      <c r="E57" s="42">
        <v>55.32</v>
      </c>
      <c r="F57" s="46">
        <v>1305</v>
      </c>
      <c r="G57" s="4">
        <f t="shared" si="42"/>
        <v>72192.600000000006</v>
      </c>
      <c r="H57" s="35" t="s">
        <v>79</v>
      </c>
      <c r="I57" s="16">
        <v>15</v>
      </c>
      <c r="J57" s="37">
        <v>2000</v>
      </c>
      <c r="K57" s="17">
        <f t="shared" si="46"/>
        <v>133.33333333333334</v>
      </c>
      <c r="L57" s="16">
        <v>15</v>
      </c>
      <c r="M57" s="18">
        <f t="shared" si="43"/>
        <v>1909.7560975609749</v>
      </c>
      <c r="N57" s="18">
        <f t="shared" si="47"/>
        <v>127.31707317073166</v>
      </c>
      <c r="O57" s="19">
        <f t="shared" si="48"/>
        <v>0</v>
      </c>
      <c r="P57" s="20">
        <f t="shared" si="49"/>
        <v>-6.0162601626016823</v>
      </c>
      <c r="Q57" s="21">
        <f t="shared" si="50"/>
        <v>0.95487804878048743</v>
      </c>
      <c r="R57" s="489"/>
      <c r="S57" s="40">
        <v>0.75069444444444444</v>
      </c>
      <c r="T57" s="40">
        <v>0.77916666666666667</v>
      </c>
      <c r="U57" s="4">
        <f t="shared" si="45"/>
        <v>4.9999999999999822</v>
      </c>
      <c r="V57" s="22">
        <f t="shared" si="44"/>
        <v>41.000000000000014</v>
      </c>
      <c r="W57" s="23"/>
      <c r="X57" s="23"/>
      <c r="Y57" s="26"/>
      <c r="Z57" s="26"/>
      <c r="AA57" s="503"/>
      <c r="AB57" s="504"/>
      <c r="AC57" s="25"/>
      <c r="AD57" s="25"/>
      <c r="AE57" s="19">
        <f t="shared" si="51"/>
        <v>-90.243902439025078</v>
      </c>
      <c r="AF57" s="21">
        <f t="shared" si="52"/>
        <v>0.95487804878048743</v>
      </c>
      <c r="AG57" s="489"/>
    </row>
    <row r="58" spans="1:33" ht="15.75" customHeight="1">
      <c r="A58" s="507" t="s">
        <v>67</v>
      </c>
      <c r="B58" s="42" t="s">
        <v>103</v>
      </c>
      <c r="C58" s="501" t="s">
        <v>108</v>
      </c>
      <c r="D58" s="502"/>
      <c r="E58" s="42">
        <v>54.29</v>
      </c>
      <c r="F58" s="46">
        <v>3159</v>
      </c>
      <c r="G58" s="4">
        <f t="shared" si="42"/>
        <v>171502.11</v>
      </c>
      <c r="H58" s="35" t="s">
        <v>79</v>
      </c>
      <c r="I58" s="16">
        <v>20</v>
      </c>
      <c r="J58" s="37">
        <v>2000</v>
      </c>
      <c r="K58" s="17">
        <f t="shared" si="46"/>
        <v>100</v>
      </c>
      <c r="L58" s="16">
        <v>20</v>
      </c>
      <c r="M58" s="18">
        <f t="shared" si="43"/>
        <v>1914.545454545455</v>
      </c>
      <c r="N58" s="18">
        <f t="shared" si="47"/>
        <v>95.727272727272748</v>
      </c>
      <c r="O58" s="19">
        <f t="shared" si="48"/>
        <v>0</v>
      </c>
      <c r="P58" s="20">
        <f t="shared" si="49"/>
        <v>-4.2727272727272521</v>
      </c>
      <c r="Q58" s="21">
        <f t="shared" si="50"/>
        <v>0.9572727272727275</v>
      </c>
      <c r="R58" s="489"/>
      <c r="S58" s="40">
        <v>0.78263888888888888</v>
      </c>
      <c r="T58" s="40">
        <v>0.85138888888888886</v>
      </c>
      <c r="U58" s="4">
        <f t="shared" si="45"/>
        <v>4.9999999999999822</v>
      </c>
      <c r="V58" s="22">
        <f t="shared" si="44"/>
        <v>98.999999999999972</v>
      </c>
      <c r="W58" s="23"/>
      <c r="X58" s="23"/>
      <c r="Y58" s="26"/>
      <c r="Z58" s="26"/>
      <c r="AA58" s="503"/>
      <c r="AB58" s="504"/>
      <c r="AC58" s="25"/>
      <c r="AD58" s="25"/>
      <c r="AE58" s="19">
        <f t="shared" si="51"/>
        <v>-85.454545454545041</v>
      </c>
      <c r="AF58" s="21">
        <f t="shared" si="52"/>
        <v>0.9572727272727275</v>
      </c>
      <c r="AG58" s="489"/>
    </row>
    <row r="59" spans="1:33">
      <c r="A59" s="508" t="s">
        <v>70</v>
      </c>
      <c r="B59" s="42" t="s">
        <v>71</v>
      </c>
      <c r="C59" s="494"/>
      <c r="D59" s="494"/>
      <c r="E59" s="43"/>
      <c r="F59" s="44"/>
      <c r="G59" s="17"/>
      <c r="H59" s="36"/>
      <c r="I59" s="30">
        <v>19</v>
      </c>
      <c r="J59" s="37">
        <v>2000</v>
      </c>
      <c r="K59" s="17">
        <f t="shared" si="46"/>
        <v>105.26315789473684</v>
      </c>
      <c r="L59" s="30">
        <v>19</v>
      </c>
      <c r="M59" s="18">
        <f>AVERAGE(M52:M58)</f>
        <v>1758.697840306844</v>
      </c>
      <c r="N59" s="17">
        <f t="shared" si="47"/>
        <v>92.563044226675999</v>
      </c>
      <c r="O59" s="19">
        <f t="shared" si="48"/>
        <v>0</v>
      </c>
      <c r="P59" s="20">
        <f t="shared" si="49"/>
        <v>-12.700113668060837</v>
      </c>
      <c r="Q59" s="21">
        <f t="shared" si="50"/>
        <v>0.87934892015342203</v>
      </c>
      <c r="R59" s="489"/>
      <c r="S59" s="41"/>
      <c r="T59" s="40"/>
      <c r="U59" s="17"/>
      <c r="V59" s="22"/>
      <c r="W59" s="17"/>
      <c r="X59" s="17"/>
      <c r="Y59" s="31">
        <f>SUM(Y52:Y58)</f>
        <v>0</v>
      </c>
      <c r="Z59" s="31">
        <f>SUM(Z52:Z58)</f>
        <v>0</v>
      </c>
      <c r="AA59" s="495"/>
      <c r="AB59" s="495"/>
      <c r="AC59" s="31">
        <f>SUM(AC52:AC58)</f>
        <v>4</v>
      </c>
      <c r="AD59" s="31">
        <f>SUM(AD52:AD58)</f>
        <v>0</v>
      </c>
      <c r="AE59" s="19">
        <f t="shared" si="51"/>
        <v>-241.302159693156</v>
      </c>
      <c r="AF59" s="21">
        <f t="shared" si="52"/>
        <v>0.87934892015342203</v>
      </c>
      <c r="AG59" s="489"/>
    </row>
    <row r="60" spans="1:33" ht="15.75" customHeight="1">
      <c r="A60" s="499" t="s">
        <v>72</v>
      </c>
      <c r="B60" s="39" t="s">
        <v>100</v>
      </c>
      <c r="C60" s="490" t="s">
        <v>109</v>
      </c>
      <c r="D60" s="490"/>
      <c r="E60" s="42">
        <v>26.97</v>
      </c>
      <c r="F60" s="46">
        <v>2289</v>
      </c>
      <c r="G60" s="4">
        <f t="shared" ref="G60:G65" si="53">E60*F60</f>
        <v>61734.329999999994</v>
      </c>
      <c r="H60" s="35" t="s">
        <v>79</v>
      </c>
      <c r="I60" s="16">
        <v>8</v>
      </c>
      <c r="J60" s="37">
        <v>1500</v>
      </c>
      <c r="K60" s="17">
        <f t="shared" si="46"/>
        <v>187.5</v>
      </c>
      <c r="L60" s="16">
        <v>8</v>
      </c>
      <c r="M60" s="18">
        <f t="shared" ref="M60:M65" si="54">F60/V60*60</f>
        <v>1430.6249999999998</v>
      </c>
      <c r="N60" s="17">
        <f t="shared" si="47"/>
        <v>178.82812499999997</v>
      </c>
      <c r="O60" s="19">
        <f t="shared" si="48"/>
        <v>0</v>
      </c>
      <c r="P60" s="20">
        <f t="shared" si="49"/>
        <v>-8.6718750000000284</v>
      </c>
      <c r="Q60" s="21">
        <f t="shared" si="50"/>
        <v>0.95374999999999988</v>
      </c>
      <c r="R60" s="489">
        <f>Q66</f>
        <v>0.96403748761439512</v>
      </c>
      <c r="S60" s="40">
        <v>0.20833333333333334</v>
      </c>
      <c r="T60" s="40">
        <v>0.27500000000000002</v>
      </c>
      <c r="U60" s="4"/>
      <c r="V60" s="22">
        <f t="shared" ref="V60:V65" si="55">(T60-S60)*24*60</f>
        <v>96.000000000000014</v>
      </c>
      <c r="W60" s="28"/>
      <c r="X60" s="28"/>
      <c r="Y60" s="28"/>
      <c r="Z60" s="28"/>
      <c r="AA60" s="491"/>
      <c r="AB60" s="491"/>
      <c r="AC60" s="25" t="s">
        <v>79</v>
      </c>
      <c r="AD60" s="25"/>
      <c r="AE60" s="19">
        <f t="shared" si="51"/>
        <v>-69.375000000000227</v>
      </c>
      <c r="AF60" s="21">
        <f t="shared" si="52"/>
        <v>0.95374999999999988</v>
      </c>
      <c r="AG60" s="489">
        <f>AF66</f>
        <v>0.96403748761439501</v>
      </c>
    </row>
    <row r="61" spans="1:33" ht="15.75" customHeight="1">
      <c r="A61" s="499" t="s">
        <v>73</v>
      </c>
      <c r="B61" s="39" t="s">
        <v>93</v>
      </c>
      <c r="C61" s="490" t="s">
        <v>110</v>
      </c>
      <c r="D61" s="490"/>
      <c r="E61" s="42">
        <v>26.78</v>
      </c>
      <c r="F61" s="46">
        <v>2576</v>
      </c>
      <c r="G61" s="4">
        <f t="shared" si="53"/>
        <v>68985.279999999999</v>
      </c>
      <c r="H61" s="35" t="s">
        <v>79</v>
      </c>
      <c r="I61" s="16">
        <v>10</v>
      </c>
      <c r="J61" s="37">
        <v>3000</v>
      </c>
      <c r="K61" s="17">
        <f t="shared" si="46"/>
        <v>300</v>
      </c>
      <c r="L61" s="16">
        <v>10</v>
      </c>
      <c r="M61" s="18">
        <f t="shared" si="54"/>
        <v>2862.222222222224</v>
      </c>
      <c r="N61" s="17">
        <f t="shared" si="47"/>
        <v>286.2222222222224</v>
      </c>
      <c r="O61" s="19">
        <f t="shared" si="48"/>
        <v>0</v>
      </c>
      <c r="P61" s="20">
        <f t="shared" si="49"/>
        <v>-13.777777777777601</v>
      </c>
      <c r="Q61" s="21">
        <f t="shared" si="50"/>
        <v>0.95407407407407463</v>
      </c>
      <c r="R61" s="489"/>
      <c r="S61" s="40">
        <v>0.27986111111111112</v>
      </c>
      <c r="T61" s="40">
        <v>0.31736111111111109</v>
      </c>
      <c r="U61" s="4">
        <f t="shared" ref="U61:U65" si="56">(S61-T60)*24*60</f>
        <v>6.9999999999999751</v>
      </c>
      <c r="V61" s="22">
        <f t="shared" si="55"/>
        <v>53.999999999999972</v>
      </c>
      <c r="W61" s="4"/>
      <c r="X61" s="4"/>
      <c r="Y61" s="4"/>
      <c r="Z61" s="4"/>
      <c r="AA61" s="491"/>
      <c r="AB61" s="491"/>
      <c r="AC61" s="25" t="s">
        <v>79</v>
      </c>
      <c r="AD61" s="25"/>
      <c r="AE61" s="19">
        <f t="shared" si="51"/>
        <v>-137.77777777777601</v>
      </c>
      <c r="AF61" s="21">
        <f t="shared" si="52"/>
        <v>0.95407407407407463</v>
      </c>
      <c r="AG61" s="489"/>
    </row>
    <row r="62" spans="1:33" ht="15.75" customHeight="1">
      <c r="A62" s="499" t="s">
        <v>73</v>
      </c>
      <c r="B62" s="39" t="s">
        <v>93</v>
      </c>
      <c r="C62" s="490" t="s">
        <v>111</v>
      </c>
      <c r="D62" s="490"/>
      <c r="E62" s="42">
        <v>37.880000000000003</v>
      </c>
      <c r="F62" s="46">
        <v>2545</v>
      </c>
      <c r="G62" s="4">
        <f t="shared" si="53"/>
        <v>96404.6</v>
      </c>
      <c r="H62" s="35" t="s">
        <v>79</v>
      </c>
      <c r="I62" s="16">
        <v>10</v>
      </c>
      <c r="J62" s="37">
        <v>3000</v>
      </c>
      <c r="K62" s="17">
        <f t="shared" si="46"/>
        <v>300</v>
      </c>
      <c r="L62" s="16">
        <v>10</v>
      </c>
      <c r="M62" s="18">
        <f t="shared" si="54"/>
        <v>2881.1320754716999</v>
      </c>
      <c r="N62" s="17">
        <f t="shared" si="47"/>
        <v>288.11320754716996</v>
      </c>
      <c r="O62" s="19">
        <f t="shared" si="48"/>
        <v>0</v>
      </c>
      <c r="P62" s="20">
        <f t="shared" si="49"/>
        <v>-11.886792452830036</v>
      </c>
      <c r="Q62" s="21">
        <f t="shared" si="50"/>
        <v>0.96037735849056649</v>
      </c>
      <c r="R62" s="489"/>
      <c r="S62" s="40">
        <v>0.32152777777777775</v>
      </c>
      <c r="T62" s="40">
        <v>0.35833333333333328</v>
      </c>
      <c r="U62" s="4">
        <f t="shared" si="56"/>
        <v>5.9999999999999787</v>
      </c>
      <c r="V62" s="22">
        <f t="shared" si="55"/>
        <v>52.999999999999972</v>
      </c>
      <c r="W62" s="4"/>
      <c r="X62" s="4"/>
      <c r="Y62" s="4"/>
      <c r="Z62" s="4"/>
      <c r="AA62" s="491"/>
      <c r="AB62" s="491"/>
      <c r="AC62" s="25" t="s">
        <v>79</v>
      </c>
      <c r="AD62" s="25"/>
      <c r="AE62" s="19">
        <f t="shared" si="51"/>
        <v>-118.86792452830014</v>
      </c>
      <c r="AF62" s="21">
        <f t="shared" si="52"/>
        <v>0.9603773584905666</v>
      </c>
      <c r="AG62" s="489"/>
    </row>
    <row r="63" spans="1:33" ht="15.75" customHeight="1">
      <c r="A63" s="499" t="s">
        <v>74</v>
      </c>
      <c r="B63" s="39" t="s">
        <v>93</v>
      </c>
      <c r="C63" s="490" t="s">
        <v>112</v>
      </c>
      <c r="D63" s="490"/>
      <c r="E63" s="42">
        <v>35.869999999999997</v>
      </c>
      <c r="F63" s="46">
        <v>2896</v>
      </c>
      <c r="G63" s="4">
        <f t="shared" si="53"/>
        <v>103879.51999999999</v>
      </c>
      <c r="H63" s="35" t="s">
        <v>79</v>
      </c>
      <c r="I63" s="16">
        <v>9</v>
      </c>
      <c r="J63" s="37">
        <v>3000</v>
      </c>
      <c r="K63" s="17">
        <f t="shared" si="46"/>
        <v>333.33333333333331</v>
      </c>
      <c r="L63" s="16">
        <v>9</v>
      </c>
      <c r="M63" s="18">
        <f t="shared" si="54"/>
        <v>2895.9999999999986</v>
      </c>
      <c r="N63" s="17">
        <f t="shared" si="47"/>
        <v>321.7777777777776</v>
      </c>
      <c r="O63" s="19">
        <f t="shared" si="48"/>
        <v>0</v>
      </c>
      <c r="P63" s="20">
        <f t="shared" si="49"/>
        <v>-11.555555555555713</v>
      </c>
      <c r="Q63" s="21">
        <f t="shared" si="50"/>
        <v>0.96533333333333282</v>
      </c>
      <c r="R63" s="489"/>
      <c r="S63" s="40">
        <v>0.36319444444444438</v>
      </c>
      <c r="T63" s="40">
        <v>0.40486111111111106</v>
      </c>
      <c r="U63" s="4">
        <f t="shared" si="56"/>
        <v>6.9999999999999751</v>
      </c>
      <c r="V63" s="22">
        <f t="shared" si="55"/>
        <v>60.000000000000028</v>
      </c>
      <c r="W63" s="4"/>
      <c r="X63" s="4"/>
      <c r="Y63" s="4"/>
      <c r="Z63" s="4"/>
      <c r="AA63" s="491"/>
      <c r="AB63" s="491"/>
      <c r="AC63" s="25" t="s">
        <v>79</v>
      </c>
      <c r="AD63" s="25"/>
      <c r="AE63" s="19">
        <f t="shared" si="51"/>
        <v>-104.00000000000136</v>
      </c>
      <c r="AF63" s="21">
        <f t="shared" si="52"/>
        <v>0.96533333333333293</v>
      </c>
      <c r="AG63" s="489"/>
    </row>
    <row r="64" spans="1:33">
      <c r="A64" s="500" t="s">
        <v>73</v>
      </c>
      <c r="B64" s="39" t="s">
        <v>93</v>
      </c>
      <c r="C64" s="490" t="s">
        <v>113</v>
      </c>
      <c r="D64" s="490"/>
      <c r="E64" s="42">
        <v>34.36</v>
      </c>
      <c r="F64" s="46">
        <v>1775</v>
      </c>
      <c r="G64" s="4">
        <f t="shared" si="53"/>
        <v>60989</v>
      </c>
      <c r="H64" s="35" t="s">
        <v>79</v>
      </c>
      <c r="I64" s="16">
        <v>10</v>
      </c>
      <c r="J64" s="37">
        <v>3000</v>
      </c>
      <c r="K64" s="17">
        <f t="shared" si="46"/>
        <v>300</v>
      </c>
      <c r="L64" s="16">
        <v>10</v>
      </c>
      <c r="M64" s="18">
        <f t="shared" si="54"/>
        <v>2878.3783783783761</v>
      </c>
      <c r="N64" s="17">
        <f t="shared" si="47"/>
        <v>287.83783783783758</v>
      </c>
      <c r="O64" s="19">
        <f t="shared" si="48"/>
        <v>0</v>
      </c>
      <c r="P64" s="20">
        <f t="shared" si="49"/>
        <v>-12.162162162162417</v>
      </c>
      <c r="Q64" s="21">
        <f t="shared" si="50"/>
        <v>0.95945945945945865</v>
      </c>
      <c r="R64" s="489"/>
      <c r="S64" s="40">
        <v>0.4104166666666666</v>
      </c>
      <c r="T64" s="40">
        <v>0.43611111111111106</v>
      </c>
      <c r="U64" s="4">
        <f t="shared" si="56"/>
        <v>7.9999999999999716</v>
      </c>
      <c r="V64" s="22">
        <f t="shared" si="55"/>
        <v>37.000000000000028</v>
      </c>
      <c r="W64" s="23"/>
      <c r="X64" s="23"/>
      <c r="Y64" s="23"/>
      <c r="Z64" s="23"/>
      <c r="AA64" s="491"/>
      <c r="AB64" s="491"/>
      <c r="AC64" s="25" t="s">
        <v>79</v>
      </c>
      <c r="AD64" s="25"/>
      <c r="AE64" s="19">
        <f t="shared" si="51"/>
        <v>-121.62162162162394</v>
      </c>
      <c r="AF64" s="21">
        <f t="shared" si="52"/>
        <v>0.95945945945945865</v>
      </c>
      <c r="AG64" s="489"/>
    </row>
    <row r="65" spans="1:33" ht="15" customHeight="1">
      <c r="A65" s="500" t="s">
        <v>73</v>
      </c>
      <c r="B65" s="39" t="s">
        <v>93</v>
      </c>
      <c r="C65" s="501" t="s">
        <v>114</v>
      </c>
      <c r="D65" s="502"/>
      <c r="E65" s="42">
        <v>36.14</v>
      </c>
      <c r="F65" s="46">
        <v>1134</v>
      </c>
      <c r="G65" s="4">
        <f t="shared" si="53"/>
        <v>40982.76</v>
      </c>
      <c r="H65" s="35" t="s">
        <v>79</v>
      </c>
      <c r="I65" s="16">
        <v>9</v>
      </c>
      <c r="J65" s="37">
        <v>3000</v>
      </c>
      <c r="K65" s="17">
        <f t="shared" si="46"/>
        <v>333.33333333333331</v>
      </c>
      <c r="L65" s="16">
        <v>9</v>
      </c>
      <c r="M65" s="18">
        <f t="shared" si="54"/>
        <v>2958.260869565217</v>
      </c>
      <c r="N65" s="17">
        <f t="shared" si="47"/>
        <v>328.695652173913</v>
      </c>
      <c r="O65" s="19">
        <f t="shared" si="48"/>
        <v>0</v>
      </c>
      <c r="P65" s="20">
        <f t="shared" si="49"/>
        <v>-4.6376811594203105</v>
      </c>
      <c r="Q65" s="21">
        <f t="shared" si="50"/>
        <v>0.98608695652173906</v>
      </c>
      <c r="R65" s="489"/>
      <c r="S65" s="40">
        <v>0.43958333333333327</v>
      </c>
      <c r="T65" s="40">
        <v>0.45555555555555549</v>
      </c>
      <c r="U65" s="4">
        <f t="shared" si="56"/>
        <v>4.9999999999999822</v>
      </c>
      <c r="V65" s="22">
        <f t="shared" si="55"/>
        <v>23</v>
      </c>
      <c r="W65" s="4"/>
      <c r="X65" s="4"/>
      <c r="Y65" s="32"/>
      <c r="Z65" s="32"/>
      <c r="AA65" s="503"/>
      <c r="AB65" s="504"/>
      <c r="AC65" s="25" t="s">
        <v>79</v>
      </c>
      <c r="AD65" s="25"/>
      <c r="AE65" s="19">
        <f t="shared" si="51"/>
        <v>-41.739130434782965</v>
      </c>
      <c r="AF65" s="21">
        <f t="shared" si="52"/>
        <v>0.98608695652173906</v>
      </c>
      <c r="AG65" s="489"/>
    </row>
    <row r="66" spans="1:33">
      <c r="A66" s="500" t="s">
        <v>73</v>
      </c>
      <c r="B66" s="42" t="s">
        <v>49</v>
      </c>
      <c r="C66" s="494"/>
      <c r="D66" s="494"/>
      <c r="E66" s="43"/>
      <c r="F66" s="44"/>
      <c r="G66" s="17"/>
      <c r="H66" s="36"/>
      <c r="I66" s="30">
        <v>9.3333333333333339</v>
      </c>
      <c r="J66" s="37">
        <v>2750</v>
      </c>
      <c r="K66" s="17">
        <f t="shared" si="46"/>
        <v>294.64285714285711</v>
      </c>
      <c r="L66" s="30">
        <v>9.3333333333333339</v>
      </c>
      <c r="M66" s="18">
        <f>AVERAGE(M60:M65)</f>
        <v>2651.1030909395863</v>
      </c>
      <c r="N66" s="17">
        <f t="shared" si="47"/>
        <v>284.0467597435271</v>
      </c>
      <c r="O66" s="19">
        <f t="shared" si="48"/>
        <v>0</v>
      </c>
      <c r="P66" s="20">
        <f t="shared" si="49"/>
        <v>-10.596097399330006</v>
      </c>
      <c r="Q66" s="21">
        <f t="shared" si="50"/>
        <v>0.96403748761439512</v>
      </c>
      <c r="R66" s="489"/>
      <c r="S66" s="40"/>
      <c r="T66" s="40"/>
      <c r="U66" s="17"/>
      <c r="V66" s="22"/>
      <c r="W66" s="17"/>
      <c r="X66" s="17"/>
      <c r="Y66" s="31">
        <f>SUM(Y60:Y65)</f>
        <v>0</v>
      </c>
      <c r="Z66" s="31">
        <f>SUM(Z60:Z65)</f>
        <v>0</v>
      </c>
      <c r="AA66" s="495"/>
      <c r="AB66" s="495"/>
      <c r="AC66" s="31">
        <f>SUM(AC60:AC65)</f>
        <v>0</v>
      </c>
      <c r="AD66" s="31">
        <f>SUM(AD60:AD65)</f>
        <v>0</v>
      </c>
      <c r="AE66" s="19">
        <f t="shared" si="51"/>
        <v>-98.896909060413691</v>
      </c>
      <c r="AF66" s="21">
        <f t="shared" si="52"/>
        <v>0.96403748761439501</v>
      </c>
      <c r="AG66" s="489"/>
    </row>
    <row r="67" spans="1:33" ht="15.75" customHeight="1">
      <c r="A67" s="496" t="s">
        <v>75</v>
      </c>
      <c r="B67" s="39" t="s">
        <v>80</v>
      </c>
      <c r="C67" s="490" t="s">
        <v>115</v>
      </c>
      <c r="D67" s="490"/>
      <c r="E67" s="42">
        <v>20.2</v>
      </c>
      <c r="F67" s="39">
        <v>2084</v>
      </c>
      <c r="G67" s="4">
        <f t="shared" ref="G67:G72" si="57">E67*F67</f>
        <v>42096.799999999996</v>
      </c>
      <c r="H67" s="35" t="s">
        <v>79</v>
      </c>
      <c r="I67" s="16">
        <v>19</v>
      </c>
      <c r="J67" s="37">
        <v>2400</v>
      </c>
      <c r="K67" s="17">
        <f t="shared" si="46"/>
        <v>126.31578947368421</v>
      </c>
      <c r="L67" s="16">
        <v>19</v>
      </c>
      <c r="M67" s="18">
        <f t="shared" ref="M67:M72" si="58">F67/V67*60</f>
        <v>2315.5555555555561</v>
      </c>
      <c r="N67" s="17">
        <f t="shared" si="47"/>
        <v>121.87134502923979</v>
      </c>
      <c r="O67" s="19">
        <f t="shared" si="48"/>
        <v>0</v>
      </c>
      <c r="P67" s="20">
        <f t="shared" si="49"/>
        <v>-4.4444444444444144</v>
      </c>
      <c r="Q67" s="21">
        <f t="shared" si="50"/>
        <v>0.96481481481481501</v>
      </c>
      <c r="R67" s="489">
        <f>Q73</f>
        <v>0.95696067229144866</v>
      </c>
      <c r="S67" s="40">
        <v>8.3333333333333329E-2</v>
      </c>
      <c r="T67" s="40">
        <v>0.12083333333333332</v>
      </c>
      <c r="U67" s="28"/>
      <c r="V67" s="22">
        <f t="shared" ref="V67:V72" si="59">(T67-S67)*24*60</f>
        <v>53.999999999999986</v>
      </c>
      <c r="W67" s="23">
        <f>T67</f>
        <v>0.12083333333333332</v>
      </c>
      <c r="X67" s="23">
        <f>S68</f>
        <v>0.14166666666666666</v>
      </c>
      <c r="Y67" s="23"/>
      <c r="Z67" s="23"/>
      <c r="AA67" s="491"/>
      <c r="AB67" s="491"/>
      <c r="AC67" s="25">
        <v>7</v>
      </c>
      <c r="AD67" s="25"/>
      <c r="AE67" s="19">
        <f t="shared" si="51"/>
        <v>-84.444444444443889</v>
      </c>
      <c r="AF67" s="21">
        <f t="shared" si="52"/>
        <v>0.96481481481481501</v>
      </c>
      <c r="AG67" s="489">
        <f>AF73</f>
        <v>0.95696067229144866</v>
      </c>
    </row>
    <row r="68" spans="1:33" ht="15.75" customHeight="1">
      <c r="A68" s="497" t="s">
        <v>76</v>
      </c>
      <c r="B68" s="39" t="s">
        <v>80</v>
      </c>
      <c r="C68" s="490" t="s">
        <v>116</v>
      </c>
      <c r="D68" s="490"/>
      <c r="E68" s="42">
        <v>20.52</v>
      </c>
      <c r="F68" s="39">
        <v>3141</v>
      </c>
      <c r="G68" s="4">
        <f t="shared" si="57"/>
        <v>64453.32</v>
      </c>
      <c r="H68" s="35" t="s">
        <v>79</v>
      </c>
      <c r="I68" s="16">
        <v>18</v>
      </c>
      <c r="J68" s="37">
        <v>2400</v>
      </c>
      <c r="K68" s="17">
        <f t="shared" si="46"/>
        <v>133.33333333333334</v>
      </c>
      <c r="L68" s="16">
        <v>18</v>
      </c>
      <c r="M68" s="18">
        <f t="shared" si="58"/>
        <v>2298.2926829268299</v>
      </c>
      <c r="N68" s="17">
        <f t="shared" si="47"/>
        <v>127.68292682926833</v>
      </c>
      <c r="O68" s="19">
        <f t="shared" si="48"/>
        <v>0</v>
      </c>
      <c r="P68" s="20">
        <f t="shared" si="49"/>
        <v>-5.6504065040650175</v>
      </c>
      <c r="Q68" s="21">
        <f t="shared" si="50"/>
        <v>0.95762195121951232</v>
      </c>
      <c r="R68" s="489"/>
      <c r="S68" s="40">
        <v>0.14166666666666666</v>
      </c>
      <c r="T68" s="40">
        <v>0.1986111111111111</v>
      </c>
      <c r="U68" s="4">
        <f t="shared" ref="U68:U72" si="60">(S68-T67)*24*60</f>
        <v>30.000000000000014</v>
      </c>
      <c r="V68" s="22">
        <f t="shared" si="59"/>
        <v>81.999999999999986</v>
      </c>
      <c r="W68" s="23"/>
      <c r="X68" s="23"/>
      <c r="Y68" s="23"/>
      <c r="Z68" s="23"/>
      <c r="AA68" s="491"/>
      <c r="AB68" s="491"/>
      <c r="AC68" s="25"/>
      <c r="AD68" s="25"/>
      <c r="AE68" s="19">
        <f t="shared" si="51"/>
        <v>-101.70731707317009</v>
      </c>
      <c r="AF68" s="21">
        <f t="shared" si="52"/>
        <v>0.95762195121951244</v>
      </c>
      <c r="AG68" s="489"/>
    </row>
    <row r="69" spans="1:33" ht="15.75" customHeight="1">
      <c r="A69" s="497" t="s">
        <v>75</v>
      </c>
      <c r="B69" s="39" t="s">
        <v>80</v>
      </c>
      <c r="C69" s="490" t="s">
        <v>117</v>
      </c>
      <c r="D69" s="490"/>
      <c r="E69" s="42">
        <v>24.43</v>
      </c>
      <c r="F69" s="39">
        <v>5944</v>
      </c>
      <c r="G69" s="4">
        <f t="shared" si="57"/>
        <v>145211.92000000001</v>
      </c>
      <c r="H69" s="35" t="s">
        <v>79</v>
      </c>
      <c r="I69" s="16">
        <v>14</v>
      </c>
      <c r="J69" s="37">
        <v>2400</v>
      </c>
      <c r="K69" s="17">
        <f t="shared" si="46"/>
        <v>171.42857142857142</v>
      </c>
      <c r="L69" s="16">
        <v>14</v>
      </c>
      <c r="M69" s="18">
        <f t="shared" si="58"/>
        <v>2286.1538461538462</v>
      </c>
      <c r="N69" s="17">
        <f t="shared" si="47"/>
        <v>163.2967032967033</v>
      </c>
      <c r="O69" s="19">
        <f t="shared" si="48"/>
        <v>0</v>
      </c>
      <c r="P69" s="20">
        <f t="shared" si="49"/>
        <v>-8.1318681318681172</v>
      </c>
      <c r="Q69" s="21">
        <f t="shared" si="50"/>
        <v>0.95256410256410262</v>
      </c>
      <c r="R69" s="489"/>
      <c r="S69" s="40">
        <v>0.20416666666666666</v>
      </c>
      <c r="T69" s="40">
        <v>0.3125</v>
      </c>
      <c r="U69" s="4">
        <f t="shared" si="60"/>
        <v>8.0000000000000107</v>
      </c>
      <c r="V69" s="22">
        <f t="shared" si="59"/>
        <v>156</v>
      </c>
      <c r="W69" s="23"/>
      <c r="X69" s="23"/>
      <c r="Y69" s="23"/>
      <c r="Z69" s="23"/>
      <c r="AA69" s="491"/>
      <c r="AB69" s="491"/>
      <c r="AC69" s="25"/>
      <c r="AD69" s="25"/>
      <c r="AE69" s="19">
        <f t="shared" si="51"/>
        <v>-113.84615384615381</v>
      </c>
      <c r="AF69" s="21">
        <f t="shared" si="52"/>
        <v>0.95256410256410262</v>
      </c>
      <c r="AG69" s="489"/>
    </row>
    <row r="70" spans="1:33" ht="15.75" customHeight="1">
      <c r="A70" s="497" t="s">
        <v>77</v>
      </c>
      <c r="B70" s="39" t="s">
        <v>80</v>
      </c>
      <c r="C70" s="490" t="s">
        <v>118</v>
      </c>
      <c r="D70" s="490"/>
      <c r="E70" s="42">
        <v>20.21</v>
      </c>
      <c r="F70" s="39">
        <v>4454</v>
      </c>
      <c r="G70" s="4">
        <f t="shared" si="57"/>
        <v>90015.340000000011</v>
      </c>
      <c r="H70" s="35" t="s">
        <v>79</v>
      </c>
      <c r="I70" s="16">
        <v>16</v>
      </c>
      <c r="J70" s="37">
        <v>2400</v>
      </c>
      <c r="K70" s="17">
        <f t="shared" si="46"/>
        <v>150</v>
      </c>
      <c r="L70" s="16">
        <v>16</v>
      </c>
      <c r="M70" s="18">
        <f t="shared" si="58"/>
        <v>2284.1025641025644</v>
      </c>
      <c r="N70" s="17">
        <f t="shared" si="47"/>
        <v>142.75641025641028</v>
      </c>
      <c r="O70" s="19">
        <f t="shared" si="48"/>
        <v>0</v>
      </c>
      <c r="P70" s="20">
        <f t="shared" si="49"/>
        <v>-7.2435897435897232</v>
      </c>
      <c r="Q70" s="21">
        <f t="shared" si="50"/>
        <v>0.95170940170940188</v>
      </c>
      <c r="R70" s="489"/>
      <c r="S70" s="40">
        <v>0.31666666666666665</v>
      </c>
      <c r="T70" s="40">
        <v>0.39791666666666664</v>
      </c>
      <c r="U70" s="4">
        <f t="shared" si="60"/>
        <v>5.9999999999999787</v>
      </c>
      <c r="V70" s="22">
        <f t="shared" si="59"/>
        <v>116.99999999999999</v>
      </c>
      <c r="W70" s="23"/>
      <c r="X70" s="23"/>
      <c r="Y70" s="23"/>
      <c r="Z70" s="23"/>
      <c r="AA70" s="491"/>
      <c r="AB70" s="491"/>
      <c r="AC70" s="25"/>
      <c r="AD70" s="25"/>
      <c r="AE70" s="19">
        <f t="shared" si="51"/>
        <v>-115.89743589743557</v>
      </c>
      <c r="AF70" s="21">
        <f t="shared" si="52"/>
        <v>0.95170940170940188</v>
      </c>
      <c r="AG70" s="489"/>
    </row>
    <row r="71" spans="1:33" ht="15.75" customHeight="1">
      <c r="A71" s="497" t="s">
        <v>75</v>
      </c>
      <c r="B71" s="39" t="s">
        <v>80</v>
      </c>
      <c r="C71" s="490" t="s">
        <v>119</v>
      </c>
      <c r="D71" s="490"/>
      <c r="E71" s="42">
        <v>19.02</v>
      </c>
      <c r="F71" s="39">
        <v>4600</v>
      </c>
      <c r="G71" s="4">
        <f t="shared" si="57"/>
        <v>87492</v>
      </c>
      <c r="H71" s="35">
        <v>2</v>
      </c>
      <c r="I71" s="16">
        <v>15</v>
      </c>
      <c r="J71" s="37">
        <v>2400</v>
      </c>
      <c r="K71" s="17">
        <f t="shared" si="46"/>
        <v>160</v>
      </c>
      <c r="L71" s="16">
        <v>15</v>
      </c>
      <c r="M71" s="18">
        <f t="shared" si="58"/>
        <v>2300.0000000000005</v>
      </c>
      <c r="N71" s="17">
        <f t="shared" si="47"/>
        <v>153.33333333333337</v>
      </c>
      <c r="O71" s="19">
        <f t="shared" si="48"/>
        <v>0</v>
      </c>
      <c r="P71" s="20">
        <f t="shared" si="49"/>
        <v>-6.6666666666666288</v>
      </c>
      <c r="Q71" s="21">
        <f t="shared" si="50"/>
        <v>0.95833333333333359</v>
      </c>
      <c r="R71" s="489"/>
      <c r="S71" s="40">
        <v>0.40347222222222218</v>
      </c>
      <c r="T71" s="40">
        <v>0.48680555555555549</v>
      </c>
      <c r="U71" s="4">
        <f t="shared" si="60"/>
        <v>7.9999999999999716</v>
      </c>
      <c r="V71" s="22">
        <f t="shared" si="59"/>
        <v>119.99999999999997</v>
      </c>
      <c r="W71" s="23">
        <f>T71</f>
        <v>0.48680555555555549</v>
      </c>
      <c r="X71" s="23">
        <f>S72</f>
        <v>0.5263888888888888</v>
      </c>
      <c r="Y71" s="23"/>
      <c r="Z71" s="23"/>
      <c r="AA71" s="491"/>
      <c r="AB71" s="491"/>
      <c r="AC71" s="25"/>
      <c r="AD71" s="25"/>
      <c r="AE71" s="19">
        <f t="shared" si="51"/>
        <v>-99.999999999999545</v>
      </c>
      <c r="AF71" s="21">
        <f t="shared" si="52"/>
        <v>0.95833333333333348</v>
      </c>
      <c r="AG71" s="489"/>
    </row>
    <row r="72" spans="1:33" ht="15.75" customHeight="1">
      <c r="A72" s="497" t="s">
        <v>75</v>
      </c>
      <c r="B72" s="39" t="s">
        <v>80</v>
      </c>
      <c r="C72" s="490" t="s">
        <v>119</v>
      </c>
      <c r="D72" s="490"/>
      <c r="E72" s="42">
        <v>19.02</v>
      </c>
      <c r="F72" s="39">
        <v>3559</v>
      </c>
      <c r="G72" s="4">
        <f t="shared" si="57"/>
        <v>67692.179999999993</v>
      </c>
      <c r="H72" s="35" t="s">
        <v>79</v>
      </c>
      <c r="I72" s="16">
        <v>15</v>
      </c>
      <c r="J72" s="37">
        <v>2400</v>
      </c>
      <c r="K72" s="17">
        <f t="shared" si="46"/>
        <v>160</v>
      </c>
      <c r="L72" s="16">
        <v>15</v>
      </c>
      <c r="M72" s="18">
        <f t="shared" si="58"/>
        <v>2296.1290322580649</v>
      </c>
      <c r="N72" s="17">
        <f t="shared" si="47"/>
        <v>153.07526881720432</v>
      </c>
      <c r="O72" s="19">
        <f t="shared" si="48"/>
        <v>0</v>
      </c>
      <c r="P72" s="20">
        <f t="shared" si="49"/>
        <v>-6.9247311827956821</v>
      </c>
      <c r="Q72" s="21">
        <f t="shared" si="50"/>
        <v>0.95672043010752694</v>
      </c>
      <c r="R72" s="489"/>
      <c r="S72" s="40">
        <v>0.5263888888888888</v>
      </c>
      <c r="T72" s="40">
        <v>0.59097222222222212</v>
      </c>
      <c r="U72" s="4">
        <f t="shared" si="60"/>
        <v>56.999999999999957</v>
      </c>
      <c r="V72" s="22">
        <f t="shared" si="59"/>
        <v>92.999999999999986</v>
      </c>
      <c r="W72" s="23"/>
      <c r="X72" s="23"/>
      <c r="Y72" s="23"/>
      <c r="Z72" s="23"/>
      <c r="AA72" s="491"/>
      <c r="AB72" s="491"/>
      <c r="AC72" s="25"/>
      <c r="AD72" s="25"/>
      <c r="AE72" s="19">
        <f t="shared" si="51"/>
        <v>-103.87096774193515</v>
      </c>
      <c r="AF72" s="21">
        <f t="shared" si="52"/>
        <v>0.95672043010752705</v>
      </c>
      <c r="AG72" s="489"/>
    </row>
    <row r="73" spans="1:33" ht="16.5" customHeight="1">
      <c r="A73" s="498" t="s">
        <v>75</v>
      </c>
      <c r="B73" s="42" t="s">
        <v>49</v>
      </c>
      <c r="C73" s="492"/>
      <c r="D73" s="493"/>
      <c r="E73" s="43"/>
      <c r="F73" s="44"/>
      <c r="G73" s="17"/>
      <c r="H73" s="36"/>
      <c r="I73" s="30">
        <v>16.166666666666668</v>
      </c>
      <c r="J73" s="37">
        <v>2400</v>
      </c>
      <c r="K73" s="17">
        <f t="shared" si="46"/>
        <v>148.45360824742266</v>
      </c>
      <c r="L73" s="30">
        <v>16.166666666666668</v>
      </c>
      <c r="M73" s="18">
        <f>AVERAGE(M67:M72)</f>
        <v>2296.7056134994768</v>
      </c>
      <c r="N73" s="17">
        <f t="shared" si="47"/>
        <v>142.06426475254494</v>
      </c>
      <c r="O73" s="19">
        <f t="shared" si="48"/>
        <v>0</v>
      </c>
      <c r="P73" s="20">
        <f t="shared" si="49"/>
        <v>-6.3893434948777212</v>
      </c>
      <c r="Q73" s="21">
        <f t="shared" si="50"/>
        <v>0.95696067229144866</v>
      </c>
      <c r="R73" s="489"/>
      <c r="S73" s="40"/>
      <c r="T73" s="40"/>
      <c r="U73" s="17"/>
      <c r="V73" s="22"/>
      <c r="W73" s="17"/>
      <c r="X73" s="17"/>
      <c r="Y73" s="31">
        <f>SUM(Y67:Y72)</f>
        <v>0</v>
      </c>
      <c r="Z73" s="31">
        <f>SUM(Z67:Z72)</f>
        <v>0</v>
      </c>
      <c r="AA73" s="495"/>
      <c r="AB73" s="495"/>
      <c r="AC73" s="31">
        <f>SUM(AC67:AC72)</f>
        <v>7</v>
      </c>
      <c r="AD73" s="31">
        <f>SUM(AD67:AD72)</f>
        <v>0</v>
      </c>
      <c r="AE73" s="19">
        <f t="shared" si="51"/>
        <v>-103.29438650052316</v>
      </c>
      <c r="AF73" s="21">
        <f t="shared" si="52"/>
        <v>0.95696067229144866</v>
      </c>
      <c r="AG73" s="489"/>
    </row>
    <row r="74" spans="1:33">
      <c r="D74" s="33"/>
      <c r="E74" s="33"/>
      <c r="J74" s="38"/>
    </row>
  </sheetData>
  <mergeCells count="198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2"/>
    <mergeCell ref="C11:D11"/>
    <mergeCell ref="AA11:AB11"/>
    <mergeCell ref="C9:D9"/>
    <mergeCell ref="AA9:AB9"/>
    <mergeCell ref="C7:D7"/>
    <mergeCell ref="AA7:AB7"/>
    <mergeCell ref="C8:D8"/>
    <mergeCell ref="AA8:AB8"/>
    <mergeCell ref="C12:D12"/>
    <mergeCell ref="AA12:AB12"/>
    <mergeCell ref="A13:A20"/>
    <mergeCell ref="C13:D13"/>
    <mergeCell ref="R13:R20"/>
    <mergeCell ref="AA13:AB13"/>
    <mergeCell ref="AA18:AB18"/>
    <mergeCell ref="AA19:AB19"/>
    <mergeCell ref="A10:A12"/>
    <mergeCell ref="C10:D10"/>
    <mergeCell ref="R10:R12"/>
    <mergeCell ref="AA10:AB10"/>
    <mergeCell ref="AA26:AB26"/>
    <mergeCell ref="C27:D27"/>
    <mergeCell ref="AA27:AB27"/>
    <mergeCell ref="C28:D28"/>
    <mergeCell ref="C29:D29"/>
    <mergeCell ref="AA29:AB29"/>
    <mergeCell ref="AG13:AG20"/>
    <mergeCell ref="C14:D14"/>
    <mergeCell ref="AA14:AB14"/>
    <mergeCell ref="C15:D15"/>
    <mergeCell ref="AA15:AB15"/>
    <mergeCell ref="C16:D16"/>
    <mergeCell ref="AA16:AB16"/>
    <mergeCell ref="C17:D17"/>
    <mergeCell ref="AA17:AB17"/>
    <mergeCell ref="C18:D18"/>
    <mergeCell ref="C20:D20"/>
    <mergeCell ref="AA20:AB20"/>
    <mergeCell ref="C44:D44"/>
    <mergeCell ref="AA44:AB44"/>
    <mergeCell ref="A30:A36"/>
    <mergeCell ref="C30:D30"/>
    <mergeCell ref="R30:R36"/>
    <mergeCell ref="AA30:AB30"/>
    <mergeCell ref="AA35:AB35"/>
    <mergeCell ref="AA28:AB28"/>
    <mergeCell ref="AG21:AG29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36:D36"/>
    <mergeCell ref="AA36:AB36"/>
    <mergeCell ref="A21:A29"/>
    <mergeCell ref="C21:D21"/>
    <mergeCell ref="R21:R29"/>
    <mergeCell ref="AA21:AB21"/>
    <mergeCell ref="AA42:AB42"/>
    <mergeCell ref="C43:D43"/>
    <mergeCell ref="AG30:AG36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C59:D59"/>
    <mergeCell ref="AA59:AB59"/>
    <mergeCell ref="A45:A51"/>
    <mergeCell ref="C45:D45"/>
    <mergeCell ref="R45:R51"/>
    <mergeCell ref="AA45:AB45"/>
    <mergeCell ref="AA50:AB50"/>
    <mergeCell ref="AA43:AB43"/>
    <mergeCell ref="AG37:AG44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C51:D51"/>
    <mergeCell ref="AA51:AB51"/>
    <mergeCell ref="A37:A44"/>
    <mergeCell ref="C37:D37"/>
    <mergeCell ref="R37:R44"/>
    <mergeCell ref="AA37:AB37"/>
    <mergeCell ref="AA58:AB58"/>
    <mergeCell ref="AG45:AG51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C50:D50"/>
    <mergeCell ref="AA69:AB69"/>
    <mergeCell ref="C70:D70"/>
    <mergeCell ref="AA70:AB70"/>
    <mergeCell ref="A60:A66"/>
    <mergeCell ref="C60:D60"/>
    <mergeCell ref="R60:R66"/>
    <mergeCell ref="AA60:AB60"/>
    <mergeCell ref="AA65:AB65"/>
    <mergeCell ref="AG52:AG59"/>
    <mergeCell ref="C53:D53"/>
    <mergeCell ref="AA53:AB53"/>
    <mergeCell ref="C54:D54"/>
    <mergeCell ref="AA54:AB54"/>
    <mergeCell ref="AA55:AB55"/>
    <mergeCell ref="AA56:AB56"/>
    <mergeCell ref="C57:D57"/>
    <mergeCell ref="AA57:AB57"/>
    <mergeCell ref="C58:D58"/>
    <mergeCell ref="C66:D66"/>
    <mergeCell ref="AA66:AB66"/>
    <mergeCell ref="A52:A59"/>
    <mergeCell ref="C52:D52"/>
    <mergeCell ref="R52:R59"/>
    <mergeCell ref="AA52:AB52"/>
    <mergeCell ref="C71:D71"/>
    <mergeCell ref="AA71:AB71"/>
    <mergeCell ref="C72:D72"/>
    <mergeCell ref="A67:A73"/>
    <mergeCell ref="C67:D67"/>
    <mergeCell ref="R67:R73"/>
    <mergeCell ref="AA67:AB67"/>
    <mergeCell ref="AA72:AB72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C73:D73"/>
    <mergeCell ref="AA73:AB73"/>
    <mergeCell ref="AG67:AG73"/>
    <mergeCell ref="C68:D68"/>
    <mergeCell ref="AA68:AB68"/>
    <mergeCell ref="C69:D69"/>
  </mergeCells>
  <phoneticPr fontId="3" type="noConversion"/>
  <conditionalFormatting sqref="O59:O60 O5:O10 O12:O14 O20:O57 O63:O73">
    <cfRule type="cellIs" dxfId="147" priority="230" operator="greaterThan">
      <formula>0</formula>
    </cfRule>
  </conditionalFormatting>
  <conditionalFormatting sqref="P5:P8 P63:P65 AE63:AE65 P30:P35 P60 P10 P12:P14 P21:P28 P52:P57 P37:P50 AE5:AE60 P67:P72 AE67:AE73">
    <cfRule type="cellIs" dxfId="146" priority="234" operator="lessThan">
      <formula>0</formula>
    </cfRule>
  </conditionalFormatting>
  <conditionalFormatting sqref="AF63:AF65 Q59:Q60 Q5:Q10 Q12:Q14 Q20:Q57 AF5:AF60 Q63:Q73 AF67:AF73">
    <cfRule type="cellIs" dxfId="145" priority="231" operator="greaterThan">
      <formula>1</formula>
    </cfRule>
    <cfRule type="cellIs" dxfId="144" priority="232" operator="lessThan">
      <formula>0.8</formula>
    </cfRule>
  </conditionalFormatting>
  <conditionalFormatting sqref="AG13:AG14 R13:R14 AG63 R20:R26 AG20:AG26 AG59:AG60 R59:R60 AG5:AG10 R5:R10 AG29:AG57 R29:R57 R63:R73">
    <cfRule type="cellIs" dxfId="143" priority="236" operator="lessThan">
      <formula>0.8</formula>
    </cfRule>
  </conditionalFormatting>
  <conditionalFormatting sqref="AG45">
    <cfRule type="cellIs" dxfId="142" priority="238" operator="lessThan">
      <formula>0.8</formula>
    </cfRule>
  </conditionalFormatting>
  <conditionalFormatting sqref="AG21:AG26">
    <cfRule type="cellIs" dxfId="141" priority="235" operator="lessThan">
      <formula>0.8</formula>
    </cfRule>
  </conditionalFormatting>
  <conditionalFormatting sqref="AG30">
    <cfRule type="cellIs" dxfId="140" priority="237" operator="lessThan">
      <formula>0.8</formula>
    </cfRule>
  </conditionalFormatting>
  <conditionalFormatting sqref="AG37:AG43">
    <cfRule type="cellIs" dxfId="139" priority="233" operator="lessThan">
      <formula>0.8</formula>
    </cfRule>
  </conditionalFormatting>
  <conditionalFormatting sqref="AE66">
    <cfRule type="cellIs" dxfId="138" priority="229" operator="lessThan">
      <formula>0</formula>
    </cfRule>
  </conditionalFormatting>
  <conditionalFormatting sqref="AF66">
    <cfRule type="cellIs" dxfId="137" priority="227" operator="greaterThan">
      <formula>1</formula>
    </cfRule>
    <cfRule type="cellIs" dxfId="136" priority="228" operator="lessThan">
      <formula>0.8</formula>
    </cfRule>
  </conditionalFormatting>
  <conditionalFormatting sqref="O15:O16">
    <cfRule type="cellIs" dxfId="135" priority="222" operator="greaterThan">
      <formula>0</formula>
    </cfRule>
  </conditionalFormatting>
  <conditionalFormatting sqref="P15:P16">
    <cfRule type="cellIs" dxfId="134" priority="225" operator="lessThan">
      <formula>0</formula>
    </cfRule>
  </conditionalFormatting>
  <conditionalFormatting sqref="Q15:Q16">
    <cfRule type="cellIs" dxfId="133" priority="223" operator="greaterThan">
      <formula>1</formula>
    </cfRule>
    <cfRule type="cellIs" dxfId="132" priority="224" operator="lessThan">
      <formula>0.8</formula>
    </cfRule>
  </conditionalFormatting>
  <conditionalFormatting sqref="R15:R16 AG15:AG16">
    <cfRule type="cellIs" dxfId="131" priority="226" operator="lessThan">
      <formula>0.8</formula>
    </cfRule>
  </conditionalFormatting>
  <conditionalFormatting sqref="O11">
    <cfRule type="cellIs" dxfId="130" priority="218" operator="greaterThan">
      <formula>0</formula>
    </cfRule>
  </conditionalFormatting>
  <conditionalFormatting sqref="P11">
    <cfRule type="cellIs" dxfId="129" priority="221" operator="lessThan">
      <formula>0</formula>
    </cfRule>
  </conditionalFormatting>
  <conditionalFormatting sqref="Q11">
    <cfRule type="cellIs" dxfId="128" priority="219" operator="greaterThan">
      <formula>1</formula>
    </cfRule>
    <cfRule type="cellIs" dxfId="127" priority="220" operator="lessThan">
      <formula>0.8</formula>
    </cfRule>
  </conditionalFormatting>
  <conditionalFormatting sqref="O58">
    <cfRule type="cellIs" dxfId="126" priority="213" operator="greaterThan">
      <formula>0</formula>
    </cfRule>
  </conditionalFormatting>
  <conditionalFormatting sqref="P58">
    <cfRule type="cellIs" dxfId="125" priority="216" operator="lessThan">
      <formula>0</formula>
    </cfRule>
  </conditionalFormatting>
  <conditionalFormatting sqref="Q58">
    <cfRule type="cellIs" dxfId="124" priority="214" operator="greaterThan">
      <formula>1</formula>
    </cfRule>
    <cfRule type="cellIs" dxfId="123" priority="215" operator="lessThan">
      <formula>0.8</formula>
    </cfRule>
  </conditionalFormatting>
  <conditionalFormatting sqref="R58 AG58">
    <cfRule type="cellIs" dxfId="122" priority="217" operator="lessThan">
      <formula>0.8</formula>
    </cfRule>
  </conditionalFormatting>
  <conditionalFormatting sqref="AG28 R28">
    <cfRule type="cellIs" dxfId="121" priority="207" operator="lessThan">
      <formula>0.8</formula>
    </cfRule>
  </conditionalFormatting>
  <conditionalFormatting sqref="O62">
    <cfRule type="cellIs" dxfId="120" priority="200" operator="greaterThan">
      <formula>0</formula>
    </cfRule>
  </conditionalFormatting>
  <conditionalFormatting sqref="P62 AE62">
    <cfRule type="cellIs" dxfId="119" priority="203" operator="lessThan">
      <formula>0</formula>
    </cfRule>
  </conditionalFormatting>
  <conditionalFormatting sqref="Q62 AF62">
    <cfRule type="cellIs" dxfId="118" priority="201" operator="greaterThan">
      <formula>1</formula>
    </cfRule>
    <cfRule type="cellIs" dxfId="117" priority="202" operator="lessThan">
      <formula>0.8</formula>
    </cfRule>
  </conditionalFormatting>
  <conditionalFormatting sqref="R62 AG62">
    <cfRule type="cellIs" dxfId="116" priority="204" operator="lessThan">
      <formula>0.8</formula>
    </cfRule>
  </conditionalFormatting>
  <conditionalFormatting sqref="O17:O18">
    <cfRule type="cellIs" dxfId="115" priority="168" operator="greaterThan">
      <formula>0</formula>
    </cfRule>
  </conditionalFormatting>
  <conditionalFormatting sqref="P17:P18">
    <cfRule type="cellIs" dxfId="114" priority="171" operator="lessThan">
      <formula>0</formula>
    </cfRule>
  </conditionalFormatting>
  <conditionalFormatting sqref="Q17:Q18">
    <cfRule type="cellIs" dxfId="113" priority="169" operator="greaterThan">
      <formula>1</formula>
    </cfRule>
    <cfRule type="cellIs" dxfId="112" priority="170" operator="lessThan">
      <formula>0.8</formula>
    </cfRule>
  </conditionalFormatting>
  <conditionalFormatting sqref="R17:R18 AG17:AG18">
    <cfRule type="cellIs" dxfId="111" priority="172" operator="lessThan">
      <formula>0.8</formula>
    </cfRule>
  </conditionalFormatting>
  <conditionalFormatting sqref="R27 AG27">
    <cfRule type="cellIs" dxfId="110" priority="133" operator="lessThan">
      <formula>0.8</formula>
    </cfRule>
  </conditionalFormatting>
  <conditionalFormatting sqref="AG27">
    <cfRule type="cellIs" dxfId="109" priority="132" operator="lessThan">
      <formula>0.8</formula>
    </cfRule>
  </conditionalFormatting>
  <conditionalFormatting sqref="O61">
    <cfRule type="cellIs" dxfId="108" priority="99" operator="greaterThan">
      <formula>0</formula>
    </cfRule>
  </conditionalFormatting>
  <conditionalFormatting sqref="P61 AE61">
    <cfRule type="cellIs" dxfId="107" priority="102" operator="lessThan">
      <formula>0</formula>
    </cfRule>
  </conditionalFormatting>
  <conditionalFormatting sqref="Q61 AF61">
    <cfRule type="cellIs" dxfId="106" priority="100" operator="greaterThan">
      <formula>1</formula>
    </cfRule>
    <cfRule type="cellIs" dxfId="105" priority="101" operator="lessThan">
      <formula>0.8</formula>
    </cfRule>
  </conditionalFormatting>
  <conditionalFormatting sqref="R61 AG61">
    <cfRule type="cellIs" dxfId="104" priority="103" operator="lessThan">
      <formula>0.8</formula>
    </cfRule>
  </conditionalFormatting>
  <conditionalFormatting sqref="O19">
    <cfRule type="cellIs" dxfId="103" priority="94" operator="greaterThan">
      <formula>0</formula>
    </cfRule>
  </conditionalFormatting>
  <conditionalFormatting sqref="P19">
    <cfRule type="cellIs" dxfId="102" priority="97" operator="lessThan">
      <formula>0</formula>
    </cfRule>
  </conditionalFormatting>
  <conditionalFormatting sqref="Q19">
    <cfRule type="cellIs" dxfId="101" priority="95" operator="greaterThan">
      <formula>1</formula>
    </cfRule>
    <cfRule type="cellIs" dxfId="100" priority="96" operator="lessThan">
      <formula>0.8</formula>
    </cfRule>
  </conditionalFormatting>
  <conditionalFormatting sqref="AG19 R19">
    <cfRule type="cellIs" dxfId="99" priority="98" operator="lessThan">
      <formula>0.8</formula>
    </cfRule>
  </conditionalFormatting>
  <conditionalFormatting sqref="P9">
    <cfRule type="cellIs" dxfId="98" priority="85" operator="lessThan">
      <formula>0</formula>
    </cfRule>
  </conditionalFormatting>
  <conditionalFormatting sqref="P20">
    <cfRule type="cellIs" dxfId="97" priority="83" operator="lessThan">
      <formula>0</formula>
    </cfRule>
  </conditionalFormatting>
  <conditionalFormatting sqref="P29">
    <cfRule type="cellIs" dxfId="96" priority="82" operator="lessThan">
      <formula>0</formula>
    </cfRule>
  </conditionalFormatting>
  <conditionalFormatting sqref="P36">
    <cfRule type="cellIs" dxfId="95" priority="81" operator="lessThan">
      <formula>0</formula>
    </cfRule>
  </conditionalFormatting>
  <conditionalFormatting sqref="P51">
    <cfRule type="cellIs" dxfId="94" priority="80" operator="lessThan">
      <formula>0</formula>
    </cfRule>
  </conditionalFormatting>
  <conditionalFormatting sqref="P59">
    <cfRule type="cellIs" dxfId="93" priority="79" operator="lessThan">
      <formula>0</formula>
    </cfRule>
  </conditionalFormatting>
  <conditionalFormatting sqref="P66">
    <cfRule type="cellIs" dxfId="92" priority="78" operator="lessThan">
      <formula>0</formula>
    </cfRule>
  </conditionalFormatting>
  <conditionalFormatting sqref="P73">
    <cfRule type="cellIs" dxfId="91" priority="77" operator="lessThan">
      <formula>0</formula>
    </cfRule>
  </conditionalFormatting>
  <dataValidations count="1">
    <dataValidation type="list" allowBlank="1" showInputMessage="1" showErrorMessage="1" sqref="AB9 AA5:AB8 AB64:AB65 AA9:AA65 AB11:AB60 AA66:AB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A47EAA-D1B1-495E-953D-7C1A97C61103}"/>
</file>

<file path=customXml/itemProps2.xml><?xml version="1.0" encoding="utf-8"?>
<ds:datastoreItem xmlns:ds="http://schemas.openxmlformats.org/officeDocument/2006/customXml" ds:itemID="{A0082212-F8FE-46F0-AD37-235B1F282EDF}"/>
</file>

<file path=customXml/itemProps3.xml><?xml version="1.0" encoding="utf-8"?>
<ds:datastoreItem xmlns:ds="http://schemas.openxmlformats.org/officeDocument/2006/customXml" ds:itemID="{0C8A6BF2-B3A5-43DC-AC76-4649C127D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0131</vt:lpstr>
      <vt:lpstr>0131 4度C</vt:lpstr>
      <vt:lpstr>0130</vt:lpstr>
      <vt:lpstr>0130 4度C</vt:lpstr>
      <vt:lpstr>0129</vt:lpstr>
      <vt:lpstr>0129 4度C</vt:lpstr>
      <vt:lpstr>0128</vt:lpstr>
      <vt:lpstr>0128 4度C</vt:lpstr>
      <vt:lpstr>0127</vt:lpstr>
      <vt:lpstr>0127 4度C</vt:lpstr>
      <vt:lpstr>0126</vt:lpstr>
      <vt:lpstr>0126 4度C</vt:lpstr>
      <vt:lpstr>0125</vt:lpstr>
      <vt:lpstr>0125 4度C</vt:lpstr>
      <vt:lpstr>0124</vt:lpstr>
      <vt:lpstr>0124 4度C</vt:lpstr>
      <vt:lpstr>0123</vt:lpstr>
      <vt:lpstr>0123 4度C</vt:lpstr>
      <vt:lpstr>0122</vt:lpstr>
      <vt:lpstr>0122 4度C</vt:lpstr>
      <vt:lpstr>0121</vt:lpstr>
      <vt:lpstr>0121 4度C</vt:lpstr>
      <vt:lpstr>0120</vt:lpstr>
      <vt:lpstr>0120 4度C</vt:lpstr>
      <vt:lpstr>0119</vt:lpstr>
      <vt:lpstr>0119 4度C</vt:lpstr>
      <vt:lpstr>0118</vt:lpstr>
      <vt:lpstr>0118 4度C</vt:lpstr>
      <vt:lpstr>0117</vt:lpstr>
      <vt:lpstr>0117 4度C</vt:lpstr>
      <vt:lpstr>0116</vt:lpstr>
      <vt:lpstr>0116 4度C</vt:lpstr>
      <vt:lpstr>0115</vt:lpstr>
      <vt:lpstr>0115 4度C</vt:lpstr>
      <vt:lpstr>0114</vt:lpstr>
      <vt:lpstr>0114 4度C</vt:lpstr>
      <vt:lpstr>0113</vt:lpstr>
      <vt:lpstr>0113 4度C</vt:lpstr>
      <vt:lpstr>0112</vt:lpstr>
      <vt:lpstr>0112 4度C</vt:lpstr>
      <vt:lpstr>0111</vt:lpstr>
      <vt:lpstr>0111 4度C</vt:lpstr>
      <vt:lpstr>0110</vt:lpstr>
      <vt:lpstr>0110 4度C</vt:lpstr>
      <vt:lpstr>0109</vt:lpstr>
      <vt:lpstr>0109 4度C</vt:lpstr>
      <vt:lpstr>0108</vt:lpstr>
      <vt:lpstr>0108 4度C</vt:lpstr>
      <vt:lpstr>0107</vt:lpstr>
      <vt:lpstr>0107 4度C</vt:lpstr>
      <vt:lpstr>0106</vt:lpstr>
      <vt:lpstr>0106 4度C</vt:lpstr>
      <vt:lpstr>0105</vt:lpstr>
      <vt:lpstr>0105 4度C</vt:lpstr>
      <vt:lpstr>0104</vt:lpstr>
      <vt:lpstr>0104 4度C</vt:lpstr>
      <vt:lpstr>0103</vt:lpstr>
      <vt:lpstr>0103 4度C</vt:lpstr>
      <vt:lpstr>0102</vt:lpstr>
      <vt:lpstr>0102 4度C</vt:lpstr>
      <vt:lpstr>0101</vt:lpstr>
      <vt:lpstr>0101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新豐生管03</dc:creator>
  <cp:lastModifiedBy>新豐生管04</cp:lastModifiedBy>
  <dcterms:created xsi:type="dcterms:W3CDTF">2026-01-02T00:32:12Z</dcterms:created>
  <dcterms:modified xsi:type="dcterms:W3CDTF">2026-02-01T01:54:02Z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